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95594\Desktop\Eric\"/>
    </mc:Choice>
  </mc:AlternateContent>
  <bookViews>
    <workbookView xWindow="0" yWindow="0" windowWidth="28800" windowHeight="10485"/>
  </bookViews>
  <sheets>
    <sheet name="Appendix A" sheetId="1" r:id="rId1"/>
    <sheet name="Appendix B" sheetId="73" r:id="rId2"/>
    <sheet name="Summary of Rates" sheetId="54" r:id="rId3"/>
    <sheet name="Att 1 - ADIT" sheetId="114" r:id="rId4"/>
    <sheet name="Att 1A - ADIT" sheetId="116"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8 Projection" sheetId="100" r:id="rId13"/>
    <sheet name="Att 9a1-2017 Actual" sheetId="113" r:id="rId14"/>
    <sheet name="Att 9a2 - 2016 actual" sheetId="101" r:id="rId15"/>
    <sheet name="Att 9a3 - 2015 actual" sheetId="102" r:id="rId16"/>
    <sheet name="Att 9b - 2017 True-up" sheetId="104" r:id="rId17"/>
    <sheet name="Att 10 - Acc Amort of PIS" sheetId="95" r:id="rId18"/>
    <sheet name="Att 11 - Prepayments" sheetId="115"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Fill" localSheetId="3" hidden="1">#REF!</definedName>
    <definedName name="_Fill" localSheetId="18" hidden="1">#REF!</definedName>
    <definedName name="_Fill" localSheetId="4" hidden="1">#REF!</definedName>
    <definedName name="_Fill" localSheetId="13" hidden="1">#REF!</definedName>
    <definedName name="_Fill" hidden="1">#REF!</definedName>
    <definedName name="_xlnm._FilterDatabase" localSheetId="3" hidden="1">'Att 1 - ADIT'!$J$1:$J$852</definedName>
    <definedName name="_xlnm._FilterDatabase" localSheetId="18" hidden="1">'Att 11 - Prepayments'!$B$6:$L$53</definedName>
    <definedName name="_xlnm._FilterDatabase" localSheetId="23" hidden="1">'Att 16 - Unfunded Reserves'!$AA$1:$AA$164</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2" localSheetId="3" hidden="1">#REF!</definedName>
    <definedName name="_Key2" localSheetId="18" hidden="1">#REF!</definedName>
    <definedName name="_Key2" localSheetId="4"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18"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18"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18"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ADIT'!$A$1:$J$433</definedName>
    <definedName name="_xlnm.Print_Area" localSheetId="17">'Att 10 - Acc Amort of PIS'!$A$1:$F$17</definedName>
    <definedName name="_xlnm.Print_Area" localSheetId="19">'Att 12 - Plant Held Future Use'!$B$1:$E$20</definedName>
    <definedName name="_xlnm.Print_Area" localSheetId="20">'Att 13 - Revenue Credit Detail'!$A$1:$I$57</definedName>
    <definedName name="_xlnm.Print_Area" localSheetId="21">'Att 14 - Cost of Capital Detail'!$A$1:$R$38</definedName>
    <definedName name="_xlnm.Print_Area" localSheetId="22">'Att 15 - GSU and Assoc''d Equip'!$A$1:$D$27</definedName>
    <definedName name="_xlnm.Print_Area" localSheetId="23">'Att 16 - Unfunded Reserves'!$A$1:$AG$80</definedName>
    <definedName name="_xlnm.Print_Area" localSheetId="5">'Att 2 - Other Taxes'!$A$1:$G$60</definedName>
    <definedName name="_xlnm.Print_Area" localSheetId="6">'Att 3 - Revenue Credits'!$A$1:$F$52</definedName>
    <definedName name="_xlnm.Print_Area" localSheetId="8">'Att 5 - Cost Support'!$A$1:$M$327</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- 2018 Projection'!$B$1:$AF$43</definedName>
    <definedName name="_xlnm.Print_Area" localSheetId="13">'Att 9a1-2017 Actual'!$A$1:$V$44</definedName>
    <definedName name="_xlnm.Print_Area" localSheetId="14">'Att 9a2 - 2016 actual'!$A$1:$V$44</definedName>
    <definedName name="_xlnm.Print_Area" localSheetId="15">'Att 9a3 - 2015 actual'!$A$1:$V$44</definedName>
    <definedName name="_xlnm.Print_Area" localSheetId="16">'Att 9b - 2017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'Appendix A'!$S$6</definedName>
    <definedName name="retail" localSheetId="3"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18"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18" hidden="1">{"YTD-Total",#N/A,FALSE,"Provision"}</definedName>
    <definedName name="standard1" localSheetId="4" hidden="1">{"YTD-Total",#N/A,FALSE,"Provision"}</definedName>
    <definedName name="standard1" hidden="1">{"YTD-Total",#N/A,FALSE,"Provision"}</definedName>
    <definedName name="Toggle">'Appendix A'!$H$7</definedName>
    <definedName name="Toggle.list">'Appendix A'!$S$6:$S$7</definedName>
    <definedName name="True_up">'Appendix A'!$S$7</definedName>
    <definedName name="wrn.Aging._.and._.Trend._.Analysis." localSheetId="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8"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18"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18"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18"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18"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18"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18"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18"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18"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18"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18"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tandard." localSheetId="3" hidden="1">{"YTD-Total",#N/A,FALSE,"Provision"}</definedName>
    <definedName name="wrn.Standard." localSheetId="18"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18"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18"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18"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18"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18"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ADIT'!$A$1:$I$455</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PrintArea" localSheetId="3" hidden="1">'Att 1 - ADIT'!$A$1:$I$455</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PrintArea" localSheetId="3" hidden="1">'Att 1 - ADIT'!$A$1:$I$455</definedName>
    <definedName name="Z_71B42B22_A376_44B5_B0C1_23FC1AA3DBA2_.wvu.Cols" localSheetId="3" hidden="1">'Att 1 -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ADIT'!$A$1:$I$455</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PrintArea" localSheetId="3" hidden="1">'Att 1 - ADIT'!$A$1:$I$455</definedName>
    <definedName name="Z_B647CB7F_C846_4278_B6B1_1EF7F3C004F5_.wvu.Cols" localSheetId="3" hidden="1">'Att 1 - ADIT'!#REF!</definedName>
    <definedName name="Z_B647CB7F_C846_4278_B6B1_1EF7F3C004F5_.wvu.PrintArea" localSheetId="3" hidden="1">'Att 1 - ADIT'!$A$1:$I$455</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ADIT'!$A$1:$I$455</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ADIT'!$A$1:$I$455</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5251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B25" i="98" l="1"/>
  <c r="B26" i="98"/>
  <c r="B27" i="98"/>
  <c r="B28" i="98"/>
  <c r="B29" i="98"/>
  <c r="B30" i="98"/>
  <c r="B31" i="98"/>
  <c r="B32" i="98"/>
  <c r="B33" i="98"/>
  <c r="B34" i="98"/>
  <c r="B35" i="98"/>
  <c r="B36" i="98"/>
  <c r="E91" i="31" l="1"/>
  <c r="L7" i="1" l="1"/>
  <c r="D38" i="106" l="1"/>
  <c r="A88" i="31" l="1"/>
  <c r="A89" i="31" s="1"/>
  <c r="A90" i="31" s="1"/>
  <c r="A91" i="31" s="1"/>
  <c r="A92" i="31" s="1"/>
  <c r="A93" i="31" s="1"/>
  <c r="A94" i="31" s="1"/>
  <c r="A95" i="31" s="1"/>
  <c r="A96" i="31" s="1"/>
  <c r="A97" i="31" s="1"/>
  <c r="A98" i="31" s="1"/>
  <c r="A99" i="31" s="1"/>
  <c r="A100" i="31" s="1"/>
  <c r="A101" i="31" l="1"/>
  <c r="A102" i="31" s="1"/>
  <c r="E90" i="31" l="1"/>
  <c r="E96" i="31" l="1"/>
  <c r="E18" i="105"/>
  <c r="H193" i="7" l="1"/>
  <c r="G66" i="44" l="1"/>
  <c r="B66" i="44"/>
  <c r="E82" i="31"/>
  <c r="H15" i="1" s="1"/>
  <c r="G65" i="44"/>
  <c r="B65" i="44"/>
  <c r="G64" i="44"/>
  <c r="B64" i="44"/>
  <c r="E79" i="31"/>
  <c r="H306" i="7" s="1"/>
  <c r="G63" i="44"/>
  <c r="B63" i="44"/>
  <c r="G62" i="44"/>
  <c r="B62" i="44"/>
  <c r="E77" i="31"/>
  <c r="G61" i="44"/>
  <c r="B61" i="44"/>
  <c r="G60" i="44"/>
  <c r="B60" i="44"/>
  <c r="E75" i="31"/>
  <c r="H311" i="7" s="1"/>
  <c r="G59" i="44"/>
  <c r="B59" i="44"/>
  <c r="G58" i="44"/>
  <c r="B58" i="44"/>
  <c r="G57" i="44"/>
  <c r="B57" i="44"/>
  <c r="G56" i="44"/>
  <c r="B56" i="44"/>
  <c r="E72" i="31"/>
  <c r="G55" i="44"/>
  <c r="B55" i="44"/>
  <c r="G54" i="44"/>
  <c r="B54" i="44"/>
  <c r="E70" i="31"/>
  <c r="G53" i="44"/>
  <c r="B53" i="44"/>
  <c r="G52" i="44"/>
  <c r="B52" i="44"/>
  <c r="E67" i="31"/>
  <c r="G51" i="44"/>
  <c r="B51" i="44"/>
  <c r="G50" i="44"/>
  <c r="B50" i="44"/>
  <c r="E66" i="31"/>
  <c r="H272" i="7" s="1"/>
  <c r="G49" i="44"/>
  <c r="B49" i="44"/>
  <c r="G48" i="44"/>
  <c r="B48" i="44"/>
  <c r="E64" i="31"/>
  <c r="H270" i="7" s="1"/>
  <c r="G47" i="44"/>
  <c r="B47" i="44"/>
  <c r="G46" i="44"/>
  <c r="B46" i="44"/>
  <c r="E62" i="31"/>
  <c r="H268" i="7" s="1"/>
  <c r="G45" i="44"/>
  <c r="B45" i="44"/>
  <c r="G44" i="44"/>
  <c r="B44" i="44"/>
  <c r="E59" i="31"/>
  <c r="G43" i="44"/>
  <c r="B43" i="44"/>
  <c r="G42" i="44"/>
  <c r="B42" i="44"/>
  <c r="E57" i="31"/>
  <c r="G41" i="44"/>
  <c r="B41" i="44"/>
  <c r="G40" i="44"/>
  <c r="B40" i="44"/>
  <c r="E55" i="31"/>
  <c r="G39" i="44"/>
  <c r="B39" i="44"/>
  <c r="G38" i="44"/>
  <c r="B38" i="44"/>
  <c r="E53" i="31"/>
  <c r="G37" i="44"/>
  <c r="B37" i="44"/>
  <c r="G36" i="44"/>
  <c r="B36" i="44"/>
  <c r="E50" i="31"/>
  <c r="H142" i="7" s="1"/>
  <c r="H143" i="7" s="1"/>
  <c r="H87" i="1" s="1"/>
  <c r="G35" i="44"/>
  <c r="B35" i="44"/>
  <c r="G34" i="44"/>
  <c r="B34" i="44"/>
  <c r="E48" i="31"/>
  <c r="H146" i="7" s="1"/>
  <c r="H147" i="7" s="1"/>
  <c r="H90" i="1" s="1"/>
  <c r="G33" i="44"/>
  <c r="B33" i="44"/>
  <c r="G32" i="44"/>
  <c r="B32" i="44"/>
  <c r="E39" i="31"/>
  <c r="G31" i="44"/>
  <c r="B31" i="44"/>
  <c r="G30" i="44"/>
  <c r="B30" i="44"/>
  <c r="E36" i="31"/>
  <c r="G29" i="44"/>
  <c r="B29" i="44"/>
  <c r="G28" i="44"/>
  <c r="B28" i="44"/>
  <c r="E44" i="31"/>
  <c r="G27" i="44"/>
  <c r="B27" i="44"/>
  <c r="G26" i="44"/>
  <c r="B26" i="44"/>
  <c r="E42" i="31"/>
  <c r="G25" i="44"/>
  <c r="B25" i="44"/>
  <c r="G24" i="44"/>
  <c r="B24" i="44"/>
  <c r="E19" i="31"/>
  <c r="H173" i="7" s="1"/>
  <c r="G23" i="44"/>
  <c r="B23" i="44"/>
  <c r="G22" i="44"/>
  <c r="B22" i="44"/>
  <c r="G21" i="44"/>
  <c r="B21" i="44"/>
  <c r="G20" i="44"/>
  <c r="B20" i="44"/>
  <c r="E33" i="31"/>
  <c r="G19" i="44"/>
  <c r="B19" i="44"/>
  <c r="G18" i="44"/>
  <c r="B18" i="44"/>
  <c r="E29" i="31"/>
  <c r="G17" i="44"/>
  <c r="B17" i="44"/>
  <c r="G16" i="44"/>
  <c r="B16" i="44"/>
  <c r="E27" i="31"/>
  <c r="G15" i="44"/>
  <c r="B15" i="44"/>
  <c r="G14" i="44"/>
  <c r="B14" i="44"/>
  <c r="E25" i="31"/>
  <c r="G13" i="44"/>
  <c r="B13" i="44"/>
  <c r="G12" i="44"/>
  <c r="B12" i="44"/>
  <c r="E23" i="31"/>
  <c r="G11" i="44"/>
  <c r="B11" i="44"/>
  <c r="G10" i="44"/>
  <c r="B10" i="44"/>
  <c r="E21" i="31"/>
  <c r="G9" i="44"/>
  <c r="B9" i="44"/>
  <c r="G8" i="44"/>
  <c r="B8" i="44"/>
  <c r="E17" i="31"/>
  <c r="G7" i="44"/>
  <c r="B7" i="44"/>
  <c r="G6" i="44"/>
  <c r="H66" i="31"/>
  <c r="H291" i="7" l="1"/>
  <c r="H292" i="7" s="1"/>
  <c r="H102" i="1" s="1"/>
  <c r="H283" i="7"/>
  <c r="H286" i="1" s="1"/>
  <c r="D82" i="31"/>
  <c r="C82" i="31"/>
  <c r="B82" i="31"/>
  <c r="A82" i="31"/>
  <c r="E81" i="31"/>
  <c r="H14" i="1" s="1"/>
  <c r="O14" i="1" s="1"/>
  <c r="P14" i="1" s="1"/>
  <c r="D81" i="31"/>
  <c r="C81" i="31"/>
  <c r="B81" i="31"/>
  <c r="A81" i="31"/>
  <c r="E80" i="31"/>
  <c r="D80" i="31"/>
  <c r="C80" i="31"/>
  <c r="B80" i="31"/>
  <c r="A80" i="31"/>
  <c r="D79" i="31"/>
  <c r="C79" i="31"/>
  <c r="B79" i="31"/>
  <c r="A79" i="31"/>
  <c r="E78" i="31"/>
  <c r="H305" i="7" s="1"/>
  <c r="H307" i="7" s="1"/>
  <c r="H146" i="1" s="1"/>
  <c r="D78" i="31"/>
  <c r="C78" i="31"/>
  <c r="B78" i="31"/>
  <c r="A78" i="31"/>
  <c r="D77" i="31"/>
  <c r="C77" i="31"/>
  <c r="B77" i="31"/>
  <c r="A77" i="31"/>
  <c r="E76" i="31"/>
  <c r="D76" i="31"/>
  <c r="C76" i="31"/>
  <c r="B76" i="31"/>
  <c r="A76" i="31"/>
  <c r="D75" i="31"/>
  <c r="C75" i="31"/>
  <c r="B75" i="31"/>
  <c r="A75" i="31"/>
  <c r="E74" i="31"/>
  <c r="D74" i="31"/>
  <c r="C74" i="31"/>
  <c r="B74" i="31"/>
  <c r="A74" i="31"/>
  <c r="E73" i="31"/>
  <c r="D73" i="31"/>
  <c r="C73" i="31"/>
  <c r="B73" i="31"/>
  <c r="A73" i="31"/>
  <c r="D72" i="31"/>
  <c r="C72" i="31"/>
  <c r="B72" i="31"/>
  <c r="A72" i="31"/>
  <c r="E71" i="31"/>
  <c r="D71" i="31"/>
  <c r="C71" i="31"/>
  <c r="B71" i="31"/>
  <c r="A71" i="31"/>
  <c r="D70" i="31"/>
  <c r="C70" i="31"/>
  <c r="A70" i="31"/>
  <c r="E69" i="31"/>
  <c r="D69" i="31"/>
  <c r="C69" i="31"/>
  <c r="A69" i="31"/>
  <c r="A68" i="31"/>
  <c r="D67" i="31"/>
  <c r="C67" i="31"/>
  <c r="A67" i="31"/>
  <c r="D66" i="31"/>
  <c r="C66" i="31"/>
  <c r="B66" i="31"/>
  <c r="A66" i="31"/>
  <c r="E65" i="31"/>
  <c r="H271" i="7" s="1"/>
  <c r="D65" i="31"/>
  <c r="C65" i="31"/>
  <c r="B65" i="31"/>
  <c r="A65" i="31"/>
  <c r="D64" i="31"/>
  <c r="C64" i="31"/>
  <c r="B64" i="31"/>
  <c r="A64" i="31"/>
  <c r="E63" i="31"/>
  <c r="D63" i="31"/>
  <c r="C63" i="31"/>
  <c r="B63" i="31"/>
  <c r="A63" i="31"/>
  <c r="D62" i="31"/>
  <c r="C62" i="31"/>
  <c r="B62" i="31"/>
  <c r="A62" i="31"/>
  <c r="E61" i="31"/>
  <c r="D61" i="31"/>
  <c r="C61" i="31"/>
  <c r="B61" i="31"/>
  <c r="A61" i="31"/>
  <c r="A60" i="31"/>
  <c r="D59" i="31"/>
  <c r="C59" i="31"/>
  <c r="A59" i="31"/>
  <c r="E58" i="31"/>
  <c r="D58" i="31"/>
  <c r="C58" i="31"/>
  <c r="A58" i="31"/>
  <c r="D57" i="31"/>
  <c r="C57" i="31"/>
  <c r="A57" i="31"/>
  <c r="E56" i="31"/>
  <c r="D56" i="31"/>
  <c r="C56" i="31"/>
  <c r="A56" i="31"/>
  <c r="D55" i="31"/>
  <c r="C55" i="31"/>
  <c r="A55" i="31"/>
  <c r="E54" i="31"/>
  <c r="D54" i="31"/>
  <c r="C54" i="31"/>
  <c r="A54" i="31"/>
  <c r="D53" i="31"/>
  <c r="C53" i="31"/>
  <c r="A53" i="31"/>
  <c r="E52" i="31"/>
  <c r="D52" i="31"/>
  <c r="C52" i="31"/>
  <c r="A52" i="31"/>
  <c r="A51" i="31"/>
  <c r="D50" i="31"/>
  <c r="C50" i="31"/>
  <c r="B50" i="31"/>
  <c r="A50" i="31"/>
  <c r="E49" i="31"/>
  <c r="D49" i="31"/>
  <c r="C49" i="31"/>
  <c r="B49" i="31"/>
  <c r="A49" i="31"/>
  <c r="D48" i="31"/>
  <c r="C48" i="31"/>
  <c r="B48" i="31"/>
  <c r="A48" i="31"/>
  <c r="A47" i="31"/>
  <c r="B46" i="31"/>
  <c r="A46" i="31"/>
  <c r="E45" i="31"/>
  <c r="D45" i="31"/>
  <c r="C45" i="31"/>
  <c r="A45" i="31"/>
  <c r="D44" i="31"/>
  <c r="C44" i="31"/>
  <c r="A44" i="31"/>
  <c r="E43" i="31"/>
  <c r="D43" i="31"/>
  <c r="C43" i="31"/>
  <c r="A43" i="31"/>
  <c r="D42" i="31"/>
  <c r="C42" i="31"/>
  <c r="A42" i="31"/>
  <c r="E41" i="31"/>
  <c r="D41" i="31"/>
  <c r="C41" i="31"/>
  <c r="A41" i="31"/>
  <c r="A40" i="31"/>
  <c r="D39" i="31"/>
  <c r="H112" i="7" s="1"/>
  <c r="C39" i="31"/>
  <c r="B39" i="31"/>
  <c r="A39" i="31"/>
  <c r="E38" i="31"/>
  <c r="D38" i="31"/>
  <c r="C38" i="31"/>
  <c r="B38" i="31"/>
  <c r="A38" i="31"/>
  <c r="E37" i="31"/>
  <c r="D37" i="31"/>
  <c r="C37" i="31"/>
  <c r="B37" i="31"/>
  <c r="A37" i="31"/>
  <c r="D36" i="31"/>
  <c r="H75" i="7" s="1"/>
  <c r="C36" i="31"/>
  <c r="B36" i="31"/>
  <c r="A36" i="31"/>
  <c r="A35" i="31"/>
  <c r="E34" i="31"/>
  <c r="H65" i="7" s="1"/>
  <c r="D34" i="31"/>
  <c r="C34" i="31"/>
  <c r="B34" i="31"/>
  <c r="A34" i="31"/>
  <c r="D33" i="31"/>
  <c r="C33" i="31"/>
  <c r="A33" i="31"/>
  <c r="A32" i="31"/>
  <c r="E31" i="31"/>
  <c r="D31" i="31"/>
  <c r="C31" i="31"/>
  <c r="B31" i="31"/>
  <c r="A31" i="31"/>
  <c r="E30" i="31"/>
  <c r="D30" i="31"/>
  <c r="C30" i="31"/>
  <c r="B30" i="31"/>
  <c r="A30" i="31"/>
  <c r="D29" i="31"/>
  <c r="C29" i="31"/>
  <c r="B29" i="31"/>
  <c r="A29" i="31"/>
  <c r="E28" i="31"/>
  <c r="D28" i="31"/>
  <c r="C28" i="31"/>
  <c r="B28" i="31"/>
  <c r="A28" i="31"/>
  <c r="D27" i="31"/>
  <c r="H23" i="7" s="1"/>
  <c r="C27" i="31"/>
  <c r="B27" i="31"/>
  <c r="A27" i="31"/>
  <c r="E26" i="31"/>
  <c r="D26" i="31"/>
  <c r="H7" i="7" s="1"/>
  <c r="C26" i="31"/>
  <c r="B26" i="31"/>
  <c r="A26" i="31"/>
  <c r="D25" i="31"/>
  <c r="C25" i="31"/>
  <c r="B25" i="31"/>
  <c r="A25" i="31"/>
  <c r="E24" i="31"/>
  <c r="D24" i="31"/>
  <c r="C24" i="31"/>
  <c r="B24" i="31"/>
  <c r="A24" i="31"/>
  <c r="D23" i="31"/>
  <c r="C23" i="31"/>
  <c r="B23" i="31"/>
  <c r="A23" i="31"/>
  <c r="E22" i="31"/>
  <c r="D22" i="31"/>
  <c r="C22" i="31"/>
  <c r="B22" i="31"/>
  <c r="A22" i="31"/>
  <c r="D21" i="31"/>
  <c r="C21" i="31"/>
  <c r="B21" i="31"/>
  <c r="A21" i="31"/>
  <c r="A20" i="31"/>
  <c r="D19" i="31"/>
  <c r="H172" i="7" s="1"/>
  <c r="C19" i="31"/>
  <c r="A19" i="31"/>
  <c r="E18" i="31"/>
  <c r="D18" i="31"/>
  <c r="C18" i="31"/>
  <c r="B18" i="31"/>
  <c r="A18" i="31"/>
  <c r="D17" i="31"/>
  <c r="C17" i="31"/>
  <c r="B17" i="31"/>
  <c r="A17" i="31"/>
  <c r="E16" i="31"/>
  <c r="D45" i="76" s="1"/>
  <c r="D47" i="76" s="1"/>
  <c r="D16" i="31"/>
  <c r="C16" i="31"/>
  <c r="B16" i="31"/>
  <c r="A16" i="31"/>
  <c r="E14" i="31"/>
  <c r="D14" i="31"/>
  <c r="H9" i="31"/>
  <c r="E9" i="31"/>
  <c r="C9" i="31"/>
  <c r="A9" i="31"/>
  <c r="H8" i="31"/>
  <c r="C8" i="31"/>
  <c r="A8" i="31"/>
  <c r="I114" i="97"/>
  <c r="I108" i="97"/>
  <c r="M106" i="97"/>
  <c r="L106" i="97"/>
  <c r="K106" i="97"/>
  <c r="J106" i="97"/>
  <c r="I106" i="97"/>
  <c r="L105" i="97"/>
  <c r="K105" i="97"/>
  <c r="J105" i="97"/>
  <c r="I105" i="97"/>
  <c r="L104" i="97"/>
  <c r="K104" i="97"/>
  <c r="J104" i="97"/>
  <c r="I104" i="97"/>
  <c r="L103" i="97"/>
  <c r="K103" i="97"/>
  <c r="J103" i="97"/>
  <c r="I103" i="97"/>
  <c r="L102" i="97"/>
  <c r="K102" i="97"/>
  <c r="J102" i="97"/>
  <c r="I102" i="97"/>
  <c r="L101" i="97"/>
  <c r="K101" i="97"/>
  <c r="J101" i="97"/>
  <c r="I101" i="97"/>
  <c r="L100" i="97"/>
  <c r="K100" i="97"/>
  <c r="J100" i="97"/>
  <c r="I100" i="97"/>
  <c r="L99" i="97"/>
  <c r="K99" i="97"/>
  <c r="J99" i="97"/>
  <c r="I99" i="97"/>
  <c r="L98" i="97"/>
  <c r="K98" i="97"/>
  <c r="J98" i="97"/>
  <c r="I98" i="97"/>
  <c r="L97" i="97"/>
  <c r="K97" i="97"/>
  <c r="J97" i="97"/>
  <c r="I97" i="97"/>
  <c r="L96" i="97"/>
  <c r="K96" i="97"/>
  <c r="J96" i="97"/>
  <c r="I96" i="97"/>
  <c r="L95" i="97"/>
  <c r="K95" i="97"/>
  <c r="J95" i="97"/>
  <c r="I95" i="97"/>
  <c r="M94" i="97"/>
  <c r="L94" i="97"/>
  <c r="K94" i="97"/>
  <c r="J94" i="97"/>
  <c r="I94" i="97"/>
  <c r="L93" i="97"/>
  <c r="K93" i="97"/>
  <c r="J93" i="97"/>
  <c r="I93" i="97"/>
  <c r="L92" i="97"/>
  <c r="K92" i="97"/>
  <c r="J92" i="97"/>
  <c r="I92" i="97"/>
  <c r="L91" i="97"/>
  <c r="K91" i="97"/>
  <c r="J91" i="97"/>
  <c r="I91" i="97"/>
  <c r="L90" i="97"/>
  <c r="K90" i="97"/>
  <c r="J90" i="97"/>
  <c r="I90" i="97"/>
  <c r="L89" i="97"/>
  <c r="K89" i="97"/>
  <c r="J89" i="97"/>
  <c r="I89" i="97"/>
  <c r="L88" i="97"/>
  <c r="K88" i="97"/>
  <c r="J88" i="97"/>
  <c r="I88" i="97"/>
  <c r="L87" i="97"/>
  <c r="K87" i="97"/>
  <c r="J87" i="97"/>
  <c r="I87" i="97"/>
  <c r="L86" i="97"/>
  <c r="K86" i="97"/>
  <c r="J86" i="97"/>
  <c r="I86" i="97"/>
  <c r="L85" i="97"/>
  <c r="K85" i="97"/>
  <c r="J85" i="97"/>
  <c r="I85" i="97"/>
  <c r="L84" i="97"/>
  <c r="K84" i="97"/>
  <c r="J84" i="97"/>
  <c r="I84" i="97"/>
  <c r="L83" i="97"/>
  <c r="K83" i="97"/>
  <c r="J83" i="97"/>
  <c r="I83" i="97"/>
  <c r="M82" i="97"/>
  <c r="L82" i="97"/>
  <c r="K82" i="97"/>
  <c r="J82" i="97"/>
  <c r="I82" i="97"/>
  <c r="L81" i="97"/>
  <c r="K81" i="97"/>
  <c r="J81" i="97"/>
  <c r="I81" i="97"/>
  <c r="L80" i="97"/>
  <c r="K80" i="97"/>
  <c r="J80" i="97"/>
  <c r="I80" i="97"/>
  <c r="L79" i="97"/>
  <c r="K79" i="97"/>
  <c r="J79" i="97"/>
  <c r="I79" i="97"/>
  <c r="L78" i="97"/>
  <c r="K78" i="97"/>
  <c r="J78" i="97"/>
  <c r="I78" i="97"/>
  <c r="L77" i="97"/>
  <c r="K77" i="97"/>
  <c r="J77" i="97"/>
  <c r="I77" i="97"/>
  <c r="L76" i="97"/>
  <c r="K76" i="97"/>
  <c r="J76" i="97"/>
  <c r="I76" i="97"/>
  <c r="L75" i="97"/>
  <c r="K75" i="97"/>
  <c r="J75" i="97"/>
  <c r="I75" i="97"/>
  <c r="L74" i="97"/>
  <c r="K74" i="97"/>
  <c r="J74" i="97"/>
  <c r="I74" i="97"/>
  <c r="L73" i="97"/>
  <c r="K73" i="97"/>
  <c r="J73" i="97"/>
  <c r="I73" i="97"/>
  <c r="L72" i="97"/>
  <c r="K72" i="97"/>
  <c r="J72" i="97"/>
  <c r="I72" i="97"/>
  <c r="L71" i="97"/>
  <c r="K71" i="97"/>
  <c r="J71" i="97"/>
  <c r="I71" i="97"/>
  <c r="M70" i="97"/>
  <c r="L70" i="97"/>
  <c r="K70" i="97"/>
  <c r="J70" i="97"/>
  <c r="I70" i="97"/>
  <c r="L69" i="97"/>
  <c r="K69" i="97"/>
  <c r="J69" i="97"/>
  <c r="I69" i="97"/>
  <c r="L68" i="97"/>
  <c r="K68" i="97"/>
  <c r="J68" i="97"/>
  <c r="I68" i="97"/>
  <c r="L67" i="97"/>
  <c r="K67" i="97"/>
  <c r="J67" i="97"/>
  <c r="I67" i="97"/>
  <c r="L66" i="97"/>
  <c r="K66" i="97"/>
  <c r="J66" i="97"/>
  <c r="I66" i="97"/>
  <c r="L65" i="97"/>
  <c r="K65" i="97"/>
  <c r="J65" i="97"/>
  <c r="I65" i="97"/>
  <c r="L64" i="97"/>
  <c r="K64" i="97"/>
  <c r="J64" i="97"/>
  <c r="I64" i="97"/>
  <c r="L63" i="97"/>
  <c r="K63" i="97"/>
  <c r="J63" i="97"/>
  <c r="I63" i="97"/>
  <c r="L62" i="97"/>
  <c r="K62" i="97"/>
  <c r="J62" i="97"/>
  <c r="I62" i="97"/>
  <c r="L61" i="97"/>
  <c r="K61" i="97"/>
  <c r="J61" i="97"/>
  <c r="I61" i="97"/>
  <c r="L60" i="97"/>
  <c r="K60" i="97"/>
  <c r="J60" i="97"/>
  <c r="I60" i="97"/>
  <c r="L59" i="97"/>
  <c r="K59" i="97"/>
  <c r="J59" i="97"/>
  <c r="I59" i="97"/>
  <c r="M58" i="97"/>
  <c r="L58" i="97"/>
  <c r="K58" i="97"/>
  <c r="J58" i="97"/>
  <c r="I58" i="97"/>
  <c r="L57" i="97"/>
  <c r="K57" i="97"/>
  <c r="J57" i="97"/>
  <c r="I57" i="97"/>
  <c r="L56" i="97"/>
  <c r="K56" i="97"/>
  <c r="J56" i="97"/>
  <c r="I56" i="97"/>
  <c r="L55" i="97"/>
  <c r="K55" i="97"/>
  <c r="J55" i="97"/>
  <c r="I55" i="97"/>
  <c r="L54" i="97"/>
  <c r="K54" i="97"/>
  <c r="J54" i="97"/>
  <c r="I54" i="97"/>
  <c r="L53" i="97"/>
  <c r="K53" i="97"/>
  <c r="J53" i="97"/>
  <c r="I53" i="97"/>
  <c r="L52" i="97"/>
  <c r="K52" i="97"/>
  <c r="J52" i="97"/>
  <c r="I52" i="97"/>
  <c r="L51" i="97"/>
  <c r="K51" i="97"/>
  <c r="J51" i="97"/>
  <c r="I51" i="97"/>
  <c r="L50" i="97"/>
  <c r="K50" i="97"/>
  <c r="J50" i="97"/>
  <c r="I50" i="97"/>
  <c r="L49" i="97"/>
  <c r="K49" i="97"/>
  <c r="J49" i="97"/>
  <c r="I49" i="97"/>
  <c r="L48" i="97"/>
  <c r="K48" i="97"/>
  <c r="J48" i="97"/>
  <c r="I48" i="97"/>
  <c r="L47" i="97"/>
  <c r="K47" i="97"/>
  <c r="J47" i="97"/>
  <c r="I47" i="97"/>
  <c r="M46" i="97"/>
  <c r="L46" i="97"/>
  <c r="K46" i="97"/>
  <c r="J46" i="97"/>
  <c r="I46" i="97"/>
  <c r="L45" i="97"/>
  <c r="K45" i="97"/>
  <c r="J45" i="97"/>
  <c r="I45" i="97"/>
  <c r="L44" i="97"/>
  <c r="K44" i="97"/>
  <c r="J44" i="97"/>
  <c r="I44" i="97"/>
  <c r="L43" i="97"/>
  <c r="K43" i="97"/>
  <c r="J43" i="97"/>
  <c r="I43" i="97"/>
  <c r="L42" i="97"/>
  <c r="K42" i="97"/>
  <c r="J42" i="97"/>
  <c r="I42" i="97"/>
  <c r="L41" i="97"/>
  <c r="K41" i="97"/>
  <c r="J41" i="97"/>
  <c r="I41" i="97"/>
  <c r="L40" i="97"/>
  <c r="K40" i="97"/>
  <c r="J40" i="97"/>
  <c r="I40" i="97"/>
  <c r="L39" i="97"/>
  <c r="K39" i="97"/>
  <c r="J39" i="97"/>
  <c r="I39" i="97"/>
  <c r="L38" i="97"/>
  <c r="K38" i="97"/>
  <c r="J38" i="97"/>
  <c r="I38" i="97"/>
  <c r="L37" i="97"/>
  <c r="K37" i="97"/>
  <c r="J37" i="97"/>
  <c r="I37" i="97"/>
  <c r="L36" i="97"/>
  <c r="K36" i="97"/>
  <c r="J36" i="97"/>
  <c r="I36" i="97"/>
  <c r="L35" i="97"/>
  <c r="K35" i="97"/>
  <c r="J35" i="97"/>
  <c r="I35" i="97"/>
  <c r="M34" i="97"/>
  <c r="L34" i="97"/>
  <c r="K34" i="97"/>
  <c r="J34" i="97"/>
  <c r="I34" i="97"/>
  <c r="L33" i="97"/>
  <c r="K33" i="97"/>
  <c r="J33" i="97"/>
  <c r="I33" i="97"/>
  <c r="L32" i="97"/>
  <c r="K32" i="97"/>
  <c r="J32" i="97"/>
  <c r="I32" i="97"/>
  <c r="L31" i="97"/>
  <c r="K31" i="97"/>
  <c r="J31" i="97"/>
  <c r="I31" i="97"/>
  <c r="L30" i="97"/>
  <c r="K30" i="97"/>
  <c r="J30" i="97"/>
  <c r="I30" i="97"/>
  <c r="L29" i="97"/>
  <c r="K29" i="97"/>
  <c r="J29" i="97"/>
  <c r="I29" i="97"/>
  <c r="L28" i="97"/>
  <c r="K28" i="97"/>
  <c r="J28" i="97"/>
  <c r="I28" i="97"/>
  <c r="L27" i="97"/>
  <c r="K27" i="97"/>
  <c r="J27" i="97"/>
  <c r="I27" i="97"/>
  <c r="L26" i="97"/>
  <c r="K26" i="97"/>
  <c r="J26" i="97"/>
  <c r="I26" i="97"/>
  <c r="L25" i="97"/>
  <c r="K25" i="97"/>
  <c r="J25" i="97"/>
  <c r="I25" i="97"/>
  <c r="L24" i="97"/>
  <c r="K24" i="97"/>
  <c r="J24" i="97"/>
  <c r="I24" i="97"/>
  <c r="L23" i="97"/>
  <c r="K23" i="97"/>
  <c r="J23" i="97"/>
  <c r="I23" i="97"/>
  <c r="M22" i="97"/>
  <c r="L22" i="97"/>
  <c r="K22" i="97"/>
  <c r="J22" i="97"/>
  <c r="I22" i="97"/>
  <c r="I21" i="97"/>
  <c r="I20" i="97"/>
  <c r="I19" i="97"/>
  <c r="I18" i="97"/>
  <c r="I17" i="97"/>
  <c r="I16" i="97"/>
  <c r="I15" i="97"/>
  <c r="I14" i="97"/>
  <c r="I13" i="97"/>
  <c r="I12" i="97"/>
  <c r="I11" i="97"/>
  <c r="J8" i="97"/>
  <c r="D37" i="98"/>
  <c r="I43" i="33"/>
  <c r="H43" i="33"/>
  <c r="E43" i="33"/>
  <c r="K42" i="33"/>
  <c r="H42" i="33"/>
  <c r="G42" i="33"/>
  <c r="K41" i="33"/>
  <c r="J41" i="33"/>
  <c r="G41" i="33"/>
  <c r="L34" i="98"/>
  <c r="J40" i="33"/>
  <c r="I40" i="33"/>
  <c r="E40" i="33"/>
  <c r="I39" i="33"/>
  <c r="H39" i="33"/>
  <c r="E39" i="33"/>
  <c r="K38" i="33"/>
  <c r="H38" i="33"/>
  <c r="G38" i="33"/>
  <c r="K37" i="33"/>
  <c r="J37" i="33"/>
  <c r="G37" i="33"/>
  <c r="L30" i="98"/>
  <c r="J36" i="33"/>
  <c r="I36" i="33"/>
  <c r="E36" i="33"/>
  <c r="I35" i="33"/>
  <c r="H35" i="33"/>
  <c r="E35" i="33"/>
  <c r="K34" i="33"/>
  <c r="H34" i="33"/>
  <c r="G34" i="33"/>
  <c r="K33" i="33"/>
  <c r="J33" i="33"/>
  <c r="G33" i="33"/>
  <c r="L26" i="98"/>
  <c r="I37" i="98"/>
  <c r="G37" i="98"/>
  <c r="E32" i="33"/>
  <c r="D54" i="90"/>
  <c r="I215" i="7" s="1"/>
  <c r="AF72" i="92"/>
  <c r="AD72" i="92"/>
  <c r="AC72" i="92"/>
  <c r="Y72" i="92"/>
  <c r="AE72" i="92" s="1"/>
  <c r="AF71" i="92"/>
  <c r="AD71" i="92"/>
  <c r="AC71" i="92"/>
  <c r="Y71" i="92"/>
  <c r="AE71" i="92" s="1"/>
  <c r="AF70" i="92"/>
  <c r="AE70" i="92"/>
  <c r="AD70" i="92"/>
  <c r="AC70" i="92"/>
  <c r="AF69" i="92"/>
  <c r="AD69" i="92"/>
  <c r="AC69" i="92"/>
  <c r="Y69" i="92"/>
  <c r="AE69" i="92" s="1"/>
  <c r="AF68" i="92"/>
  <c r="AD68" i="92"/>
  <c r="AC68" i="92"/>
  <c r="Y68" i="92"/>
  <c r="AE68" i="92" s="1"/>
  <c r="AF67" i="92"/>
  <c r="AE67" i="92"/>
  <c r="AD67" i="92"/>
  <c r="AC67" i="92"/>
  <c r="AF66" i="92"/>
  <c r="AD66" i="92"/>
  <c r="AC66" i="92"/>
  <c r="Y66" i="92"/>
  <c r="AE66" i="92" s="1"/>
  <c r="AE65" i="92"/>
  <c r="AD65" i="92"/>
  <c r="AC65" i="92"/>
  <c r="Y65" i="92"/>
  <c r="AF65" i="92" s="1"/>
  <c r="AF64" i="92"/>
  <c r="AE64" i="92"/>
  <c r="AD64" i="92"/>
  <c r="AC64" i="92"/>
  <c r="AF63" i="92"/>
  <c r="AD63" i="92"/>
  <c r="AC63" i="92"/>
  <c r="Y63" i="92"/>
  <c r="AE63" i="92" s="1"/>
  <c r="AF62" i="92"/>
  <c r="AD62" i="92"/>
  <c r="AC62" i="92"/>
  <c r="Y62" i="92"/>
  <c r="AE62" i="92" s="1"/>
  <c r="AF61" i="92"/>
  <c r="AD61" i="92"/>
  <c r="AC61" i="92"/>
  <c r="Y61" i="92"/>
  <c r="AE61" i="92" s="1"/>
  <c r="AF60" i="92"/>
  <c r="AD60" i="92"/>
  <c r="AC60" i="92"/>
  <c r="Y60" i="92"/>
  <c r="AE60" i="92" s="1"/>
  <c r="AF59" i="92"/>
  <c r="AD59" i="92"/>
  <c r="AC59" i="92"/>
  <c r="Y59" i="92"/>
  <c r="AE59" i="92" s="1"/>
  <c r="AF58" i="92"/>
  <c r="AD58" i="92"/>
  <c r="AC58" i="92"/>
  <c r="Y58" i="92"/>
  <c r="AE58" i="92" s="1"/>
  <c r="AF57" i="92"/>
  <c r="AD57" i="92"/>
  <c r="AC57" i="92"/>
  <c r="Y57" i="92"/>
  <c r="AE57" i="92" s="1"/>
  <c r="AF56" i="92"/>
  <c r="AD56" i="92"/>
  <c r="AC56" i="92"/>
  <c r="Y56" i="92"/>
  <c r="AE56" i="92" s="1"/>
  <c r="AF55" i="92"/>
  <c r="AE55" i="92"/>
  <c r="AD55" i="92"/>
  <c r="AC55" i="92"/>
  <c r="AE54" i="92"/>
  <c r="AD54" i="92"/>
  <c r="AC54" i="92"/>
  <c r="Y54" i="92"/>
  <c r="AF54" i="92" s="1"/>
  <c r="AE53" i="92"/>
  <c r="AD53" i="92"/>
  <c r="AC53" i="92"/>
  <c r="Y53" i="92"/>
  <c r="AF53" i="92" s="1"/>
  <c r="AE52" i="92"/>
  <c r="AD52" i="92"/>
  <c r="AC52" i="92"/>
  <c r="Y52" i="92"/>
  <c r="AF52" i="92" s="1"/>
  <c r="AF51" i="92"/>
  <c r="AD51" i="92"/>
  <c r="AC51" i="92"/>
  <c r="Y51" i="92"/>
  <c r="AE51" i="92" s="1"/>
  <c r="AF50" i="92"/>
  <c r="AD50" i="92"/>
  <c r="AC50" i="92"/>
  <c r="Y50" i="92"/>
  <c r="AE50" i="92" s="1"/>
  <c r="AF49" i="92"/>
  <c r="AD49" i="92"/>
  <c r="AC49" i="92"/>
  <c r="Y49" i="92"/>
  <c r="AE49" i="92" s="1"/>
  <c r="AF48" i="92"/>
  <c r="AD48" i="92"/>
  <c r="AC48" i="92"/>
  <c r="Y48" i="92"/>
  <c r="AE48" i="92" s="1"/>
  <c r="AF47" i="92"/>
  <c r="AD47" i="92"/>
  <c r="AC47" i="92"/>
  <c r="Y47" i="92"/>
  <c r="AE47" i="92" s="1"/>
  <c r="AF46" i="92"/>
  <c r="AE46" i="92"/>
  <c r="AD46" i="92"/>
  <c r="AC46" i="92"/>
  <c r="AE45" i="92"/>
  <c r="AD45" i="92"/>
  <c r="AC45" i="92"/>
  <c r="Y45" i="92"/>
  <c r="AF45" i="92" s="1"/>
  <c r="AF44" i="92"/>
  <c r="AE44" i="92"/>
  <c r="AD44" i="92"/>
  <c r="AC44" i="92"/>
  <c r="AE43" i="92"/>
  <c r="AD43" i="92"/>
  <c r="AC43" i="92"/>
  <c r="Y43" i="92"/>
  <c r="AF43" i="92" s="1"/>
  <c r="AE42" i="92"/>
  <c r="AD42" i="92"/>
  <c r="AC42" i="92"/>
  <c r="Y42" i="92"/>
  <c r="AF42" i="92" s="1"/>
  <c r="AE41" i="92"/>
  <c r="AD41" i="92"/>
  <c r="AC41" i="92"/>
  <c r="Y41" i="92"/>
  <c r="AF41" i="92" s="1"/>
  <c r="AE40" i="92"/>
  <c r="AD40" i="92"/>
  <c r="AC40" i="92"/>
  <c r="Y40" i="92"/>
  <c r="AF40" i="92" s="1"/>
  <c r="AE39" i="92"/>
  <c r="AD39" i="92"/>
  <c r="AC39" i="92"/>
  <c r="Y39" i="92"/>
  <c r="AF39" i="92" s="1"/>
  <c r="AF38" i="92"/>
  <c r="AE38" i="92"/>
  <c r="AD38" i="92"/>
  <c r="AC38" i="92"/>
  <c r="AE37" i="92"/>
  <c r="AD37" i="92"/>
  <c r="AC37" i="92"/>
  <c r="Y37" i="92"/>
  <c r="AF37" i="92" s="1"/>
  <c r="AE36" i="92"/>
  <c r="AD36" i="92"/>
  <c r="AC36" i="92"/>
  <c r="Y36" i="92"/>
  <c r="AF36" i="92" s="1"/>
  <c r="AE35" i="92"/>
  <c r="AD35" i="92"/>
  <c r="AC35" i="92"/>
  <c r="Y35" i="92"/>
  <c r="AF35" i="92" s="1"/>
  <c r="AE34" i="92"/>
  <c r="AD34" i="92"/>
  <c r="AC34" i="92"/>
  <c r="Y34" i="92"/>
  <c r="AF34" i="92" s="1"/>
  <c r="AE33" i="92"/>
  <c r="AD33" i="92"/>
  <c r="AC33" i="92"/>
  <c r="Y33" i="92"/>
  <c r="AF33" i="92" s="1"/>
  <c r="AE32" i="92"/>
  <c r="AD32" i="92"/>
  <c r="AC32" i="92"/>
  <c r="Y32" i="92"/>
  <c r="AF32" i="92" s="1"/>
  <c r="AE31" i="92"/>
  <c r="AD31" i="92"/>
  <c r="AC31" i="92"/>
  <c r="Y31" i="92"/>
  <c r="AF31" i="92" s="1"/>
  <c r="AE30" i="92"/>
  <c r="AD30" i="92"/>
  <c r="AC30" i="92"/>
  <c r="Y30" i="92"/>
  <c r="AF30" i="92" s="1"/>
  <c r="AF29" i="92"/>
  <c r="AE29" i="92"/>
  <c r="AD29" i="92"/>
  <c r="AC29" i="92"/>
  <c r="AE28" i="92"/>
  <c r="AD28" i="92"/>
  <c r="AC28" i="92"/>
  <c r="Y28" i="92"/>
  <c r="AF28" i="92" s="1"/>
  <c r="AF27" i="92"/>
  <c r="AD27" i="92"/>
  <c r="AC27" i="92"/>
  <c r="Y27" i="92"/>
  <c r="AE27" i="92" s="1"/>
  <c r="AE26" i="92"/>
  <c r="AD26" i="92"/>
  <c r="AC26" i="92"/>
  <c r="Y26" i="92"/>
  <c r="AF26" i="92" s="1"/>
  <c r="AF25" i="92"/>
  <c r="AD25" i="92"/>
  <c r="AC25" i="92"/>
  <c r="Y25" i="92"/>
  <c r="AE25" i="92" s="1"/>
  <c r="AF24" i="92"/>
  <c r="AE24" i="92"/>
  <c r="AD24" i="92"/>
  <c r="AC24" i="92"/>
  <c r="AE23" i="92"/>
  <c r="AD23" i="92"/>
  <c r="AC23" i="92"/>
  <c r="Y23" i="92"/>
  <c r="AF23" i="92" s="1"/>
  <c r="AE22" i="92"/>
  <c r="AD22" i="92"/>
  <c r="AC22" i="92"/>
  <c r="Y22" i="92"/>
  <c r="AF22" i="92" s="1"/>
  <c r="AE21" i="92"/>
  <c r="AD21" i="92"/>
  <c r="AC21" i="92"/>
  <c r="Y21" i="92"/>
  <c r="AF21" i="92" s="1"/>
  <c r="AE20" i="92"/>
  <c r="AD20" i="92"/>
  <c r="AC20" i="92"/>
  <c r="Y20" i="92"/>
  <c r="AF20" i="92" s="1"/>
  <c r="AE19" i="92"/>
  <c r="AD19" i="92"/>
  <c r="AC19" i="92"/>
  <c r="Y19" i="92"/>
  <c r="AF19" i="92" s="1"/>
  <c r="AE18" i="92"/>
  <c r="AD18" i="92"/>
  <c r="AC18" i="92"/>
  <c r="Y18" i="92"/>
  <c r="AF18" i="92" s="1"/>
  <c r="AE17" i="92"/>
  <c r="AD17" i="92"/>
  <c r="AC17" i="92"/>
  <c r="Y17" i="92"/>
  <c r="AF17" i="92" s="1"/>
  <c r="AE16" i="92"/>
  <c r="AD16" i="92"/>
  <c r="AC16" i="92"/>
  <c r="Y16" i="92"/>
  <c r="AF16" i="92" s="1"/>
  <c r="AE15" i="92"/>
  <c r="AD15" i="92"/>
  <c r="AC15" i="92"/>
  <c r="Y15" i="92"/>
  <c r="AF15" i="92" s="1"/>
  <c r="AE14" i="92"/>
  <c r="AD14" i="92"/>
  <c r="AC14" i="92"/>
  <c r="Y14" i="92"/>
  <c r="AF14" i="92" s="1"/>
  <c r="AE13" i="92"/>
  <c r="AD13" i="92"/>
  <c r="AC13" i="92"/>
  <c r="Y13" i="92"/>
  <c r="AF13" i="92" s="1"/>
  <c r="AE12" i="92"/>
  <c r="AD12" i="92"/>
  <c r="AC12" i="92"/>
  <c r="Y12" i="92"/>
  <c r="AF12" i="92" s="1"/>
  <c r="AE11" i="92"/>
  <c r="AD11" i="92"/>
  <c r="AC11" i="92"/>
  <c r="Y11" i="92"/>
  <c r="AF11" i="92" s="1"/>
  <c r="AE10" i="92"/>
  <c r="AD10" i="92"/>
  <c r="AC10" i="92"/>
  <c r="Y10" i="92"/>
  <c r="AF10" i="92" s="1"/>
  <c r="AE9" i="92"/>
  <c r="AD9" i="92"/>
  <c r="AC9" i="92"/>
  <c r="Y9" i="92"/>
  <c r="AF9" i="92" s="1"/>
  <c r="AE8" i="92"/>
  <c r="AD8" i="92"/>
  <c r="AC8" i="92"/>
  <c r="Y8" i="92"/>
  <c r="AF8" i="92" s="1"/>
  <c r="Y7" i="92"/>
  <c r="Y6" i="92"/>
  <c r="C21" i="91"/>
  <c r="C29" i="93"/>
  <c r="C28" i="93"/>
  <c r="H199" i="1" s="1"/>
  <c r="C27" i="93"/>
  <c r="H196" i="1" s="1"/>
  <c r="K196" i="1" s="1"/>
  <c r="C25" i="93"/>
  <c r="C23" i="93"/>
  <c r="C21" i="93"/>
  <c r="H188" i="1" s="1"/>
  <c r="C19" i="93"/>
  <c r="H183" i="1" s="1"/>
  <c r="C18" i="93"/>
  <c r="C13" i="93"/>
  <c r="H174" i="1" s="1"/>
  <c r="K174" i="1" s="1"/>
  <c r="L174" i="1" s="1"/>
  <c r="C12" i="93"/>
  <c r="C11" i="93"/>
  <c r="H172" i="1" s="1"/>
  <c r="C9" i="93"/>
  <c r="H168" i="1" s="1"/>
  <c r="O168" i="1" s="1"/>
  <c r="C7" i="93"/>
  <c r="D56" i="106"/>
  <c r="E15" i="105"/>
  <c r="J57" i="115"/>
  <c r="I57" i="115"/>
  <c r="L53" i="115"/>
  <c r="K53" i="115"/>
  <c r="J53" i="115"/>
  <c r="I53" i="115"/>
  <c r="H53" i="115"/>
  <c r="G53" i="115"/>
  <c r="F53" i="115"/>
  <c r="L52" i="115"/>
  <c r="K52" i="115"/>
  <c r="J52" i="115"/>
  <c r="I52" i="115"/>
  <c r="H52" i="115"/>
  <c r="L51" i="115"/>
  <c r="K51" i="115"/>
  <c r="J51" i="115"/>
  <c r="I51" i="115"/>
  <c r="H51" i="115"/>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L35"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J14" i="115"/>
  <c r="I14" i="115"/>
  <c r="H14" i="115"/>
  <c r="L13" i="115"/>
  <c r="J13" i="115"/>
  <c r="I13" i="115"/>
  <c r="H13" i="115"/>
  <c r="L12" i="115"/>
  <c r="K12" i="115"/>
  <c r="J12" i="115"/>
  <c r="I12" i="115"/>
  <c r="H12" i="115"/>
  <c r="L11" i="115"/>
  <c r="K11" i="115"/>
  <c r="J11" i="115"/>
  <c r="I11" i="115"/>
  <c r="H11" i="115"/>
  <c r="L10" i="115"/>
  <c r="K10" i="115"/>
  <c r="J10" i="115"/>
  <c r="I10" i="115"/>
  <c r="H10" i="115"/>
  <c r="K9" i="115"/>
  <c r="J9" i="115"/>
  <c r="I9" i="115"/>
  <c r="H9" i="115"/>
  <c r="L8" i="115"/>
  <c r="K8" i="115"/>
  <c r="J8" i="115"/>
  <c r="I8" i="115"/>
  <c r="H8" i="115"/>
  <c r="L7" i="115"/>
  <c r="K7" i="115"/>
  <c r="J7" i="115"/>
  <c r="I7" i="115"/>
  <c r="H7" i="115"/>
  <c r="E13" i="95"/>
  <c r="G42" i="113"/>
  <c r="E42" i="113"/>
  <c r="U21" i="113"/>
  <c r="R21" i="113"/>
  <c r="Q21" i="113"/>
  <c r="N21" i="113"/>
  <c r="M21" i="113"/>
  <c r="I21" i="113"/>
  <c r="H41" i="113"/>
  <c r="E41" i="113"/>
  <c r="R20" i="113"/>
  <c r="N20" i="113"/>
  <c r="L20" i="100" s="1"/>
  <c r="M20" i="113"/>
  <c r="K20" i="100" s="1"/>
  <c r="J20" i="113"/>
  <c r="E40" i="113"/>
  <c r="U19" i="113"/>
  <c r="S19" i="100" s="1"/>
  <c r="R19" i="113"/>
  <c r="Q19" i="113"/>
  <c r="O19" i="100" s="1"/>
  <c r="N19" i="113"/>
  <c r="M19" i="113"/>
  <c r="K19" i="100" s="1"/>
  <c r="K22" i="104"/>
  <c r="K23" i="104" s="1"/>
  <c r="J19" i="113"/>
  <c r="H19" i="100" s="1"/>
  <c r="I19" i="113"/>
  <c r="G19" i="100" s="1"/>
  <c r="E19" i="113"/>
  <c r="C19" i="100" s="1"/>
  <c r="E39" i="113"/>
  <c r="U18" i="113"/>
  <c r="S18" i="100" s="1"/>
  <c r="Q18" i="113"/>
  <c r="O18" i="100" s="1"/>
  <c r="M18" i="113"/>
  <c r="K18" i="100" s="1"/>
  <c r="H18" i="113"/>
  <c r="F18" i="100" s="1"/>
  <c r="E18" i="113"/>
  <c r="C18" i="100" s="1"/>
  <c r="D18" i="113"/>
  <c r="D39" i="113" s="1"/>
  <c r="F38" i="113"/>
  <c r="T17" i="113"/>
  <c r="P17" i="113"/>
  <c r="L17" i="113"/>
  <c r="H17" i="113"/>
  <c r="G17" i="113"/>
  <c r="D17" i="113"/>
  <c r="D38" i="113" s="1"/>
  <c r="C17" i="113"/>
  <c r="C38" i="113" s="1"/>
  <c r="G37" i="113"/>
  <c r="S16" i="113"/>
  <c r="Q16" i="100" s="1"/>
  <c r="O16" i="113"/>
  <c r="M16" i="100" s="1"/>
  <c r="J16" i="113"/>
  <c r="G16" i="113"/>
  <c r="F16" i="113"/>
  <c r="C16" i="113"/>
  <c r="C37" i="113" s="1"/>
  <c r="H36" i="113"/>
  <c r="E36" i="113"/>
  <c r="R15" i="113"/>
  <c r="N15" i="113"/>
  <c r="J15" i="113"/>
  <c r="I15" i="113"/>
  <c r="G15" i="100" s="1"/>
  <c r="H15" i="113"/>
  <c r="D15" i="113"/>
  <c r="D36" i="113" s="1"/>
  <c r="H35" i="113"/>
  <c r="G35" i="113"/>
  <c r="F35" i="113"/>
  <c r="E35" i="113"/>
  <c r="U14" i="113"/>
  <c r="S14" i="100" s="1"/>
  <c r="T14" i="113"/>
  <c r="R14" i="113"/>
  <c r="P14" i="113"/>
  <c r="N14" i="113"/>
  <c r="M14" i="113"/>
  <c r="K14" i="100" s="1"/>
  <c r="L14" i="113"/>
  <c r="H14" i="113"/>
  <c r="D14" i="113"/>
  <c r="D35" i="113" s="1"/>
  <c r="F34" i="113"/>
  <c r="T13" i="113"/>
  <c r="R13" i="113"/>
  <c r="Q13" i="113"/>
  <c r="P13" i="113"/>
  <c r="N13" i="113"/>
  <c r="L13" i="113"/>
  <c r="G33" i="113"/>
  <c r="T12" i="113"/>
  <c r="S12" i="113"/>
  <c r="Q12" i="100" s="1"/>
  <c r="P12" i="113"/>
  <c r="O12" i="113"/>
  <c r="M12" i="100" s="1"/>
  <c r="L12" i="113"/>
  <c r="J12" i="113"/>
  <c r="H12" i="113"/>
  <c r="G12" i="113"/>
  <c r="E12" i="100" s="1"/>
  <c r="D12" i="113"/>
  <c r="D33" i="113" s="1"/>
  <c r="H32" i="113"/>
  <c r="G32" i="113"/>
  <c r="E32" i="113"/>
  <c r="S11" i="113"/>
  <c r="R11" i="113"/>
  <c r="O11" i="113"/>
  <c r="N11" i="113"/>
  <c r="I11" i="113"/>
  <c r="G11" i="100" s="1"/>
  <c r="E11" i="113"/>
  <c r="C11" i="100" s="1"/>
  <c r="H31" i="113"/>
  <c r="U10" i="113"/>
  <c r="S10" i="100" s="1"/>
  <c r="R10" i="113"/>
  <c r="H30" i="113"/>
  <c r="G30" i="113"/>
  <c r="F30" i="113"/>
  <c r="I43" i="102"/>
  <c r="C42" i="102"/>
  <c r="J41" i="102"/>
  <c r="H43" i="102"/>
  <c r="I22" i="102"/>
  <c r="D42" i="102"/>
  <c r="V20" i="102"/>
  <c r="D41" i="102"/>
  <c r="C41" i="102"/>
  <c r="D40" i="102"/>
  <c r="C40" i="102"/>
  <c r="D39" i="102"/>
  <c r="C39" i="102"/>
  <c r="D38" i="102"/>
  <c r="C38" i="102"/>
  <c r="V16" i="102"/>
  <c r="D37" i="102"/>
  <c r="C37" i="102"/>
  <c r="D36" i="102"/>
  <c r="C36" i="102"/>
  <c r="D35" i="102"/>
  <c r="C35" i="102"/>
  <c r="D34" i="102"/>
  <c r="C34" i="102"/>
  <c r="V12" i="102"/>
  <c r="D33" i="102"/>
  <c r="C33" i="102"/>
  <c r="D32" i="102"/>
  <c r="C32" i="102"/>
  <c r="P22" i="102"/>
  <c r="L22" i="102"/>
  <c r="H22" i="102"/>
  <c r="D31" i="102"/>
  <c r="C31" i="102"/>
  <c r="J41" i="101"/>
  <c r="J37" i="101"/>
  <c r="J33" i="101"/>
  <c r="D42" i="101"/>
  <c r="C42" i="101"/>
  <c r="J20" i="100"/>
  <c r="D41" i="101"/>
  <c r="C41" i="101"/>
  <c r="D40" i="101"/>
  <c r="C40" i="101"/>
  <c r="V18" i="101"/>
  <c r="D39" i="101"/>
  <c r="C39" i="101"/>
  <c r="D38" i="101"/>
  <c r="C38" i="101"/>
  <c r="D37" i="101"/>
  <c r="C37" i="101"/>
  <c r="F15" i="100"/>
  <c r="E15" i="100"/>
  <c r="D36" i="101"/>
  <c r="C36" i="101"/>
  <c r="D35" i="101"/>
  <c r="C35" i="101"/>
  <c r="Q22" i="101"/>
  <c r="D34" i="101"/>
  <c r="C34" i="101"/>
  <c r="O12" i="100"/>
  <c r="N12" i="100"/>
  <c r="J12" i="100"/>
  <c r="D33" i="101"/>
  <c r="C33" i="101"/>
  <c r="J11" i="100"/>
  <c r="E11" i="100"/>
  <c r="D32" i="101"/>
  <c r="C32" i="101"/>
  <c r="R22" i="101"/>
  <c r="N22" i="101"/>
  <c r="F22" i="101"/>
  <c r="D31" i="101"/>
  <c r="C31" i="101"/>
  <c r="I43" i="113"/>
  <c r="H42" i="113"/>
  <c r="F42" i="113"/>
  <c r="D42" i="113"/>
  <c r="G41" i="113"/>
  <c r="F41" i="113"/>
  <c r="H40" i="113"/>
  <c r="G40" i="113"/>
  <c r="F40" i="113"/>
  <c r="H39" i="113"/>
  <c r="G39" i="113"/>
  <c r="F39" i="113"/>
  <c r="H38" i="113"/>
  <c r="G38" i="113"/>
  <c r="E38" i="113"/>
  <c r="H37" i="113"/>
  <c r="F37" i="113"/>
  <c r="E37" i="113"/>
  <c r="G36" i="113"/>
  <c r="F36" i="113"/>
  <c r="H34" i="113"/>
  <c r="G34" i="113"/>
  <c r="E34" i="113"/>
  <c r="H33" i="113"/>
  <c r="F33" i="113"/>
  <c r="E33" i="113"/>
  <c r="F32" i="113"/>
  <c r="F31" i="113"/>
  <c r="E31" i="113"/>
  <c r="E30" i="113"/>
  <c r="H29" i="113"/>
  <c r="G29" i="113"/>
  <c r="F29" i="113"/>
  <c r="E29" i="113"/>
  <c r="G28" i="113"/>
  <c r="F28" i="113"/>
  <c r="E28" i="113"/>
  <c r="T21" i="113"/>
  <c r="S21" i="113"/>
  <c r="P21" i="113"/>
  <c r="O21" i="113"/>
  <c r="M21" i="100" s="1"/>
  <c r="L21" i="113"/>
  <c r="J21" i="100" s="1"/>
  <c r="K21" i="113"/>
  <c r="I21" i="100" s="1"/>
  <c r="J21" i="113"/>
  <c r="H21" i="113"/>
  <c r="G21" i="113"/>
  <c r="F21" i="113"/>
  <c r="E21" i="113"/>
  <c r="D21" i="113"/>
  <c r="C21" i="113"/>
  <c r="C42" i="113" s="1"/>
  <c r="U20" i="113"/>
  <c r="S20" i="100" s="1"/>
  <c r="T20" i="113"/>
  <c r="R20" i="100" s="1"/>
  <c r="S20" i="113"/>
  <c r="Q20" i="113"/>
  <c r="O20" i="100" s="1"/>
  <c r="P20" i="113"/>
  <c r="O20" i="113"/>
  <c r="M20" i="100" s="1"/>
  <c r="L20" i="113"/>
  <c r="K20" i="113"/>
  <c r="I20" i="113"/>
  <c r="G20" i="100" s="1"/>
  <c r="H20" i="113"/>
  <c r="F20" i="100" s="1"/>
  <c r="G20" i="113"/>
  <c r="E20" i="113"/>
  <c r="C20" i="100" s="1"/>
  <c r="D20" i="113"/>
  <c r="D41" i="113" s="1"/>
  <c r="C20" i="113"/>
  <c r="C41" i="113" s="1"/>
  <c r="T19" i="113"/>
  <c r="R19" i="100" s="1"/>
  <c r="S19" i="113"/>
  <c r="Q19" i="100" s="1"/>
  <c r="P19" i="113"/>
  <c r="O19" i="113"/>
  <c r="L19" i="113"/>
  <c r="K19" i="113"/>
  <c r="I19" i="100" s="1"/>
  <c r="H19" i="113"/>
  <c r="G19" i="113"/>
  <c r="D19" i="113"/>
  <c r="D40" i="113" s="1"/>
  <c r="C19" i="113"/>
  <c r="C40" i="113" s="1"/>
  <c r="T18" i="113"/>
  <c r="S18" i="113"/>
  <c r="Q18" i="100" s="1"/>
  <c r="R18" i="113"/>
  <c r="P18" i="113"/>
  <c r="O18" i="113"/>
  <c r="M18" i="100" s="1"/>
  <c r="N18" i="113"/>
  <c r="L18" i="113"/>
  <c r="K18" i="113"/>
  <c r="J18" i="113"/>
  <c r="G18" i="113"/>
  <c r="E18" i="100" s="1"/>
  <c r="F18" i="113"/>
  <c r="C18" i="113"/>
  <c r="C39" i="113" s="1"/>
  <c r="U17" i="113"/>
  <c r="S17" i="113"/>
  <c r="R17" i="113"/>
  <c r="Q17" i="113"/>
  <c r="O17" i="100" s="1"/>
  <c r="O17" i="113"/>
  <c r="M17" i="100" s="1"/>
  <c r="N17" i="113"/>
  <c r="M17" i="113"/>
  <c r="K17" i="113"/>
  <c r="J17" i="113"/>
  <c r="I17" i="113"/>
  <c r="F17" i="113"/>
  <c r="E17" i="113"/>
  <c r="C17" i="100" s="1"/>
  <c r="U16" i="113"/>
  <c r="S16" i="100" s="1"/>
  <c r="T16" i="113"/>
  <c r="R16" i="100" s="1"/>
  <c r="R16" i="113"/>
  <c r="Q16" i="113"/>
  <c r="O16" i="100" s="1"/>
  <c r="P16" i="113"/>
  <c r="N16" i="100" s="1"/>
  <c r="N16" i="113"/>
  <c r="L16" i="100" s="1"/>
  <c r="M16" i="113"/>
  <c r="K16" i="100" s="1"/>
  <c r="L16" i="113"/>
  <c r="K16" i="113"/>
  <c r="I16" i="113"/>
  <c r="G16" i="100" s="1"/>
  <c r="H16" i="113"/>
  <c r="E16" i="113"/>
  <c r="C16" i="100" s="1"/>
  <c r="D16" i="113"/>
  <c r="D37" i="113" s="1"/>
  <c r="U15" i="113"/>
  <c r="S15" i="100" s="1"/>
  <c r="T15" i="113"/>
  <c r="R15" i="100" s="1"/>
  <c r="S15" i="113"/>
  <c r="Q15" i="100" s="1"/>
  <c r="Q15" i="113"/>
  <c r="P15" i="113"/>
  <c r="O15" i="113"/>
  <c r="M15" i="113"/>
  <c r="L15" i="113"/>
  <c r="K15" i="113"/>
  <c r="G15" i="113"/>
  <c r="E15" i="113"/>
  <c r="C15" i="100" s="1"/>
  <c r="C15" i="113"/>
  <c r="C36" i="113" s="1"/>
  <c r="S14" i="113"/>
  <c r="Q14" i="113"/>
  <c r="O14" i="100" s="1"/>
  <c r="O14" i="113"/>
  <c r="M14" i="100" s="1"/>
  <c r="K14" i="113"/>
  <c r="J14" i="113"/>
  <c r="I14" i="113"/>
  <c r="G14" i="113"/>
  <c r="F14" i="113"/>
  <c r="E14" i="113"/>
  <c r="C14" i="100" s="1"/>
  <c r="C14" i="113"/>
  <c r="C35" i="113" s="1"/>
  <c r="U13" i="113"/>
  <c r="S13" i="100" s="1"/>
  <c r="S13" i="113"/>
  <c r="Q13" i="100" s="1"/>
  <c r="O13" i="113"/>
  <c r="M13" i="100" s="1"/>
  <c r="M13" i="113"/>
  <c r="K13" i="100" s="1"/>
  <c r="K13" i="113"/>
  <c r="J13" i="113"/>
  <c r="I13" i="113"/>
  <c r="H13" i="113"/>
  <c r="G13" i="113"/>
  <c r="E13" i="100" s="1"/>
  <c r="F13" i="113"/>
  <c r="E13" i="113"/>
  <c r="D13" i="113"/>
  <c r="D34" i="113" s="1"/>
  <c r="C13" i="113"/>
  <c r="C34" i="113" s="1"/>
  <c r="U12" i="113"/>
  <c r="R12" i="113"/>
  <c r="P12" i="100" s="1"/>
  <c r="Q12" i="113"/>
  <c r="N12" i="113"/>
  <c r="M12" i="113"/>
  <c r="K12" i="100" s="1"/>
  <c r="K12" i="113"/>
  <c r="I12" i="113"/>
  <c r="G12" i="100" s="1"/>
  <c r="E12" i="113"/>
  <c r="C12" i="113"/>
  <c r="C33" i="113" s="1"/>
  <c r="U11" i="113"/>
  <c r="S11" i="100" s="1"/>
  <c r="T11" i="113"/>
  <c r="Q11" i="113"/>
  <c r="O11" i="100" s="1"/>
  <c r="P11" i="113"/>
  <c r="N11" i="100" s="1"/>
  <c r="M11" i="113"/>
  <c r="K11" i="100" s="1"/>
  <c r="L11" i="113"/>
  <c r="K11" i="113"/>
  <c r="J11" i="113"/>
  <c r="H11" i="113"/>
  <c r="F11" i="100" s="1"/>
  <c r="G11" i="113"/>
  <c r="F11" i="113"/>
  <c r="D11" i="113"/>
  <c r="D32" i="113" s="1"/>
  <c r="C11" i="113"/>
  <c r="C32" i="113" s="1"/>
  <c r="T10" i="113"/>
  <c r="S10" i="113"/>
  <c r="Q10" i="113"/>
  <c r="O10" i="100" s="1"/>
  <c r="P10" i="113"/>
  <c r="O10" i="113"/>
  <c r="M10" i="113"/>
  <c r="K10" i="100" s="1"/>
  <c r="L10" i="113"/>
  <c r="K10" i="113"/>
  <c r="J10" i="113"/>
  <c r="I10" i="113"/>
  <c r="H10" i="113"/>
  <c r="G10" i="113"/>
  <c r="F10" i="113"/>
  <c r="E10" i="113"/>
  <c r="D10" i="113"/>
  <c r="D31" i="113" s="1"/>
  <c r="C10" i="113"/>
  <c r="C31" i="113" s="1"/>
  <c r="E9" i="113"/>
  <c r="E8" i="113"/>
  <c r="E7" i="113"/>
  <c r="AF43" i="100"/>
  <c r="AD43" i="100"/>
  <c r="AC43" i="100"/>
  <c r="Y43" i="100"/>
  <c r="X43" i="100"/>
  <c r="W43" i="100"/>
  <c r="V43" i="100"/>
  <c r="U43" i="100"/>
  <c r="T43" i="100"/>
  <c r="S43" i="100"/>
  <c r="R43" i="100"/>
  <c r="Q43" i="100"/>
  <c r="P43" i="100"/>
  <c r="O43" i="100"/>
  <c r="N43" i="100"/>
  <c r="M43" i="100"/>
  <c r="L43" i="100"/>
  <c r="K43" i="100"/>
  <c r="J43" i="100"/>
  <c r="I43" i="100"/>
  <c r="H43" i="100"/>
  <c r="G43" i="100"/>
  <c r="F43" i="100"/>
  <c r="E43" i="100"/>
  <c r="D43" i="100"/>
  <c r="C43" i="100"/>
  <c r="AF42" i="100"/>
  <c r="AD42" i="100"/>
  <c r="AC42" i="100"/>
  <c r="Y42" i="100"/>
  <c r="X42" i="100"/>
  <c r="W42" i="100"/>
  <c r="V42" i="100"/>
  <c r="U42" i="100"/>
  <c r="T42" i="100"/>
  <c r="S42" i="100"/>
  <c r="R42" i="100"/>
  <c r="Q42" i="100"/>
  <c r="P42" i="100"/>
  <c r="O42" i="100"/>
  <c r="N42" i="100"/>
  <c r="M42" i="100"/>
  <c r="L42" i="100"/>
  <c r="K42" i="100"/>
  <c r="J42" i="100"/>
  <c r="I42" i="100"/>
  <c r="H42" i="100"/>
  <c r="G42" i="100"/>
  <c r="F42" i="100"/>
  <c r="E42" i="100"/>
  <c r="D42" i="100"/>
  <c r="C42" i="100"/>
  <c r="AF41" i="100"/>
  <c r="Y41" i="100"/>
  <c r="AF40" i="100"/>
  <c r="Y40" i="100"/>
  <c r="AF39" i="100"/>
  <c r="Y39" i="100"/>
  <c r="AF38" i="100"/>
  <c r="Y38" i="100"/>
  <c r="AF37" i="100"/>
  <c r="Y37" i="100"/>
  <c r="AF36" i="100"/>
  <c r="Y36" i="100"/>
  <c r="AF35" i="100"/>
  <c r="Y35" i="100"/>
  <c r="AF34" i="100"/>
  <c r="Y34" i="100"/>
  <c r="AF33" i="100"/>
  <c r="Y33" i="100"/>
  <c r="AF32" i="100"/>
  <c r="Y32" i="100"/>
  <c r="AF31" i="100"/>
  <c r="Y31" i="100"/>
  <c r="AF30" i="100"/>
  <c r="Y30" i="100"/>
  <c r="AB23" i="100"/>
  <c r="AA23" i="100"/>
  <c r="Z23" i="100"/>
  <c r="Y23" i="100"/>
  <c r="X23" i="100"/>
  <c r="W23" i="100"/>
  <c r="AB22" i="100"/>
  <c r="AA22" i="100"/>
  <c r="Z22" i="100"/>
  <c r="Y22" i="100"/>
  <c r="X22" i="100"/>
  <c r="W22" i="100"/>
  <c r="AB21" i="100"/>
  <c r="E21" i="100"/>
  <c r="AB20" i="100"/>
  <c r="Q20" i="100"/>
  <c r="I20" i="100"/>
  <c r="E20" i="100"/>
  <c r="AB19" i="100"/>
  <c r="AB18" i="100"/>
  <c r="I18" i="100"/>
  <c r="AB17" i="100"/>
  <c r="I17" i="100"/>
  <c r="E17" i="100"/>
  <c r="AB16" i="100"/>
  <c r="I16" i="100"/>
  <c r="E16" i="100"/>
  <c r="AB15" i="100"/>
  <c r="M15" i="100"/>
  <c r="I15" i="100"/>
  <c r="AB14" i="100"/>
  <c r="R14" i="100"/>
  <c r="I14" i="100"/>
  <c r="G14" i="100"/>
  <c r="AB13" i="100"/>
  <c r="R13" i="100"/>
  <c r="I13" i="100"/>
  <c r="AB12" i="100"/>
  <c r="S12" i="100"/>
  <c r="R12" i="100"/>
  <c r="I12" i="100"/>
  <c r="F12" i="100"/>
  <c r="AB11" i="100"/>
  <c r="R11" i="100"/>
  <c r="I11" i="100"/>
  <c r="AB10" i="100"/>
  <c r="Q10" i="100"/>
  <c r="M10" i="100"/>
  <c r="I10" i="100"/>
  <c r="T71" i="26"/>
  <c r="R71" i="26"/>
  <c r="A71" i="26"/>
  <c r="S70" i="26"/>
  <c r="O70" i="26"/>
  <c r="I70" i="26"/>
  <c r="A70" i="26"/>
  <c r="O69" i="26"/>
  <c r="I69" i="26"/>
  <c r="H69" i="26"/>
  <c r="F69" i="26"/>
  <c r="E69" i="26"/>
  <c r="D69" i="26"/>
  <c r="C69" i="26"/>
  <c r="B69" i="26"/>
  <c r="A69" i="26"/>
  <c r="O68" i="26"/>
  <c r="I68" i="26"/>
  <c r="H68" i="26"/>
  <c r="F68" i="26"/>
  <c r="E68" i="26"/>
  <c r="D68" i="26"/>
  <c r="C68" i="26"/>
  <c r="B68" i="26"/>
  <c r="A68" i="26"/>
  <c r="O67" i="26"/>
  <c r="I67" i="26"/>
  <c r="H67" i="26"/>
  <c r="F67" i="26"/>
  <c r="E67" i="26"/>
  <c r="D67" i="26"/>
  <c r="C67" i="26"/>
  <c r="B67" i="26"/>
  <c r="A67" i="26"/>
  <c r="O66" i="26"/>
  <c r="I66" i="26"/>
  <c r="H66" i="26"/>
  <c r="F66" i="26"/>
  <c r="E66" i="26"/>
  <c r="D66" i="26"/>
  <c r="C66" i="26"/>
  <c r="B66" i="26"/>
  <c r="A66" i="26"/>
  <c r="O65" i="26"/>
  <c r="I65" i="26"/>
  <c r="H65" i="26"/>
  <c r="F65" i="26"/>
  <c r="E65" i="26"/>
  <c r="D65" i="26"/>
  <c r="C65" i="26"/>
  <c r="B65" i="26"/>
  <c r="A65" i="26"/>
  <c r="O64" i="26"/>
  <c r="I64" i="26"/>
  <c r="H64" i="26"/>
  <c r="F64" i="26"/>
  <c r="E64" i="26"/>
  <c r="D64" i="26"/>
  <c r="C64" i="26"/>
  <c r="B64" i="26"/>
  <c r="A64" i="26"/>
  <c r="O63" i="26"/>
  <c r="I63" i="26"/>
  <c r="H63" i="26"/>
  <c r="F63" i="26"/>
  <c r="E63" i="26"/>
  <c r="D63" i="26"/>
  <c r="C63" i="26"/>
  <c r="B63" i="26"/>
  <c r="A63" i="26"/>
  <c r="O62" i="26"/>
  <c r="I62" i="26"/>
  <c r="H62" i="26"/>
  <c r="F62" i="26"/>
  <c r="E62" i="26"/>
  <c r="D62" i="26"/>
  <c r="C62" i="26"/>
  <c r="B62" i="26"/>
  <c r="A62" i="26"/>
  <c r="O61" i="26"/>
  <c r="I61" i="26"/>
  <c r="H61" i="26"/>
  <c r="F61" i="26"/>
  <c r="E61" i="26"/>
  <c r="D61" i="26"/>
  <c r="C61" i="26"/>
  <c r="B61" i="26"/>
  <c r="A61" i="26"/>
  <c r="O60" i="26"/>
  <c r="I60" i="26"/>
  <c r="H60" i="26"/>
  <c r="F60" i="26"/>
  <c r="E60" i="26"/>
  <c r="D60" i="26"/>
  <c r="C60" i="26"/>
  <c r="B60" i="26"/>
  <c r="A60" i="26"/>
  <c r="O59" i="26"/>
  <c r="I59" i="26"/>
  <c r="H59" i="26"/>
  <c r="F59" i="26"/>
  <c r="E59" i="26"/>
  <c r="D59" i="26"/>
  <c r="C59" i="26"/>
  <c r="B59" i="26"/>
  <c r="A59" i="26"/>
  <c r="O58" i="26"/>
  <c r="I58" i="26"/>
  <c r="H58" i="26"/>
  <c r="F58" i="26"/>
  <c r="E58" i="26"/>
  <c r="D58" i="26"/>
  <c r="C58" i="26"/>
  <c r="B58" i="26"/>
  <c r="A58" i="26"/>
  <c r="O57" i="26"/>
  <c r="I57" i="26"/>
  <c r="H57" i="26"/>
  <c r="F57" i="26"/>
  <c r="E57" i="26"/>
  <c r="D57" i="26"/>
  <c r="C57" i="26"/>
  <c r="B57" i="26"/>
  <c r="A57" i="26"/>
  <c r="O56" i="26"/>
  <c r="I56" i="26"/>
  <c r="H56" i="26"/>
  <c r="F56" i="26"/>
  <c r="E56" i="26"/>
  <c r="D56" i="26"/>
  <c r="C56" i="26"/>
  <c r="B56" i="26"/>
  <c r="A56" i="26"/>
  <c r="O55" i="26"/>
  <c r="I55" i="26"/>
  <c r="H55" i="26"/>
  <c r="F55" i="26"/>
  <c r="E55" i="26"/>
  <c r="D55" i="26"/>
  <c r="C55" i="26"/>
  <c r="B55" i="26"/>
  <c r="A55" i="26"/>
  <c r="O54" i="26"/>
  <c r="I54" i="26"/>
  <c r="H54" i="26"/>
  <c r="F54" i="26"/>
  <c r="E54" i="26"/>
  <c r="D54" i="26"/>
  <c r="C54" i="26"/>
  <c r="B54" i="26"/>
  <c r="A54" i="26"/>
  <c r="O53" i="26"/>
  <c r="I53" i="26"/>
  <c r="H53" i="26"/>
  <c r="F53" i="26"/>
  <c r="E53" i="26"/>
  <c r="D53" i="26"/>
  <c r="C53" i="26"/>
  <c r="B53" i="26"/>
  <c r="A53" i="26"/>
  <c r="O52" i="26"/>
  <c r="I52" i="26"/>
  <c r="H52" i="26"/>
  <c r="F52" i="26"/>
  <c r="E52" i="26"/>
  <c r="D52" i="26"/>
  <c r="C52" i="26"/>
  <c r="B52" i="26"/>
  <c r="A52" i="26"/>
  <c r="O51" i="26"/>
  <c r="I51" i="26"/>
  <c r="H51" i="26"/>
  <c r="F51" i="26"/>
  <c r="E51" i="26"/>
  <c r="D51" i="26"/>
  <c r="C51" i="26"/>
  <c r="B51" i="26"/>
  <c r="A51" i="26"/>
  <c r="O50" i="26"/>
  <c r="I50" i="26"/>
  <c r="H50" i="26"/>
  <c r="F50" i="26"/>
  <c r="E50" i="26"/>
  <c r="D50" i="26"/>
  <c r="C50" i="26"/>
  <c r="B50" i="26"/>
  <c r="A50" i="26"/>
  <c r="O49" i="26"/>
  <c r="I49" i="26"/>
  <c r="H49" i="26"/>
  <c r="F49" i="26"/>
  <c r="E49" i="26"/>
  <c r="D49" i="26"/>
  <c r="C49" i="26"/>
  <c r="B49" i="26"/>
  <c r="A49" i="26"/>
  <c r="O48" i="26"/>
  <c r="F48" i="26"/>
  <c r="E48" i="26"/>
  <c r="D48" i="26"/>
  <c r="C48" i="26"/>
  <c r="B48" i="26"/>
  <c r="A48" i="26"/>
  <c r="O47" i="26"/>
  <c r="F47" i="26"/>
  <c r="E47" i="26"/>
  <c r="D47" i="26"/>
  <c r="C47" i="26"/>
  <c r="B47" i="26"/>
  <c r="A47" i="26"/>
  <c r="O46" i="26"/>
  <c r="F46" i="26"/>
  <c r="E46" i="26"/>
  <c r="D46" i="26"/>
  <c r="C46" i="26"/>
  <c r="B46" i="26"/>
  <c r="A46" i="26"/>
  <c r="O45" i="26"/>
  <c r="F45" i="26"/>
  <c r="E45" i="26"/>
  <c r="D45" i="26"/>
  <c r="C45" i="26"/>
  <c r="B45" i="26"/>
  <c r="A45" i="26"/>
  <c r="O44" i="26"/>
  <c r="F44" i="26"/>
  <c r="E44" i="26"/>
  <c r="D44" i="26"/>
  <c r="C44" i="26"/>
  <c r="B44" i="26"/>
  <c r="A44" i="26"/>
  <c r="O43" i="26"/>
  <c r="I43" i="26"/>
  <c r="H43" i="26"/>
  <c r="F43" i="26"/>
  <c r="E43" i="26"/>
  <c r="D43" i="26"/>
  <c r="C43" i="26"/>
  <c r="B43" i="26"/>
  <c r="A43" i="26"/>
  <c r="O42" i="26"/>
  <c r="I42" i="26"/>
  <c r="H42" i="26"/>
  <c r="F42" i="26"/>
  <c r="E42" i="26"/>
  <c r="D42" i="26"/>
  <c r="C42" i="26"/>
  <c r="B42" i="26"/>
  <c r="A42" i="26"/>
  <c r="O41" i="26"/>
  <c r="I41" i="26"/>
  <c r="H41" i="26"/>
  <c r="F41" i="26"/>
  <c r="E41" i="26"/>
  <c r="D41" i="26"/>
  <c r="C41" i="26"/>
  <c r="B41" i="26"/>
  <c r="A41" i="26"/>
  <c r="O40" i="26"/>
  <c r="I40" i="26"/>
  <c r="H40" i="26"/>
  <c r="F40" i="26"/>
  <c r="E40" i="26"/>
  <c r="D40" i="26"/>
  <c r="C40" i="26"/>
  <c r="B40" i="26"/>
  <c r="A40" i="26"/>
  <c r="O39" i="26"/>
  <c r="I39" i="26"/>
  <c r="H39" i="26"/>
  <c r="F39" i="26"/>
  <c r="E39" i="26"/>
  <c r="D39" i="26"/>
  <c r="C39" i="26"/>
  <c r="B39" i="26"/>
  <c r="A39" i="26"/>
  <c r="O38" i="26"/>
  <c r="I38" i="26"/>
  <c r="H38" i="26"/>
  <c r="F38" i="26"/>
  <c r="E38" i="26"/>
  <c r="D38" i="26"/>
  <c r="C38" i="26"/>
  <c r="B38" i="26"/>
  <c r="A38" i="26"/>
  <c r="O37" i="26"/>
  <c r="I37" i="26"/>
  <c r="H37" i="26"/>
  <c r="F37" i="26"/>
  <c r="E37" i="26"/>
  <c r="D37" i="26"/>
  <c r="C37" i="26"/>
  <c r="B37" i="26"/>
  <c r="A37" i="26"/>
  <c r="O36" i="26"/>
  <c r="I36" i="26"/>
  <c r="H36" i="26"/>
  <c r="F36" i="26"/>
  <c r="E36" i="26"/>
  <c r="D36" i="26"/>
  <c r="C36" i="26"/>
  <c r="B36" i="26"/>
  <c r="A36" i="26"/>
  <c r="O35" i="26"/>
  <c r="I35" i="26"/>
  <c r="H35" i="26"/>
  <c r="F35" i="26"/>
  <c r="E35" i="26"/>
  <c r="D35" i="26"/>
  <c r="C35" i="26"/>
  <c r="B35" i="26"/>
  <c r="A35" i="26"/>
  <c r="O34" i="26"/>
  <c r="I34" i="26"/>
  <c r="H34" i="26"/>
  <c r="F34" i="26"/>
  <c r="E34" i="26"/>
  <c r="D34" i="26"/>
  <c r="C34" i="26"/>
  <c r="B34" i="26"/>
  <c r="A34" i="26"/>
  <c r="O33" i="26"/>
  <c r="I33" i="26"/>
  <c r="H33" i="26"/>
  <c r="F33" i="26"/>
  <c r="E33" i="26"/>
  <c r="D33" i="26"/>
  <c r="C33" i="26"/>
  <c r="B33" i="26"/>
  <c r="A33" i="26"/>
  <c r="O32" i="26"/>
  <c r="N32" i="26"/>
  <c r="I32" i="26"/>
  <c r="H32" i="26"/>
  <c r="F32" i="26"/>
  <c r="E32" i="26"/>
  <c r="D32" i="26"/>
  <c r="C32" i="26"/>
  <c r="B32" i="26"/>
  <c r="A32" i="26"/>
  <c r="O31" i="26"/>
  <c r="N31" i="26"/>
  <c r="I31" i="26"/>
  <c r="H31" i="26"/>
  <c r="F31" i="26"/>
  <c r="E31" i="26"/>
  <c r="D31" i="26"/>
  <c r="B31" i="26"/>
  <c r="A31" i="26"/>
  <c r="O30" i="26"/>
  <c r="N30" i="26"/>
  <c r="I30" i="26"/>
  <c r="H30" i="26"/>
  <c r="F30" i="26"/>
  <c r="E30" i="26"/>
  <c r="C30" i="26"/>
  <c r="B30" i="26"/>
  <c r="A30" i="26"/>
  <c r="N27" i="26"/>
  <c r="H27" i="26"/>
  <c r="E27" i="26"/>
  <c r="A27" i="26"/>
  <c r="H26" i="26"/>
  <c r="A26" i="26"/>
  <c r="A25" i="26"/>
  <c r="C24" i="26"/>
  <c r="A24" i="26"/>
  <c r="K23" i="26"/>
  <c r="H23" i="26"/>
  <c r="A23" i="26"/>
  <c r="A22" i="26"/>
  <c r="A21" i="26"/>
  <c r="F14" i="26"/>
  <c r="D14" i="26"/>
  <c r="F10" i="26"/>
  <c r="D10" i="26"/>
  <c r="F9" i="26"/>
  <c r="D9" i="26"/>
  <c r="G66" i="33"/>
  <c r="D66" i="33"/>
  <c r="D65" i="33"/>
  <c r="C65" i="33"/>
  <c r="B65" i="33"/>
  <c r="Q62" i="33"/>
  <c r="Q61" i="33"/>
  <c r="G61" i="33"/>
  <c r="D61" i="33"/>
  <c r="Q60" i="33"/>
  <c r="D60" i="33"/>
  <c r="C60" i="33"/>
  <c r="B60" i="33"/>
  <c r="A60" i="33"/>
  <c r="Q59" i="33"/>
  <c r="Q58" i="33"/>
  <c r="Q57" i="33"/>
  <c r="Q56" i="33"/>
  <c r="D56" i="33"/>
  <c r="Q55" i="33"/>
  <c r="D55" i="33"/>
  <c r="C55" i="33"/>
  <c r="B55" i="33"/>
  <c r="A55" i="33"/>
  <c r="Q54" i="33"/>
  <c r="Q53" i="33"/>
  <c r="G53" i="33"/>
  <c r="D53" i="33"/>
  <c r="Q52" i="33"/>
  <c r="D52" i="33"/>
  <c r="C52" i="33"/>
  <c r="B52" i="33"/>
  <c r="G50" i="33"/>
  <c r="D49" i="33"/>
  <c r="C49" i="33"/>
  <c r="B49" i="33"/>
  <c r="W47" i="33"/>
  <c r="P47" i="33"/>
  <c r="P46" i="33"/>
  <c r="V44" i="33"/>
  <c r="U44" i="33"/>
  <c r="N44" i="33"/>
  <c r="V43" i="33"/>
  <c r="U43" i="33"/>
  <c r="O43" i="33"/>
  <c r="K43" i="33"/>
  <c r="J43" i="33"/>
  <c r="G43" i="33"/>
  <c r="F43" i="33"/>
  <c r="D43" i="33"/>
  <c r="V42" i="33"/>
  <c r="U42" i="33"/>
  <c r="O42" i="33"/>
  <c r="J42" i="33"/>
  <c r="I42" i="33"/>
  <c r="F42" i="33"/>
  <c r="E42" i="33"/>
  <c r="D42" i="33"/>
  <c r="V41" i="33"/>
  <c r="U41" i="33"/>
  <c r="O41" i="33"/>
  <c r="I41" i="33"/>
  <c r="H41" i="33"/>
  <c r="E41" i="33"/>
  <c r="D41" i="33"/>
  <c r="V40" i="33"/>
  <c r="U40" i="33"/>
  <c r="O40" i="33"/>
  <c r="K40" i="33"/>
  <c r="H40" i="33"/>
  <c r="G40" i="33"/>
  <c r="D40" i="33"/>
  <c r="V39" i="33"/>
  <c r="U39" i="33"/>
  <c r="O39" i="33"/>
  <c r="K39" i="33"/>
  <c r="J39" i="33"/>
  <c r="G39" i="33"/>
  <c r="F39" i="33"/>
  <c r="D39" i="33"/>
  <c r="V38" i="33"/>
  <c r="U38" i="33"/>
  <c r="O38" i="33"/>
  <c r="J38" i="33"/>
  <c r="I38" i="33"/>
  <c r="F38" i="33"/>
  <c r="E38" i="33"/>
  <c r="D38" i="33"/>
  <c r="V37" i="33"/>
  <c r="U37" i="33"/>
  <c r="O37" i="33"/>
  <c r="I37" i="33"/>
  <c r="H37" i="33"/>
  <c r="E37" i="33"/>
  <c r="D37" i="33"/>
  <c r="V36" i="33"/>
  <c r="U36" i="33"/>
  <c r="O36" i="33"/>
  <c r="K36" i="33"/>
  <c r="H36" i="33"/>
  <c r="G36" i="33"/>
  <c r="D36" i="33"/>
  <c r="V35" i="33"/>
  <c r="U35" i="33"/>
  <c r="O35" i="33"/>
  <c r="K35" i="33"/>
  <c r="J35" i="33"/>
  <c r="G35" i="33"/>
  <c r="F35" i="33"/>
  <c r="D35" i="33"/>
  <c r="V34" i="33"/>
  <c r="U34" i="33"/>
  <c r="O34" i="33"/>
  <c r="J34" i="33"/>
  <c r="I34" i="33"/>
  <c r="F34" i="33"/>
  <c r="E34" i="33"/>
  <c r="D34" i="33"/>
  <c r="V33" i="33"/>
  <c r="U33" i="33"/>
  <c r="O33" i="33"/>
  <c r="I33" i="33"/>
  <c r="H33" i="33"/>
  <c r="E33" i="33"/>
  <c r="D33" i="33"/>
  <c r="V32" i="33"/>
  <c r="U32" i="33"/>
  <c r="K32" i="33"/>
  <c r="J32" i="33"/>
  <c r="H32" i="33"/>
  <c r="G32" i="33"/>
  <c r="F32" i="33"/>
  <c r="D32" i="33"/>
  <c r="V31" i="33"/>
  <c r="U31" i="33"/>
  <c r="S31" i="33"/>
  <c r="R31" i="33"/>
  <c r="Q31" i="33"/>
  <c r="P31" i="33"/>
  <c r="L31" i="33"/>
  <c r="V28" i="33"/>
  <c r="U28" i="33"/>
  <c r="S28" i="33"/>
  <c r="R28" i="33"/>
  <c r="Q28" i="33"/>
  <c r="P28" i="33"/>
  <c r="U26" i="33"/>
  <c r="P26" i="33"/>
  <c r="C25" i="33"/>
  <c r="B25" i="33"/>
  <c r="G23" i="33"/>
  <c r="D22" i="33"/>
  <c r="C22" i="33"/>
  <c r="B22" i="33"/>
  <c r="A22" i="33"/>
  <c r="C17" i="33"/>
  <c r="B17" i="33"/>
  <c r="C15" i="33"/>
  <c r="B15" i="33"/>
  <c r="B14" i="33"/>
  <c r="C12" i="33"/>
  <c r="C11" i="33"/>
  <c r="C10" i="33"/>
  <c r="C9" i="33"/>
  <c r="B9" i="33"/>
  <c r="H323" i="7"/>
  <c r="A323" i="7"/>
  <c r="E312" i="7"/>
  <c r="A312" i="7"/>
  <c r="E311" i="7"/>
  <c r="H310" i="7"/>
  <c r="H312" i="7" s="1"/>
  <c r="H147" i="1" s="1"/>
  <c r="E310" i="7"/>
  <c r="E307" i="7"/>
  <c r="C307" i="7"/>
  <c r="A307" i="7"/>
  <c r="E306" i="7"/>
  <c r="E305" i="7"/>
  <c r="E302" i="7"/>
  <c r="C302" i="7"/>
  <c r="A302" i="7"/>
  <c r="H301" i="7"/>
  <c r="E301" i="7"/>
  <c r="H300" i="7"/>
  <c r="E300" i="7"/>
  <c r="I292" i="7"/>
  <c r="G292" i="7"/>
  <c r="E292" i="7"/>
  <c r="C292" i="7"/>
  <c r="A292" i="7"/>
  <c r="H290" i="7"/>
  <c r="B289" i="7"/>
  <c r="C283" i="7"/>
  <c r="A283" i="7"/>
  <c r="H282" i="7"/>
  <c r="C282" i="7"/>
  <c r="A282" i="7"/>
  <c r="B281" i="7"/>
  <c r="A279" i="7"/>
  <c r="H275" i="7"/>
  <c r="J275" i="7" s="1"/>
  <c r="H113" i="1" s="1"/>
  <c r="K113" i="1" s="1"/>
  <c r="L113" i="1" s="1"/>
  <c r="C275" i="7"/>
  <c r="B67" i="31" s="1"/>
  <c r="A275" i="7"/>
  <c r="C273" i="7"/>
  <c r="A273" i="7"/>
  <c r="H269" i="7"/>
  <c r="H267" i="7"/>
  <c r="H264" i="7"/>
  <c r="C264" i="7"/>
  <c r="B69" i="31" s="1"/>
  <c r="A264" i="7"/>
  <c r="H257" i="7"/>
  <c r="H227" i="1" s="1"/>
  <c r="E257" i="7"/>
  <c r="C257" i="7"/>
  <c r="A257" i="7"/>
  <c r="K250" i="7"/>
  <c r="C250" i="7"/>
  <c r="A250" i="7"/>
  <c r="C243" i="7"/>
  <c r="A243" i="7"/>
  <c r="H236" i="7"/>
  <c r="A236" i="7"/>
  <c r="I234" i="7"/>
  <c r="J233" i="7"/>
  <c r="I232" i="7"/>
  <c r="E221" i="7"/>
  <c r="A221" i="7"/>
  <c r="G220" i="7"/>
  <c r="C220" i="7"/>
  <c r="B70" i="31" s="1"/>
  <c r="H217" i="7"/>
  <c r="C217" i="7"/>
  <c r="A217" i="7"/>
  <c r="I216" i="7"/>
  <c r="G216" i="7"/>
  <c r="C215" i="7"/>
  <c r="E212" i="7"/>
  <c r="A212" i="7"/>
  <c r="I210" i="7"/>
  <c r="H208" i="7"/>
  <c r="I206" i="7"/>
  <c r="I204" i="7"/>
  <c r="I203" i="7"/>
  <c r="H202" i="7"/>
  <c r="I201" i="7"/>
  <c r="G198" i="7"/>
  <c r="I197" i="7"/>
  <c r="I196" i="7"/>
  <c r="H195" i="7"/>
  <c r="H194" i="7"/>
  <c r="I192" i="7"/>
  <c r="I191" i="7"/>
  <c r="I190" i="7"/>
  <c r="H189" i="7"/>
  <c r="I188" i="7"/>
  <c r="K174" i="7"/>
  <c r="G174" i="7"/>
  <c r="E174" i="7"/>
  <c r="A174" i="7"/>
  <c r="B171" i="7"/>
  <c r="A165" i="7"/>
  <c r="H164" i="7"/>
  <c r="H163" i="7"/>
  <c r="A159" i="7"/>
  <c r="I158" i="7"/>
  <c r="I151" i="7"/>
  <c r="G151" i="7"/>
  <c r="E151" i="7"/>
  <c r="A151" i="7"/>
  <c r="H150" i="7"/>
  <c r="H151" i="7" s="1"/>
  <c r="H93" i="1" s="1"/>
  <c r="H149" i="7"/>
  <c r="I147" i="7"/>
  <c r="G147" i="7"/>
  <c r="E147" i="7"/>
  <c r="A147" i="7"/>
  <c r="H145" i="7"/>
  <c r="I143" i="7"/>
  <c r="G143" i="7"/>
  <c r="E143" i="7"/>
  <c r="A143" i="7"/>
  <c r="H141" i="7"/>
  <c r="F134" i="7"/>
  <c r="F132" i="7"/>
  <c r="E132" i="7"/>
  <c r="C132" i="7"/>
  <c r="A132" i="7"/>
  <c r="F130" i="7"/>
  <c r="G130" i="7"/>
  <c r="F114" i="7"/>
  <c r="E114" i="7"/>
  <c r="A114" i="7"/>
  <c r="F109" i="7"/>
  <c r="E109" i="7"/>
  <c r="A109" i="7"/>
  <c r="G109" i="7"/>
  <c r="H24" i="1" s="1"/>
  <c r="K24" i="1" s="1"/>
  <c r="L24" i="1" s="1"/>
  <c r="F104" i="7"/>
  <c r="G104" i="7"/>
  <c r="F88" i="7"/>
  <c r="E88" i="7"/>
  <c r="A88" i="7"/>
  <c r="F68" i="7"/>
  <c r="E68" i="7"/>
  <c r="A68" i="7"/>
  <c r="F62" i="7"/>
  <c r="C56" i="7"/>
  <c r="C55" i="7"/>
  <c r="H49" i="7"/>
  <c r="F46" i="7"/>
  <c r="E46" i="7"/>
  <c r="A46" i="7"/>
  <c r="H45" i="7"/>
  <c r="H44" i="7"/>
  <c r="F41" i="7"/>
  <c r="E41" i="7"/>
  <c r="A41" i="7"/>
  <c r="G41" i="7"/>
  <c r="H43" i="1" s="1"/>
  <c r="H39" i="7"/>
  <c r="F36" i="7"/>
  <c r="F20" i="7"/>
  <c r="E20" i="7"/>
  <c r="A20" i="7"/>
  <c r="B8" i="7"/>
  <c r="B9" i="7" s="1"/>
  <c r="B10" i="7" s="1"/>
  <c r="B11" i="7" s="1"/>
  <c r="B12" i="7" s="1"/>
  <c r="B13" i="7" s="1"/>
  <c r="B14" i="7" s="1"/>
  <c r="B15" i="7" s="1"/>
  <c r="B16" i="7" s="1"/>
  <c r="B17" i="7" s="1"/>
  <c r="B18" i="7" s="1"/>
  <c r="B19" i="7" s="1"/>
  <c r="F7" i="7"/>
  <c r="F23" i="7" s="1"/>
  <c r="F24" i="7" s="1"/>
  <c r="F25" i="7" s="1"/>
  <c r="F26" i="7" s="1"/>
  <c r="F27" i="7" s="1"/>
  <c r="F28" i="7" s="1"/>
  <c r="F29" i="7" s="1"/>
  <c r="F30" i="7" s="1"/>
  <c r="F31" i="7" s="1"/>
  <c r="F32" i="7" s="1"/>
  <c r="F33" i="7" s="1"/>
  <c r="F34" i="7" s="1"/>
  <c r="F35" i="7" s="1"/>
  <c r="A50" i="6"/>
  <c r="A48" i="6"/>
  <c r="G44" i="6"/>
  <c r="A44" i="6"/>
  <c r="G41" i="6"/>
  <c r="A41" i="6"/>
  <c r="A38" i="6"/>
  <c r="A37" i="6"/>
  <c r="A36" i="6"/>
  <c r="G35" i="6"/>
  <c r="A35" i="6"/>
  <c r="A34" i="6"/>
  <c r="A33" i="6"/>
  <c r="G28" i="6"/>
  <c r="C28" i="6"/>
  <c r="A28" i="6"/>
  <c r="G26" i="6"/>
  <c r="F26" i="6"/>
  <c r="C26" i="6"/>
  <c r="A26" i="6"/>
  <c r="G25" i="6"/>
  <c r="F25" i="6"/>
  <c r="E25" i="6"/>
  <c r="D25" i="6"/>
  <c r="A25" i="6"/>
  <c r="G24" i="6"/>
  <c r="F24" i="6"/>
  <c r="E24" i="6"/>
  <c r="D24" i="6"/>
  <c r="A24" i="6"/>
  <c r="G23" i="6"/>
  <c r="F23" i="6"/>
  <c r="E23" i="6"/>
  <c r="D23" i="6"/>
  <c r="A23" i="6"/>
  <c r="I21" i="6"/>
  <c r="G21" i="6"/>
  <c r="F21" i="6"/>
  <c r="E21" i="6"/>
  <c r="D21" i="6"/>
  <c r="A21" i="6"/>
  <c r="G20" i="6"/>
  <c r="F20" i="6"/>
  <c r="E20" i="6"/>
  <c r="D20" i="6"/>
  <c r="A20" i="6"/>
  <c r="G19" i="6"/>
  <c r="F19" i="6"/>
  <c r="E19" i="6"/>
  <c r="D19" i="6"/>
  <c r="A19" i="6"/>
  <c r="G17" i="6"/>
  <c r="F17" i="6"/>
  <c r="E17" i="6"/>
  <c r="D17" i="6"/>
  <c r="A17" i="6"/>
  <c r="G16" i="6"/>
  <c r="F16" i="6"/>
  <c r="E16" i="6"/>
  <c r="D16" i="6"/>
  <c r="A16" i="6"/>
  <c r="G15" i="6"/>
  <c r="F15" i="6"/>
  <c r="E15" i="6"/>
  <c r="D15" i="6"/>
  <c r="A15" i="6"/>
  <c r="D9" i="6"/>
  <c r="G8" i="6"/>
  <c r="B47" i="105"/>
  <c r="E41" i="105"/>
  <c r="E42" i="105"/>
  <c r="E9" i="105" s="1"/>
  <c r="D22" i="105"/>
  <c r="A22" i="105"/>
  <c r="D20" i="105"/>
  <c r="A20" i="105"/>
  <c r="A19" i="105"/>
  <c r="C18" i="105"/>
  <c r="A18" i="105"/>
  <c r="A17" i="105"/>
  <c r="C16" i="105"/>
  <c r="A16" i="105"/>
  <c r="C15" i="105"/>
  <c r="A15" i="105"/>
  <c r="D12" i="105"/>
  <c r="A12" i="105"/>
  <c r="A11" i="105"/>
  <c r="A10" i="105"/>
  <c r="A9" i="105"/>
  <c r="A8" i="105"/>
  <c r="E7" i="105"/>
  <c r="G95" i="76"/>
  <c r="G85" i="76"/>
  <c r="C47" i="76"/>
  <c r="A47" i="76"/>
  <c r="A45" i="76"/>
  <c r="D42" i="76"/>
  <c r="B42" i="76"/>
  <c r="A42" i="76"/>
  <c r="D40" i="76"/>
  <c r="A40" i="76"/>
  <c r="D38" i="76"/>
  <c r="B38" i="76"/>
  <c r="D37" i="76"/>
  <c r="B37" i="76"/>
  <c r="D36" i="76"/>
  <c r="B36" i="76"/>
  <c r="D35" i="76"/>
  <c r="B35" i="76"/>
  <c r="D34" i="76"/>
  <c r="B34" i="76"/>
  <c r="D33" i="76"/>
  <c r="B33" i="76"/>
  <c r="D32" i="76"/>
  <c r="B32" i="76"/>
  <c r="D31" i="76"/>
  <c r="B31" i="76"/>
  <c r="D27" i="76"/>
  <c r="B27" i="76"/>
  <c r="A27" i="76"/>
  <c r="D25" i="76"/>
  <c r="A25" i="76"/>
  <c r="D23" i="76"/>
  <c r="D19" i="76"/>
  <c r="A19" i="76"/>
  <c r="D12" i="76"/>
  <c r="D10" i="76"/>
  <c r="D9" i="76"/>
  <c r="I451" i="116"/>
  <c r="H451" i="116"/>
  <c r="G451" i="116"/>
  <c r="F451" i="116"/>
  <c r="E451" i="116"/>
  <c r="I449" i="116"/>
  <c r="H449" i="116"/>
  <c r="G449" i="116"/>
  <c r="F449" i="116"/>
  <c r="E449" i="116"/>
  <c r="I448" i="116"/>
  <c r="H448" i="116"/>
  <c r="G448" i="116"/>
  <c r="F448" i="116"/>
  <c r="E448" i="116"/>
  <c r="F447" i="116"/>
  <c r="F442" i="116"/>
  <c r="F441" i="116"/>
  <c r="F440" i="116"/>
  <c r="I439" i="116"/>
  <c r="I438" i="116"/>
  <c r="F437" i="116"/>
  <c r="F436" i="116"/>
  <c r="F435" i="116"/>
  <c r="F434" i="116"/>
  <c r="F433" i="116"/>
  <c r="F432" i="116"/>
  <c r="H431" i="116"/>
  <c r="H430" i="116"/>
  <c r="F429" i="116"/>
  <c r="F428" i="116"/>
  <c r="F427" i="116"/>
  <c r="F426" i="116"/>
  <c r="F425" i="116"/>
  <c r="F424" i="116"/>
  <c r="I423" i="116"/>
  <c r="F422" i="116"/>
  <c r="F421" i="116"/>
  <c r="F420" i="116"/>
  <c r="F419" i="116"/>
  <c r="F418" i="116"/>
  <c r="F417" i="116"/>
  <c r="F416" i="116"/>
  <c r="F415" i="116"/>
  <c r="F414" i="116"/>
  <c r="I413" i="116"/>
  <c r="F411" i="116"/>
  <c r="F410" i="116"/>
  <c r="F409" i="116"/>
  <c r="F408" i="116"/>
  <c r="F407" i="116"/>
  <c r="F406" i="116"/>
  <c r="F405" i="116"/>
  <c r="F404" i="116"/>
  <c r="F403" i="116"/>
  <c r="F402" i="116"/>
  <c r="F401" i="116"/>
  <c r="F400" i="116"/>
  <c r="F399" i="116"/>
  <c r="F398" i="116"/>
  <c r="F397" i="116"/>
  <c r="F396" i="116"/>
  <c r="F395" i="116"/>
  <c r="F394" i="116"/>
  <c r="F393" i="116"/>
  <c r="F392" i="116"/>
  <c r="F391" i="116"/>
  <c r="F390" i="116"/>
  <c r="F389" i="116"/>
  <c r="F388" i="116"/>
  <c r="F387" i="116"/>
  <c r="F386" i="116"/>
  <c r="F385" i="116"/>
  <c r="F384" i="116"/>
  <c r="F383" i="116"/>
  <c r="F382" i="116"/>
  <c r="F381" i="116"/>
  <c r="F380" i="116"/>
  <c r="F379" i="116"/>
  <c r="F378" i="116"/>
  <c r="F377" i="116"/>
  <c r="F376" i="116"/>
  <c r="F375" i="116"/>
  <c r="F374" i="116"/>
  <c r="F373" i="116"/>
  <c r="F372" i="116"/>
  <c r="I371" i="116"/>
  <c r="F370" i="116"/>
  <c r="F369" i="116"/>
  <c r="F368" i="116"/>
  <c r="F367" i="116"/>
  <c r="F366" i="116"/>
  <c r="F365" i="116"/>
  <c r="F364" i="116"/>
  <c r="F363" i="116"/>
  <c r="F362" i="116"/>
  <c r="F361" i="116"/>
  <c r="F360" i="116"/>
  <c r="F359" i="116"/>
  <c r="F358" i="116"/>
  <c r="F357" i="116"/>
  <c r="F356" i="116"/>
  <c r="F355" i="116"/>
  <c r="F354" i="116"/>
  <c r="F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I287" i="116"/>
  <c r="H287" i="116"/>
  <c r="G287" i="116"/>
  <c r="F287" i="116"/>
  <c r="E287" i="116"/>
  <c r="I285" i="116"/>
  <c r="H285" i="116"/>
  <c r="G285" i="116"/>
  <c r="F285" i="116"/>
  <c r="E285" i="116"/>
  <c r="I284" i="116"/>
  <c r="H284" i="116"/>
  <c r="G284" i="116"/>
  <c r="F284" i="116"/>
  <c r="E284" i="116"/>
  <c r="F283" i="116"/>
  <c r="F282" i="116"/>
  <c r="F281" i="116"/>
  <c r="F280" i="116"/>
  <c r="F279" i="116"/>
  <c r="F278" i="116"/>
  <c r="F277" i="116"/>
  <c r="F276" i="116"/>
  <c r="E276" i="116"/>
  <c r="F275" i="116"/>
  <c r="F274" i="116"/>
  <c r="F273" i="116"/>
  <c r="F272" i="116"/>
  <c r="F271" i="116"/>
  <c r="F270" i="116"/>
  <c r="F269" i="116"/>
  <c r="G268" i="116"/>
  <c r="I267" i="116"/>
  <c r="F266" i="116"/>
  <c r="F265" i="116"/>
  <c r="F264" i="116"/>
  <c r="F263" i="116"/>
  <c r="F262" i="116"/>
  <c r="F261" i="116"/>
  <c r="F260" i="116"/>
  <c r="H259" i="116"/>
  <c r="F258" i="116"/>
  <c r="F257" i="116"/>
  <c r="F256" i="116"/>
  <c r="F255" i="116"/>
  <c r="F254" i="116"/>
  <c r="F253" i="116"/>
  <c r="E253" i="116"/>
  <c r="F252" i="116"/>
  <c r="F251" i="116"/>
  <c r="F250" i="116"/>
  <c r="F249" i="116"/>
  <c r="F248" i="116"/>
  <c r="F247" i="116"/>
  <c r="F246" i="116"/>
  <c r="F245" i="116"/>
  <c r="F244" i="116"/>
  <c r="H243" i="116"/>
  <c r="H242" i="116"/>
  <c r="I241" i="116"/>
  <c r="E241" i="116"/>
  <c r="I240" i="116"/>
  <c r="E240" i="116"/>
  <c r="G239" i="116"/>
  <c r="E239" i="116"/>
  <c r="F238" i="116"/>
  <c r="F237" i="116"/>
  <c r="F236" i="116"/>
  <c r="F235" i="116"/>
  <c r="F234" i="116"/>
  <c r="F233" i="116"/>
  <c r="F232" i="116"/>
  <c r="H231" i="116"/>
  <c r="F230" i="116"/>
  <c r="F229" i="116"/>
  <c r="F228" i="116"/>
  <c r="F227" i="116"/>
  <c r="E227" i="116"/>
  <c r="F226" i="116"/>
  <c r="I205" i="116"/>
  <c r="H205" i="116"/>
  <c r="G205" i="116"/>
  <c r="F205" i="116"/>
  <c r="E205" i="116"/>
  <c r="I202" i="116"/>
  <c r="H202" i="116"/>
  <c r="G202" i="116"/>
  <c r="F202" i="116"/>
  <c r="E202" i="116"/>
  <c r="F199" i="116"/>
  <c r="F175" i="116"/>
  <c r="I177" i="116"/>
  <c r="I178" i="116"/>
  <c r="H178" i="116"/>
  <c r="G178" i="116"/>
  <c r="F178" i="116"/>
  <c r="E178" i="116"/>
  <c r="D19" i="116"/>
  <c r="A19" i="116"/>
  <c r="A18" i="116"/>
  <c r="A17" i="116"/>
  <c r="D16" i="116"/>
  <c r="A16" i="116"/>
  <c r="A15" i="116"/>
  <c r="A14" i="116"/>
  <c r="A13" i="116"/>
  <c r="I12" i="116"/>
  <c r="H12" i="116"/>
  <c r="G12" i="116"/>
  <c r="F12" i="116"/>
  <c r="E12" i="116"/>
  <c r="A12" i="116"/>
  <c r="H11" i="116"/>
  <c r="F11" i="116"/>
  <c r="E11" i="116"/>
  <c r="A11" i="116"/>
  <c r="I10" i="116"/>
  <c r="H10" i="116"/>
  <c r="G10" i="116"/>
  <c r="F10" i="116"/>
  <c r="E10" i="116"/>
  <c r="I426" i="114"/>
  <c r="H426" i="114"/>
  <c r="G426" i="114"/>
  <c r="F426" i="114"/>
  <c r="E426" i="114"/>
  <c r="I424" i="114"/>
  <c r="H424" i="114"/>
  <c r="G424" i="114"/>
  <c r="F424" i="114"/>
  <c r="E424" i="114"/>
  <c r="I423" i="114"/>
  <c r="H423" i="114"/>
  <c r="G423" i="114"/>
  <c r="F423" i="114"/>
  <c r="E423" i="114"/>
  <c r="F417" i="114"/>
  <c r="F416" i="114"/>
  <c r="F415" i="114"/>
  <c r="I414" i="114"/>
  <c r="I413" i="114"/>
  <c r="F412" i="114"/>
  <c r="F411" i="114"/>
  <c r="F410" i="114"/>
  <c r="F409" i="114"/>
  <c r="F408" i="114"/>
  <c r="F407" i="114"/>
  <c r="H406" i="114"/>
  <c r="F405" i="114"/>
  <c r="F404" i="114"/>
  <c r="F403" i="114"/>
  <c r="F402" i="114"/>
  <c r="F401" i="114"/>
  <c r="I400" i="114"/>
  <c r="F399" i="114"/>
  <c r="F398" i="114"/>
  <c r="F397" i="114"/>
  <c r="F396" i="114"/>
  <c r="F395" i="114"/>
  <c r="F394" i="114"/>
  <c r="F393" i="114"/>
  <c r="F392" i="114"/>
  <c r="I391" i="114"/>
  <c r="F389" i="114"/>
  <c r="F388" i="114"/>
  <c r="F387" i="114"/>
  <c r="F386" i="114"/>
  <c r="F385" i="114"/>
  <c r="F384" i="114"/>
  <c r="F383" i="114"/>
  <c r="F382" i="114"/>
  <c r="F381" i="114"/>
  <c r="F380" i="114"/>
  <c r="F379" i="114"/>
  <c r="F378" i="114"/>
  <c r="F377" i="114"/>
  <c r="F376" i="114"/>
  <c r="F375" i="114"/>
  <c r="F374" i="114"/>
  <c r="F373" i="114"/>
  <c r="F372" i="114"/>
  <c r="F371" i="114"/>
  <c r="F370" i="114"/>
  <c r="F369" i="114"/>
  <c r="F368" i="114"/>
  <c r="F367" i="114"/>
  <c r="F366" i="114"/>
  <c r="F365" i="114"/>
  <c r="F364" i="114"/>
  <c r="F363" i="114"/>
  <c r="F362" i="114"/>
  <c r="F361" i="114"/>
  <c r="F360" i="114"/>
  <c r="F359" i="114"/>
  <c r="F358" i="114"/>
  <c r="F357" i="114"/>
  <c r="F356" i="114"/>
  <c r="F355" i="114"/>
  <c r="F354" i="114"/>
  <c r="I353" i="114"/>
  <c r="F352" i="114"/>
  <c r="F351" i="114"/>
  <c r="F350" i="114"/>
  <c r="F349" i="114"/>
  <c r="F348" i="114"/>
  <c r="F347" i="114"/>
  <c r="F346" i="114"/>
  <c r="F345" i="114"/>
  <c r="F344" i="114"/>
  <c r="F343" i="114"/>
  <c r="F342" i="114"/>
  <c r="F341" i="114"/>
  <c r="F340" i="114"/>
  <c r="F339" i="114"/>
  <c r="F338" i="114"/>
  <c r="F337" i="114"/>
  <c r="F336" i="114"/>
  <c r="F335" i="114"/>
  <c r="F334" i="114"/>
  <c r="F333" i="114"/>
  <c r="F332" i="114"/>
  <c r="F331" i="114"/>
  <c r="F330" i="114"/>
  <c r="F329" i="114"/>
  <c r="F328" i="114"/>
  <c r="F327" i="114"/>
  <c r="F326" i="114"/>
  <c r="F325" i="114"/>
  <c r="F324" i="114"/>
  <c r="F323" i="114"/>
  <c r="F322" i="114"/>
  <c r="F321" i="114"/>
  <c r="F320" i="114"/>
  <c r="F319" i="114"/>
  <c r="F318" i="114"/>
  <c r="F317" i="114"/>
  <c r="F316" i="114"/>
  <c r="F315" i="114"/>
  <c r="F314" i="114"/>
  <c r="F313" i="114"/>
  <c r="F312" i="114"/>
  <c r="F311" i="114"/>
  <c r="F310" i="114"/>
  <c r="F309" i="114"/>
  <c r="F308" i="114"/>
  <c r="F307" i="114"/>
  <c r="F306" i="114"/>
  <c r="F305" i="114"/>
  <c r="F304" i="114"/>
  <c r="F303" i="114"/>
  <c r="F302" i="114"/>
  <c r="F301" i="114"/>
  <c r="F300" i="114"/>
  <c r="F299" i="114"/>
  <c r="F298" i="114"/>
  <c r="F297" i="114"/>
  <c r="F296" i="114"/>
  <c r="F295" i="114"/>
  <c r="F294" i="114"/>
  <c r="F293" i="114"/>
  <c r="F292" i="114"/>
  <c r="F291" i="114"/>
  <c r="F290" i="114"/>
  <c r="F289" i="114"/>
  <c r="F288" i="114"/>
  <c r="I269" i="114"/>
  <c r="H269" i="114"/>
  <c r="G269" i="114"/>
  <c r="F269" i="114"/>
  <c r="E269" i="114"/>
  <c r="I267" i="114"/>
  <c r="H267" i="114"/>
  <c r="G267" i="114"/>
  <c r="F267" i="114"/>
  <c r="E267" i="114"/>
  <c r="I266" i="114"/>
  <c r="H266" i="114"/>
  <c r="G266" i="114"/>
  <c r="F266" i="114"/>
  <c r="E266" i="114"/>
  <c r="F265" i="114"/>
  <c r="F264" i="114"/>
  <c r="F263" i="114"/>
  <c r="F262" i="114"/>
  <c r="F261" i="114"/>
  <c r="F260" i="114"/>
  <c r="F259" i="114"/>
  <c r="F258" i="114"/>
  <c r="F257" i="114"/>
  <c r="F256" i="114"/>
  <c r="F255" i="114"/>
  <c r="F254" i="114"/>
  <c r="F253" i="114"/>
  <c r="G252" i="114"/>
  <c r="I251" i="114"/>
  <c r="F250" i="114"/>
  <c r="F249" i="114"/>
  <c r="F248" i="114"/>
  <c r="F247" i="114"/>
  <c r="F246" i="114"/>
  <c r="F245" i="114"/>
  <c r="H244" i="114"/>
  <c r="F243" i="114"/>
  <c r="F242" i="114"/>
  <c r="F241" i="114"/>
  <c r="F240" i="114"/>
  <c r="F239" i="114"/>
  <c r="F238" i="114"/>
  <c r="F237" i="114"/>
  <c r="F236" i="114"/>
  <c r="F235" i="114"/>
  <c r="F234" i="114"/>
  <c r="F233" i="114"/>
  <c r="F232" i="114"/>
  <c r="F231" i="114"/>
  <c r="F230" i="114"/>
  <c r="H229" i="114"/>
  <c r="H228" i="114"/>
  <c r="I227" i="114"/>
  <c r="E227" i="114"/>
  <c r="I226" i="114"/>
  <c r="E226" i="114"/>
  <c r="G225" i="114"/>
  <c r="E225" i="114"/>
  <c r="F224" i="114"/>
  <c r="F223" i="114"/>
  <c r="F222" i="114"/>
  <c r="F221" i="114"/>
  <c r="F220" i="114"/>
  <c r="F219" i="114"/>
  <c r="F218" i="114"/>
  <c r="H217" i="114"/>
  <c r="F216" i="114"/>
  <c r="F215" i="114"/>
  <c r="F214" i="114"/>
  <c r="F213" i="114"/>
  <c r="F212" i="114"/>
  <c r="I191" i="114"/>
  <c r="H191" i="114"/>
  <c r="G191" i="114"/>
  <c r="F191" i="114"/>
  <c r="E191" i="114"/>
  <c r="I188" i="114"/>
  <c r="H188" i="114"/>
  <c r="G188" i="114"/>
  <c r="F188" i="114"/>
  <c r="E188" i="114"/>
  <c r="F185" i="114"/>
  <c r="H164" i="114"/>
  <c r="F164" i="114"/>
  <c r="F161" i="114"/>
  <c r="I163" i="114"/>
  <c r="H163" i="114"/>
  <c r="G163" i="114"/>
  <c r="F163" i="114"/>
  <c r="E163" i="114"/>
  <c r="I164" i="114"/>
  <c r="G164" i="114"/>
  <c r="E164" i="114"/>
  <c r="H162" i="114"/>
  <c r="D16" i="114"/>
  <c r="A16" i="114"/>
  <c r="A15" i="114"/>
  <c r="A14" i="114"/>
  <c r="A13" i="114"/>
  <c r="I12" i="114"/>
  <c r="H12" i="114"/>
  <c r="G12" i="114"/>
  <c r="F12" i="114"/>
  <c r="E12" i="114"/>
  <c r="A12" i="114"/>
  <c r="H11" i="114"/>
  <c r="F11" i="114"/>
  <c r="E11" i="114"/>
  <c r="A11" i="114"/>
  <c r="I10" i="114"/>
  <c r="H10" i="114"/>
  <c r="G10" i="114"/>
  <c r="F10" i="114"/>
  <c r="E10" i="114"/>
  <c r="D46" i="54"/>
  <c r="D44" i="54"/>
  <c r="D39" i="54"/>
  <c r="D37" i="54"/>
  <c r="D32" i="54"/>
  <c r="D30" i="54"/>
  <c r="D28" i="54"/>
  <c r="D23" i="54"/>
  <c r="D14" i="54"/>
  <c r="D13" i="54"/>
  <c r="D12" i="54"/>
  <c r="D8" i="54"/>
  <c r="D29" i="73"/>
  <c r="A29" i="73"/>
  <c r="D28" i="73"/>
  <c r="A28" i="73"/>
  <c r="D26" i="73"/>
  <c r="A26" i="73"/>
  <c r="D25" i="73"/>
  <c r="A25" i="73"/>
  <c r="D23" i="73"/>
  <c r="A23" i="73"/>
  <c r="D22" i="73"/>
  <c r="A22" i="73"/>
  <c r="D21" i="73"/>
  <c r="A21" i="73"/>
  <c r="A19" i="73"/>
  <c r="D15" i="73"/>
  <c r="A15" i="73"/>
  <c r="D12" i="73"/>
  <c r="A12" i="73"/>
  <c r="A11" i="73"/>
  <c r="E10" i="73"/>
  <c r="A10" i="73"/>
  <c r="A9" i="73"/>
  <c r="E8" i="73"/>
  <c r="A8" i="73"/>
  <c r="C302" i="1"/>
  <c r="C301" i="1"/>
  <c r="C297" i="1"/>
  <c r="F293" i="1"/>
  <c r="A293" i="1"/>
  <c r="F291" i="1"/>
  <c r="A291" i="1"/>
  <c r="H290" i="1"/>
  <c r="F23" i="54" s="1"/>
  <c r="E290" i="1"/>
  <c r="A290" i="1"/>
  <c r="F287" i="1"/>
  <c r="A287" i="1"/>
  <c r="A286" i="1"/>
  <c r="A285" i="1"/>
  <c r="P284" i="1"/>
  <c r="L284" i="1"/>
  <c r="H284" i="1"/>
  <c r="A284" i="1"/>
  <c r="F283" i="1"/>
  <c r="A283" i="1"/>
  <c r="F281" i="1"/>
  <c r="A281" i="1"/>
  <c r="F280" i="1"/>
  <c r="A280" i="1"/>
  <c r="F279" i="1"/>
  <c r="C279" i="1"/>
  <c r="A279" i="1"/>
  <c r="F278" i="1"/>
  <c r="A278" i="1"/>
  <c r="A277" i="1"/>
  <c r="F276" i="1"/>
  <c r="A276" i="1"/>
  <c r="F273" i="1"/>
  <c r="A273" i="1"/>
  <c r="F272" i="1"/>
  <c r="A272" i="1"/>
  <c r="F271" i="1"/>
  <c r="A271" i="1"/>
  <c r="F270" i="1"/>
  <c r="A270" i="1"/>
  <c r="F269" i="1"/>
  <c r="C269" i="1"/>
  <c r="A269" i="1"/>
  <c r="F266" i="1"/>
  <c r="A266" i="1"/>
  <c r="A264" i="1"/>
  <c r="F261" i="1"/>
  <c r="A261" i="1"/>
  <c r="F260" i="1"/>
  <c r="A260" i="1"/>
  <c r="F259" i="1"/>
  <c r="A259" i="1"/>
  <c r="F258" i="1"/>
  <c r="A258" i="1"/>
  <c r="E257" i="1"/>
  <c r="A257" i="1"/>
  <c r="F256" i="1"/>
  <c r="C256" i="1"/>
  <c r="A256" i="1"/>
  <c r="F253" i="1"/>
  <c r="A253" i="1"/>
  <c r="F251" i="1"/>
  <c r="A251" i="1"/>
  <c r="F250" i="1"/>
  <c r="A250" i="1"/>
  <c r="F249" i="1"/>
  <c r="A249" i="1"/>
  <c r="F248" i="1"/>
  <c r="A248" i="1"/>
  <c r="F247" i="1"/>
  <c r="A247" i="1"/>
  <c r="F245" i="1"/>
  <c r="A245" i="1"/>
  <c r="F244" i="1"/>
  <c r="A244" i="1"/>
  <c r="F243" i="1"/>
  <c r="A243" i="1"/>
  <c r="F238" i="1"/>
  <c r="A238" i="1"/>
  <c r="F236" i="1"/>
  <c r="A236" i="1"/>
  <c r="F234" i="1"/>
  <c r="A234" i="1"/>
  <c r="A233" i="1"/>
  <c r="A230" i="1"/>
  <c r="A229" i="1"/>
  <c r="K228" i="1"/>
  <c r="H228" i="1"/>
  <c r="I35" i="6" s="1"/>
  <c r="A228" i="1"/>
  <c r="E227" i="1"/>
  <c r="A227" i="1"/>
  <c r="H226" i="1"/>
  <c r="K226" i="1" s="1"/>
  <c r="E226" i="1"/>
  <c r="A226" i="1"/>
  <c r="F221" i="1"/>
  <c r="A221" i="1"/>
  <c r="F219" i="1"/>
  <c r="A219" i="1"/>
  <c r="F218" i="1"/>
  <c r="A218" i="1"/>
  <c r="F217" i="1"/>
  <c r="A217" i="1"/>
  <c r="F216" i="1"/>
  <c r="A216" i="1"/>
  <c r="H213" i="1"/>
  <c r="E213" i="1"/>
  <c r="A213" i="1"/>
  <c r="F212" i="1"/>
  <c r="A212" i="1"/>
  <c r="F211" i="1"/>
  <c r="A211" i="1"/>
  <c r="F208" i="1"/>
  <c r="E208" i="1"/>
  <c r="A208" i="1"/>
  <c r="F207" i="1"/>
  <c r="A207" i="1"/>
  <c r="F206" i="1"/>
  <c r="E206" i="1"/>
  <c r="A206" i="1"/>
  <c r="F203" i="1"/>
  <c r="A203" i="1"/>
  <c r="A202" i="1"/>
  <c r="H201" i="1"/>
  <c r="A201" i="1"/>
  <c r="F200" i="1"/>
  <c r="A200" i="1"/>
  <c r="A199" i="1"/>
  <c r="A196" i="1"/>
  <c r="F194" i="1"/>
  <c r="A194" i="1"/>
  <c r="P193" i="1"/>
  <c r="L193" i="1"/>
  <c r="A193" i="1"/>
  <c r="P192" i="1"/>
  <c r="L192" i="1"/>
  <c r="H192" i="1"/>
  <c r="O192" i="1" s="1"/>
  <c r="A192" i="1"/>
  <c r="P191" i="1"/>
  <c r="L191" i="1"/>
  <c r="A191" i="1"/>
  <c r="P190" i="1"/>
  <c r="L190" i="1"/>
  <c r="H190" i="1"/>
  <c r="K190" i="1" s="1"/>
  <c r="A190" i="1"/>
  <c r="P189" i="1"/>
  <c r="L189" i="1"/>
  <c r="A189" i="1"/>
  <c r="A188" i="1"/>
  <c r="F185" i="1"/>
  <c r="A185" i="1"/>
  <c r="P184" i="1"/>
  <c r="L184" i="1"/>
  <c r="E184" i="1"/>
  <c r="A184" i="1"/>
  <c r="E183" i="1"/>
  <c r="A183" i="1"/>
  <c r="H182" i="1"/>
  <c r="K182" i="1" s="1"/>
  <c r="E182" i="1"/>
  <c r="A182" i="1"/>
  <c r="E181" i="1"/>
  <c r="A181" i="1"/>
  <c r="P180" i="1"/>
  <c r="L180" i="1"/>
  <c r="E180" i="1"/>
  <c r="A180" i="1"/>
  <c r="E179" i="1"/>
  <c r="A179" i="1"/>
  <c r="F176" i="1"/>
  <c r="A176" i="1"/>
  <c r="P175" i="1"/>
  <c r="L175" i="1"/>
  <c r="E175" i="1"/>
  <c r="A175" i="1"/>
  <c r="E174" i="1"/>
  <c r="A174" i="1"/>
  <c r="H173" i="1"/>
  <c r="O173" i="1" s="1"/>
  <c r="E173" i="1"/>
  <c r="A173" i="1"/>
  <c r="O172" i="1"/>
  <c r="P172" i="1" s="1"/>
  <c r="K172" i="1"/>
  <c r="E172" i="1"/>
  <c r="A172" i="1"/>
  <c r="E171" i="1"/>
  <c r="A171" i="1"/>
  <c r="F169" i="1"/>
  <c r="A169" i="1"/>
  <c r="P168" i="1"/>
  <c r="L168" i="1"/>
  <c r="A168" i="1"/>
  <c r="P167" i="1"/>
  <c r="L167" i="1"/>
  <c r="A167" i="1"/>
  <c r="P166" i="1"/>
  <c r="L166" i="1"/>
  <c r="H166" i="1"/>
  <c r="A166" i="1"/>
  <c r="A165" i="1"/>
  <c r="F160" i="1"/>
  <c r="A160" i="1"/>
  <c r="A158" i="1"/>
  <c r="F154" i="1"/>
  <c r="A154" i="1"/>
  <c r="L152" i="1"/>
  <c r="K152" i="1"/>
  <c r="E152" i="1"/>
  <c r="A152" i="1"/>
  <c r="F150" i="1"/>
  <c r="A150" i="1"/>
  <c r="F149" i="1"/>
  <c r="A149" i="1"/>
  <c r="F148" i="1"/>
  <c r="A148" i="1"/>
  <c r="E147" i="1"/>
  <c r="A147" i="1"/>
  <c r="E146" i="1"/>
  <c r="A146" i="1"/>
  <c r="E144" i="1"/>
  <c r="A144" i="1"/>
  <c r="F139" i="1"/>
  <c r="A139" i="1"/>
  <c r="F137" i="1"/>
  <c r="A137" i="1"/>
  <c r="F136" i="1"/>
  <c r="A136" i="1"/>
  <c r="F135" i="1"/>
  <c r="A135" i="1"/>
  <c r="P134" i="1"/>
  <c r="L134" i="1"/>
  <c r="H134" i="1"/>
  <c r="A134" i="1"/>
  <c r="E133" i="1"/>
  <c r="A133" i="1"/>
  <c r="F131" i="1"/>
  <c r="A131" i="1"/>
  <c r="P130" i="1"/>
  <c r="L130" i="1"/>
  <c r="H130" i="1"/>
  <c r="K130" i="1" s="1"/>
  <c r="A130" i="1"/>
  <c r="E129" i="1"/>
  <c r="A129" i="1"/>
  <c r="F126" i="1"/>
  <c r="A126" i="1"/>
  <c r="F125" i="1"/>
  <c r="A125" i="1"/>
  <c r="F124" i="1"/>
  <c r="A124" i="1"/>
  <c r="E123" i="1"/>
  <c r="A123" i="1"/>
  <c r="H122" i="1"/>
  <c r="K122" i="1" s="1"/>
  <c r="L122" i="1" s="1"/>
  <c r="A122" i="1"/>
  <c r="H121" i="1"/>
  <c r="E121" i="1"/>
  <c r="A121" i="1"/>
  <c r="H120" i="1"/>
  <c r="K120" i="1" s="1"/>
  <c r="L120" i="1" s="1"/>
  <c r="A120" i="1"/>
  <c r="H119" i="1"/>
  <c r="O119" i="1" s="1"/>
  <c r="A119" i="1"/>
  <c r="P118" i="1"/>
  <c r="L118" i="1"/>
  <c r="E118" i="1"/>
  <c r="A118" i="1"/>
  <c r="H117" i="1"/>
  <c r="K117" i="1" s="1"/>
  <c r="L117" i="1" s="1"/>
  <c r="A117" i="1"/>
  <c r="F114" i="1"/>
  <c r="A114" i="1"/>
  <c r="A113" i="1"/>
  <c r="A112" i="1"/>
  <c r="A111" i="1"/>
  <c r="F106" i="1"/>
  <c r="A106" i="1"/>
  <c r="F104" i="1"/>
  <c r="A104" i="1"/>
  <c r="E102" i="1"/>
  <c r="A102" i="1"/>
  <c r="P99" i="1"/>
  <c r="L99" i="1"/>
  <c r="F99" i="1"/>
  <c r="A99" i="1"/>
  <c r="E98" i="1"/>
  <c r="A98" i="1"/>
  <c r="F97" i="1"/>
  <c r="A97" i="1"/>
  <c r="F94" i="1"/>
  <c r="A94" i="1"/>
  <c r="E93" i="1"/>
  <c r="A93" i="1"/>
  <c r="F92" i="1"/>
  <c r="A92" i="1"/>
  <c r="F91" i="1"/>
  <c r="A91" i="1"/>
  <c r="E90" i="1"/>
  <c r="A90" i="1"/>
  <c r="P89" i="1"/>
  <c r="L89" i="1"/>
  <c r="F89" i="1"/>
  <c r="A89" i="1"/>
  <c r="F88" i="1"/>
  <c r="A88" i="1"/>
  <c r="P87" i="1"/>
  <c r="L87" i="1"/>
  <c r="E87" i="1"/>
  <c r="A87" i="1"/>
  <c r="O84" i="1"/>
  <c r="K84" i="1"/>
  <c r="L84" i="1"/>
  <c r="E84" i="1"/>
  <c r="A84" i="1"/>
  <c r="E81" i="1"/>
  <c r="A81" i="1"/>
  <c r="A78" i="1"/>
  <c r="A75" i="1"/>
  <c r="P72" i="1"/>
  <c r="L72" i="1"/>
  <c r="H72" i="1"/>
  <c r="K72" i="1" s="1"/>
  <c r="E72" i="1"/>
  <c r="A72" i="1"/>
  <c r="A69" i="1"/>
  <c r="F64" i="1"/>
  <c r="A64" i="1"/>
  <c r="F62" i="1"/>
  <c r="A62" i="1"/>
  <c r="F60" i="1"/>
  <c r="A60" i="1"/>
  <c r="F59" i="1"/>
  <c r="C59" i="1"/>
  <c r="A59" i="1"/>
  <c r="F58" i="1"/>
  <c r="A58" i="1"/>
  <c r="F57" i="1"/>
  <c r="E57" i="1"/>
  <c r="C57" i="1"/>
  <c r="A57" i="1"/>
  <c r="E56" i="1"/>
  <c r="A56" i="1"/>
  <c r="E54" i="1"/>
  <c r="A54" i="1"/>
  <c r="F50" i="1"/>
  <c r="A50" i="1"/>
  <c r="E48" i="1"/>
  <c r="A48" i="1"/>
  <c r="F46" i="1"/>
  <c r="A46" i="1"/>
  <c r="F45" i="1"/>
  <c r="A45" i="1"/>
  <c r="F44" i="1"/>
  <c r="A44" i="1"/>
  <c r="E43" i="1"/>
  <c r="A43" i="1"/>
  <c r="E42" i="1"/>
  <c r="A42" i="1"/>
  <c r="F40" i="1"/>
  <c r="A40" i="1"/>
  <c r="E39" i="1"/>
  <c r="A39" i="1"/>
  <c r="E38" i="1"/>
  <c r="A38" i="1"/>
  <c r="F33" i="1"/>
  <c r="A33" i="1"/>
  <c r="F32" i="1"/>
  <c r="A32" i="1"/>
  <c r="F30" i="1"/>
  <c r="A30" i="1"/>
  <c r="F29" i="1"/>
  <c r="A29" i="1"/>
  <c r="F27" i="1"/>
  <c r="A27" i="1"/>
  <c r="F25" i="1"/>
  <c r="A25" i="1"/>
  <c r="E24" i="1"/>
  <c r="A24" i="1"/>
  <c r="E23" i="1"/>
  <c r="A23" i="1"/>
  <c r="E21" i="1"/>
  <c r="A21" i="1"/>
  <c r="F18" i="1"/>
  <c r="A18" i="1"/>
  <c r="F16" i="1"/>
  <c r="A16" i="1"/>
  <c r="A15" i="1"/>
  <c r="A14" i="1"/>
  <c r="H12" i="1"/>
  <c r="K12" i="1" s="1"/>
  <c r="P7" i="1"/>
  <c r="H5" i="1"/>
  <c r="K7" i="1" s="1"/>
  <c r="H69" i="31"/>
  <c r="H73" i="31"/>
  <c r="H17" i="31"/>
  <c r="H78" i="31"/>
  <c r="H62" i="31"/>
  <c r="H72" i="31"/>
  <c r="H50" i="31"/>
  <c r="H67" i="31"/>
  <c r="H82" i="31"/>
  <c r="C10" i="31"/>
  <c r="H74" i="31"/>
  <c r="J73" i="31"/>
  <c r="H58" i="31"/>
  <c r="H71" i="31"/>
  <c r="H57" i="31"/>
  <c r="H63" i="31"/>
  <c r="H54" i="31"/>
  <c r="H19" i="31"/>
  <c r="H16" i="31"/>
  <c r="H65" i="31"/>
  <c r="H48" i="31"/>
  <c r="H39" i="31"/>
  <c r="H76" i="31"/>
  <c r="H81" i="31"/>
  <c r="H80" i="31"/>
  <c r="H38" i="31"/>
  <c r="C7" i="31"/>
  <c r="H79" i="31"/>
  <c r="H37" i="31"/>
  <c r="H36" i="31"/>
  <c r="J71" i="31"/>
  <c r="H56" i="31"/>
  <c r="H75" i="31"/>
  <c r="H18" i="31"/>
  <c r="H7" i="31"/>
  <c r="J80" i="31"/>
  <c r="J72" i="31"/>
  <c r="J82" i="31"/>
  <c r="H55" i="31"/>
  <c r="H77" i="31"/>
  <c r="H10" i="31"/>
  <c r="H59" i="31"/>
  <c r="H49" i="31"/>
  <c r="J81" i="31"/>
  <c r="H64" i="31"/>
  <c r="O182" i="1" l="1"/>
  <c r="P182" i="1" s="1"/>
  <c r="H165" i="114"/>
  <c r="H13" i="114" s="1"/>
  <c r="H14" i="114" s="1"/>
  <c r="H22" i="113"/>
  <c r="L22" i="113"/>
  <c r="I22" i="100"/>
  <c r="I23" i="100" s="1"/>
  <c r="J22" i="113"/>
  <c r="J36" i="113"/>
  <c r="N20" i="100"/>
  <c r="K192" i="1"/>
  <c r="F16" i="100"/>
  <c r="K17" i="100"/>
  <c r="G22" i="101"/>
  <c r="O22" i="101"/>
  <c r="S22" i="101"/>
  <c r="V16" i="113"/>
  <c r="G21" i="100"/>
  <c r="K21" i="100"/>
  <c r="O21" i="100"/>
  <c r="S21" i="100"/>
  <c r="K188" i="1"/>
  <c r="L188" i="1" s="1"/>
  <c r="J16" i="100"/>
  <c r="O174" i="1"/>
  <c r="O196" i="1"/>
  <c r="P196" i="1" s="1"/>
  <c r="O290" i="1"/>
  <c r="P290" i="1" s="1"/>
  <c r="O12" i="1"/>
  <c r="P12" i="1" s="1"/>
  <c r="P152" i="1"/>
  <c r="O152" i="1"/>
  <c r="E10" i="100"/>
  <c r="T22" i="113"/>
  <c r="R10" i="100"/>
  <c r="G17" i="100"/>
  <c r="E19" i="100"/>
  <c r="M19" i="100"/>
  <c r="N22" i="104"/>
  <c r="N23" i="104" s="1"/>
  <c r="J22" i="104"/>
  <c r="J23" i="104" s="1"/>
  <c r="M11" i="100"/>
  <c r="M22" i="100" s="1"/>
  <c r="M23" i="100" s="1"/>
  <c r="Q11" i="100"/>
  <c r="O13" i="100"/>
  <c r="J35" i="113"/>
  <c r="J39" i="113"/>
  <c r="J41" i="113"/>
  <c r="J22" i="101"/>
  <c r="H10" i="100"/>
  <c r="K14" i="1"/>
  <c r="L14" i="1" s="1"/>
  <c r="G176" i="116"/>
  <c r="G177" i="116"/>
  <c r="F177" i="116"/>
  <c r="P22" i="113"/>
  <c r="S17" i="100"/>
  <c r="C21" i="100"/>
  <c r="J15" i="100"/>
  <c r="N15" i="100"/>
  <c r="H17" i="100"/>
  <c r="P17" i="100"/>
  <c r="F19" i="100"/>
  <c r="J19" i="100"/>
  <c r="N19" i="100"/>
  <c r="H21" i="100"/>
  <c r="J32" i="102"/>
  <c r="J33" i="102"/>
  <c r="J42" i="102"/>
  <c r="X22" i="104"/>
  <c r="X23" i="104" s="1"/>
  <c r="F28" i="106" s="1"/>
  <c r="V11" i="104"/>
  <c r="AA22" i="104"/>
  <c r="AA23" i="104" s="1"/>
  <c r="F31" i="106" s="1"/>
  <c r="V14" i="104"/>
  <c r="V18" i="104"/>
  <c r="V19" i="104"/>
  <c r="J40" i="113"/>
  <c r="V20" i="104"/>
  <c r="V21" i="104"/>
  <c r="C15" i="93"/>
  <c r="H179" i="1" s="1"/>
  <c r="O179" i="1" s="1"/>
  <c r="P179" i="1" s="1"/>
  <c r="O190" i="1"/>
  <c r="G162" i="114"/>
  <c r="G165" i="114" s="1"/>
  <c r="G13" i="114" s="1"/>
  <c r="G14" i="114" s="1"/>
  <c r="G16" i="114" s="1"/>
  <c r="G18" i="116" s="1"/>
  <c r="F162" i="114"/>
  <c r="F165" i="114" s="1"/>
  <c r="F13" i="114" s="1"/>
  <c r="F14" i="114" s="1"/>
  <c r="F176" i="116"/>
  <c r="F179" i="116" s="1"/>
  <c r="F13" i="116" s="1"/>
  <c r="F14" i="116" s="1"/>
  <c r="E176" i="116"/>
  <c r="I176" i="116"/>
  <c r="I179" i="116" s="1"/>
  <c r="I13" i="116" s="1"/>
  <c r="I14" i="116" s="1"/>
  <c r="H177" i="116"/>
  <c r="N10" i="113"/>
  <c r="N22" i="113" s="1"/>
  <c r="G22" i="113"/>
  <c r="C12" i="100"/>
  <c r="C13" i="100"/>
  <c r="G13" i="100"/>
  <c r="E14" i="100"/>
  <c r="Q14" i="100"/>
  <c r="K15" i="100"/>
  <c r="K22" i="100" s="1"/>
  <c r="K23" i="100" s="1"/>
  <c r="O15" i="100"/>
  <c r="Q17" i="100"/>
  <c r="F20" i="113"/>
  <c r="H22" i="101"/>
  <c r="L22" i="101"/>
  <c r="P22" i="101"/>
  <c r="T22" i="101"/>
  <c r="V12" i="101"/>
  <c r="H12" i="100"/>
  <c r="L12" i="100"/>
  <c r="F14" i="100"/>
  <c r="J14" i="100"/>
  <c r="N14" i="100"/>
  <c r="V16" i="101"/>
  <c r="J18" i="100"/>
  <c r="N18" i="100"/>
  <c r="R18" i="100"/>
  <c r="V20" i="101"/>
  <c r="J31" i="101"/>
  <c r="J35" i="101"/>
  <c r="J39" i="101"/>
  <c r="E22" i="102"/>
  <c r="M22" i="102"/>
  <c r="Q22" i="102"/>
  <c r="V11" i="102"/>
  <c r="V15" i="102"/>
  <c r="V19" i="102"/>
  <c r="F43" i="102"/>
  <c r="J34" i="102"/>
  <c r="F22" i="104"/>
  <c r="F23" i="104" s="1"/>
  <c r="Z33" i="104"/>
  <c r="Q42" i="104"/>
  <c r="Q43" i="104" s="1"/>
  <c r="Z35" i="104"/>
  <c r="C10" i="93"/>
  <c r="H171" i="1" s="1"/>
  <c r="K171" i="1" s="1"/>
  <c r="L171" i="1" s="1"/>
  <c r="C26" i="93"/>
  <c r="H193" i="1" s="1"/>
  <c r="M74" i="92"/>
  <c r="I112" i="97"/>
  <c r="J113" i="97" s="1"/>
  <c r="I116" i="97"/>
  <c r="O93" i="1"/>
  <c r="P93" i="1" s="1"/>
  <c r="I236" i="7"/>
  <c r="H129" i="1" s="1"/>
  <c r="K129" i="1" s="1"/>
  <c r="L129" i="1" s="1"/>
  <c r="T22" i="100"/>
  <c r="T23" i="100" s="1"/>
  <c r="I18" i="113"/>
  <c r="G18" i="100" s="1"/>
  <c r="F19" i="113"/>
  <c r="Q21" i="100"/>
  <c r="J33" i="113"/>
  <c r="J37" i="113"/>
  <c r="M22" i="101"/>
  <c r="U22" i="101"/>
  <c r="G43" i="101"/>
  <c r="J32" i="101"/>
  <c r="J36" i="101"/>
  <c r="J40" i="101"/>
  <c r="F22" i="102"/>
  <c r="J22" i="102"/>
  <c r="N22" i="102"/>
  <c r="R22" i="102"/>
  <c r="V14" i="102"/>
  <c r="V18" i="102"/>
  <c r="L18" i="100"/>
  <c r="J38" i="102"/>
  <c r="J40" i="102"/>
  <c r="V10" i="104"/>
  <c r="L22" i="104"/>
  <c r="L23" i="104" s="1"/>
  <c r="P22" i="104"/>
  <c r="P23" i="104" s="1"/>
  <c r="T22" i="104"/>
  <c r="T23" i="104" s="1"/>
  <c r="Z22" i="104"/>
  <c r="Z23" i="104" s="1"/>
  <c r="F15" i="106" s="1"/>
  <c r="G31" i="113"/>
  <c r="G43" i="113" s="1"/>
  <c r="H22" i="104"/>
  <c r="H23" i="104" s="1"/>
  <c r="AC16" i="104"/>
  <c r="AC42" i="104"/>
  <c r="AC43" i="104" s="1"/>
  <c r="C17" i="93"/>
  <c r="H181" i="1" s="1"/>
  <c r="K181" i="1" s="1"/>
  <c r="L181" i="1" s="1"/>
  <c r="C20" i="93"/>
  <c r="H184" i="1" s="1"/>
  <c r="K184" i="1" s="1"/>
  <c r="AC74" i="92"/>
  <c r="AC78" i="92" s="1"/>
  <c r="I118" i="97"/>
  <c r="J119" i="97" s="1"/>
  <c r="E22" i="101"/>
  <c r="I22" i="101"/>
  <c r="F13" i="100"/>
  <c r="J13" i="100"/>
  <c r="N13" i="100"/>
  <c r="V15" i="101"/>
  <c r="P15" i="100"/>
  <c r="F17" i="100"/>
  <c r="J17" i="100"/>
  <c r="N17" i="100"/>
  <c r="R17" i="100"/>
  <c r="P19" i="100"/>
  <c r="F21" i="100"/>
  <c r="N21" i="100"/>
  <c r="R21" i="100"/>
  <c r="E43" i="101"/>
  <c r="I43" i="101"/>
  <c r="H43" i="101"/>
  <c r="J34" i="101"/>
  <c r="J38" i="101"/>
  <c r="J42" i="101"/>
  <c r="G22" i="102"/>
  <c r="O22" i="102"/>
  <c r="S22" i="102"/>
  <c r="V13" i="102"/>
  <c r="V17" i="102"/>
  <c r="V21" i="102"/>
  <c r="P21" i="100"/>
  <c r="J36" i="102"/>
  <c r="J37" i="102"/>
  <c r="O22" i="104"/>
  <c r="O23" i="104" s="1"/>
  <c r="S22" i="104"/>
  <c r="S23" i="104" s="1"/>
  <c r="AC10" i="104"/>
  <c r="V13" i="104"/>
  <c r="R22" i="113"/>
  <c r="V17" i="104"/>
  <c r="AC18" i="104"/>
  <c r="AB38" i="104" s="1"/>
  <c r="AD38" i="104" s="1"/>
  <c r="AC19" i="104"/>
  <c r="AB39" i="104" s="1"/>
  <c r="AD39" i="104" s="1"/>
  <c r="AC20" i="104"/>
  <c r="AB40" i="104" s="1"/>
  <c r="AD40" i="104" s="1"/>
  <c r="AC21" i="104"/>
  <c r="AB41" i="104" s="1"/>
  <c r="AD41" i="104" s="1"/>
  <c r="Z30" i="104"/>
  <c r="Z32" i="104"/>
  <c r="Z34" i="104"/>
  <c r="Z36" i="104"/>
  <c r="Z38" i="104"/>
  <c r="F42" i="104"/>
  <c r="F43" i="104" s="1"/>
  <c r="C8" i="93"/>
  <c r="H167" i="1" s="1"/>
  <c r="O167" i="1" s="1"/>
  <c r="C16" i="93"/>
  <c r="H180" i="1" s="1"/>
  <c r="C24" i="93"/>
  <c r="H191" i="1" s="1"/>
  <c r="D46" i="31"/>
  <c r="C6" i="93"/>
  <c r="H165" i="1" s="1"/>
  <c r="H169" i="1" s="1"/>
  <c r="K169" i="1" s="1"/>
  <c r="L169" i="1" s="1"/>
  <c r="C14" i="93"/>
  <c r="H175" i="1" s="1"/>
  <c r="K175" i="1" s="1"/>
  <c r="C22" i="93"/>
  <c r="H189" i="1" s="1"/>
  <c r="C30" i="93"/>
  <c r="H202" i="1" s="1"/>
  <c r="O202" i="1" s="1"/>
  <c r="P202" i="1" s="1"/>
  <c r="I110" i="97"/>
  <c r="J111" i="97" s="1"/>
  <c r="K119" i="1"/>
  <c r="L119" i="1" s="1"/>
  <c r="O120" i="1"/>
  <c r="P120" i="1" s="1"/>
  <c r="F39" i="7"/>
  <c r="F44" i="7" s="1"/>
  <c r="F8" i="7"/>
  <c r="F9" i="7" s="1"/>
  <c r="F10" i="7" s="1"/>
  <c r="F11" i="7" s="1"/>
  <c r="F12" i="7" s="1"/>
  <c r="F13" i="7" s="1"/>
  <c r="F14" i="7" s="1"/>
  <c r="F15" i="7" s="1"/>
  <c r="F16" i="7" s="1"/>
  <c r="F17" i="7" s="1"/>
  <c r="F18" i="7" s="1"/>
  <c r="F19" i="7" s="1"/>
  <c r="F17" i="54"/>
  <c r="I212" i="7"/>
  <c r="H123" i="1" s="1"/>
  <c r="H40" i="7"/>
  <c r="H108" i="7"/>
  <c r="J236" i="7"/>
  <c r="K37" i="98"/>
  <c r="F37" i="98"/>
  <c r="J37" i="98"/>
  <c r="L29" i="98"/>
  <c r="C29" i="98" s="1"/>
  <c r="L33" i="98"/>
  <c r="E37" i="98"/>
  <c r="F33" i="33"/>
  <c r="C33" i="33" s="1"/>
  <c r="P33" i="33" s="1"/>
  <c r="R33" i="33" s="1"/>
  <c r="F37" i="33"/>
  <c r="C37" i="33" s="1"/>
  <c r="P37" i="33" s="1"/>
  <c r="R37" i="33" s="1"/>
  <c r="F41" i="33"/>
  <c r="L28" i="98"/>
  <c r="L32" i="98"/>
  <c r="L36" i="98"/>
  <c r="I32" i="33"/>
  <c r="L32" i="33" s="1"/>
  <c r="F36" i="33"/>
  <c r="L36" i="33" s="1"/>
  <c r="F40" i="33"/>
  <c r="C40" i="33" s="1"/>
  <c r="P40" i="33" s="1"/>
  <c r="R40" i="33" s="1"/>
  <c r="H37" i="98"/>
  <c r="L27" i="98"/>
  <c r="L31" i="98"/>
  <c r="C31" i="98" s="1"/>
  <c r="L35" i="98"/>
  <c r="C35" i="98" s="1"/>
  <c r="C35" i="33"/>
  <c r="P35" i="33" s="1"/>
  <c r="R35" i="33" s="1"/>
  <c r="C43" i="33"/>
  <c r="P43" i="33" s="1"/>
  <c r="R43" i="33" s="1"/>
  <c r="O183" i="1"/>
  <c r="P183" i="1" s="1"/>
  <c r="O175" i="1"/>
  <c r="O226" i="1"/>
  <c r="I33" i="6"/>
  <c r="D44" i="33"/>
  <c r="O7" i="1"/>
  <c r="O90" i="1"/>
  <c r="P90" i="1" s="1"/>
  <c r="P119" i="1"/>
  <c r="O181" i="1"/>
  <c r="P181" i="1" s="1"/>
  <c r="O43" i="1"/>
  <c r="P43" i="1" s="1"/>
  <c r="P173" i="1"/>
  <c r="O201" i="1"/>
  <c r="P201" i="1" s="1"/>
  <c r="O117" i="1"/>
  <c r="P117" i="1" s="1"/>
  <c r="O166" i="1"/>
  <c r="P174" i="1"/>
  <c r="L35" i="33"/>
  <c r="Q35" i="33" s="1"/>
  <c r="S35" i="33" s="1"/>
  <c r="L39" i="33"/>
  <c r="Q39" i="33" s="1"/>
  <c r="S39" i="33" s="1"/>
  <c r="O72" i="1"/>
  <c r="J44" i="33"/>
  <c r="G44" i="33"/>
  <c r="K44" i="33"/>
  <c r="L38" i="33"/>
  <c r="S57" i="33" s="1"/>
  <c r="L42" i="33"/>
  <c r="S61" i="33" s="1"/>
  <c r="L43" i="33"/>
  <c r="Q43" i="33" s="1"/>
  <c r="S43" i="33" s="1"/>
  <c r="L41" i="33"/>
  <c r="Q41" i="33" s="1"/>
  <c r="S41" i="33" s="1"/>
  <c r="O228" i="1"/>
  <c r="O184" i="1"/>
  <c r="G179" i="116"/>
  <c r="G13" i="116" s="1"/>
  <c r="G14" i="116" s="1"/>
  <c r="G16" i="116" s="1"/>
  <c r="K15" i="1"/>
  <c r="L15" i="1" s="1"/>
  <c r="O15" i="1"/>
  <c r="P15" i="1" s="1"/>
  <c r="H16" i="1"/>
  <c r="K199" i="1"/>
  <c r="L199" i="1" s="1"/>
  <c r="O199" i="1"/>
  <c r="P199" i="1" s="1"/>
  <c r="K87" i="1"/>
  <c r="O87" i="1"/>
  <c r="H148" i="1"/>
  <c r="O148" i="1" s="1"/>
  <c r="P148" i="1" s="1"/>
  <c r="K147" i="1"/>
  <c r="L147" i="1" s="1"/>
  <c r="K146" i="1"/>
  <c r="L146" i="1" s="1"/>
  <c r="O146" i="1"/>
  <c r="P146" i="1" s="1"/>
  <c r="H176" i="1"/>
  <c r="K180" i="1"/>
  <c r="O180" i="1"/>
  <c r="E177" i="116"/>
  <c r="L12" i="1"/>
  <c r="P84" i="1"/>
  <c r="K90" i="1"/>
  <c r="L90" i="1" s="1"/>
  <c r="K166" i="1"/>
  <c r="K167" i="1"/>
  <c r="K168" i="1"/>
  <c r="L172" i="1"/>
  <c r="K173" i="1"/>
  <c r="L173" i="1" s="1"/>
  <c r="K179" i="1"/>
  <c r="L179" i="1" s="1"/>
  <c r="L182" i="1"/>
  <c r="K183" i="1"/>
  <c r="L183" i="1" s="1"/>
  <c r="L196" i="1"/>
  <c r="K201" i="1"/>
  <c r="L201" i="1" s="1"/>
  <c r="E162" i="114"/>
  <c r="I162" i="114"/>
  <c r="I165" i="114" s="1"/>
  <c r="I13" i="114" s="1"/>
  <c r="I14" i="114" s="1"/>
  <c r="H176" i="116"/>
  <c r="H179" i="116" s="1"/>
  <c r="H13" i="116" s="1"/>
  <c r="H14" i="116" s="1"/>
  <c r="I217" i="7"/>
  <c r="H118" i="1" s="1"/>
  <c r="H302" i="7"/>
  <c r="H144" i="1" s="1"/>
  <c r="K144" i="1" s="1"/>
  <c r="L144" i="1" s="1"/>
  <c r="L34" i="33"/>
  <c r="C39" i="33"/>
  <c r="P39" i="33" s="1"/>
  <c r="R39" i="33" s="1"/>
  <c r="C41" i="33"/>
  <c r="P41" i="33" s="1"/>
  <c r="R41" i="33" s="1"/>
  <c r="H44" i="33"/>
  <c r="J10" i="100"/>
  <c r="P10" i="100"/>
  <c r="D16" i="100"/>
  <c r="D18" i="100"/>
  <c r="V10" i="101"/>
  <c r="D11" i="100"/>
  <c r="U11" i="100" s="1"/>
  <c r="AA31" i="100" s="1"/>
  <c r="AB31" i="100" s="1"/>
  <c r="H11" i="100"/>
  <c r="H22" i="100" s="1"/>
  <c r="H23" i="100" s="1"/>
  <c r="L11" i="100"/>
  <c r="P11" i="100"/>
  <c r="V11" i="101"/>
  <c r="D13" i="100"/>
  <c r="H13" i="100"/>
  <c r="L13" i="100"/>
  <c r="P13" i="100"/>
  <c r="V13" i="101"/>
  <c r="D14" i="100"/>
  <c r="H14" i="100"/>
  <c r="L14" i="100"/>
  <c r="P14" i="100"/>
  <c r="V14" i="101"/>
  <c r="H15" i="100"/>
  <c r="L15" i="100"/>
  <c r="H16" i="100"/>
  <c r="P16" i="100"/>
  <c r="D17" i="100"/>
  <c r="L17" i="100"/>
  <c r="V17" i="101"/>
  <c r="H18" i="100"/>
  <c r="P18" i="100"/>
  <c r="D19" i="100"/>
  <c r="U19" i="100" s="1"/>
  <c r="AA39" i="100" s="1"/>
  <c r="AB39" i="100" s="1"/>
  <c r="L19" i="100"/>
  <c r="V19" i="101"/>
  <c r="H20" i="100"/>
  <c r="P20" i="100"/>
  <c r="D21" i="100"/>
  <c r="L21" i="100"/>
  <c r="V21" i="101"/>
  <c r="J43" i="101"/>
  <c r="Z41" i="104"/>
  <c r="AF41" i="104" s="1"/>
  <c r="AF74" i="92"/>
  <c r="AF78" i="92" s="1"/>
  <c r="AE74" i="92"/>
  <c r="U74" i="92"/>
  <c r="I264" i="7"/>
  <c r="J264" i="7" s="1"/>
  <c r="H111" i="1" s="1"/>
  <c r="K111" i="1" s="1"/>
  <c r="L111" i="1" s="1"/>
  <c r="K43" i="1"/>
  <c r="L43" i="1" s="1"/>
  <c r="K93" i="1"/>
  <c r="L93" i="1" s="1"/>
  <c r="O122" i="1"/>
  <c r="P122" i="1" s="1"/>
  <c r="O188" i="1"/>
  <c r="P188" i="1" s="1"/>
  <c r="G20" i="7"/>
  <c r="H38" i="1" s="1"/>
  <c r="K38" i="1" s="1"/>
  <c r="L38" i="1" s="1"/>
  <c r="H19" i="7"/>
  <c r="G36" i="7"/>
  <c r="H35" i="7"/>
  <c r="F10" i="100"/>
  <c r="E43" i="113"/>
  <c r="J31" i="113"/>
  <c r="AF38" i="104"/>
  <c r="N42" i="104"/>
  <c r="N43" i="104" s="1"/>
  <c r="V42" i="104"/>
  <c r="V43" i="104" s="1"/>
  <c r="K42" i="104"/>
  <c r="K43" i="104" s="1"/>
  <c r="R22" i="100"/>
  <c r="R23" i="100" s="1"/>
  <c r="V10" i="102"/>
  <c r="Z40" i="104"/>
  <c r="H250" i="7"/>
  <c r="J250" i="7" s="1"/>
  <c r="H243" i="7"/>
  <c r="H57" i="1"/>
  <c r="O57" i="1" s="1"/>
  <c r="P57" i="1" s="1"/>
  <c r="K290" i="1"/>
  <c r="L290" i="1" s="1"/>
  <c r="E7" i="73"/>
  <c r="E9" i="73"/>
  <c r="E11" i="73"/>
  <c r="E44" i="33"/>
  <c r="D10" i="100"/>
  <c r="N10" i="100"/>
  <c r="E22" i="113"/>
  <c r="I22" i="113"/>
  <c r="O22" i="100"/>
  <c r="O23" i="100" s="1"/>
  <c r="S22" i="100"/>
  <c r="S23" i="100" s="1"/>
  <c r="Y42" i="104"/>
  <c r="Y43" i="104" s="1"/>
  <c r="E34" i="105"/>
  <c r="I220" i="7"/>
  <c r="C32" i="33"/>
  <c r="P32" i="33" s="1"/>
  <c r="R32" i="33" s="1"/>
  <c r="C10" i="100"/>
  <c r="G10" i="100"/>
  <c r="O22" i="113"/>
  <c r="S22" i="113"/>
  <c r="V13" i="113"/>
  <c r="V19" i="113"/>
  <c r="H43" i="113"/>
  <c r="J34" i="113"/>
  <c r="J38" i="113"/>
  <c r="F43" i="101"/>
  <c r="M22" i="104"/>
  <c r="M23" i="104" s="1"/>
  <c r="Q22" i="104"/>
  <c r="Q23" i="104" s="1"/>
  <c r="U22" i="104"/>
  <c r="U23" i="104" s="1"/>
  <c r="J32" i="113"/>
  <c r="AB22" i="104"/>
  <c r="AB23" i="104" s="1"/>
  <c r="F10" i="106" s="1"/>
  <c r="F38" i="106" s="1"/>
  <c r="V12" i="104"/>
  <c r="F12" i="113"/>
  <c r="AC14" i="104"/>
  <c r="AB34" i="104" s="1"/>
  <c r="AD34" i="104" s="1"/>
  <c r="V15" i="104"/>
  <c r="F15" i="113"/>
  <c r="R22" i="104"/>
  <c r="R23" i="104" s="1"/>
  <c r="E42" i="104"/>
  <c r="E43" i="104" s="1"/>
  <c r="M42" i="104"/>
  <c r="M43" i="104" s="1"/>
  <c r="U42" i="104"/>
  <c r="U43" i="104" s="1"/>
  <c r="S42" i="104"/>
  <c r="S43" i="104" s="1"/>
  <c r="Z37" i="104"/>
  <c r="D16" i="79"/>
  <c r="I172" i="7" s="1"/>
  <c r="J172" i="7" s="1"/>
  <c r="E16" i="79"/>
  <c r="I173" i="7" s="1"/>
  <c r="I174" i="7" s="1"/>
  <c r="H48" i="1" s="1"/>
  <c r="K48" i="1" s="1"/>
  <c r="L48" i="1" s="1"/>
  <c r="Q74" i="92"/>
  <c r="H113" i="7"/>
  <c r="M22" i="113"/>
  <c r="Q22" i="113"/>
  <c r="U22" i="113"/>
  <c r="V11" i="113"/>
  <c r="V14" i="113"/>
  <c r="V17" i="113"/>
  <c r="V21" i="113"/>
  <c r="F43" i="113"/>
  <c r="J42" i="113"/>
  <c r="AB30" i="104"/>
  <c r="G42" i="104"/>
  <c r="G43" i="104" s="1"/>
  <c r="O42" i="104"/>
  <c r="O43" i="104" s="1"/>
  <c r="W42" i="104"/>
  <c r="W43" i="104" s="1"/>
  <c r="I42" i="104"/>
  <c r="I43" i="104" s="1"/>
  <c r="E43" i="102"/>
  <c r="J39" i="102"/>
  <c r="E22" i="104"/>
  <c r="E23" i="104" s="1"/>
  <c r="I22" i="104"/>
  <c r="I23" i="104" s="1"/>
  <c r="AC12" i="104"/>
  <c r="AC15" i="104"/>
  <c r="V16" i="104"/>
  <c r="AB36" i="104" s="1"/>
  <c r="AD36" i="104" s="1"/>
  <c r="AF36" i="104" s="1"/>
  <c r="Y22" i="104"/>
  <c r="Y23" i="104" s="1"/>
  <c r="F29" i="106" s="1"/>
  <c r="H42" i="104"/>
  <c r="H43" i="104" s="1"/>
  <c r="L42" i="104"/>
  <c r="L43" i="104" s="1"/>
  <c r="P42" i="104"/>
  <c r="P43" i="104" s="1"/>
  <c r="T42" i="104"/>
  <c r="T43" i="104" s="1"/>
  <c r="X42" i="104"/>
  <c r="X43" i="104" s="1"/>
  <c r="Z31" i="104"/>
  <c r="Z39" i="104"/>
  <c r="D55" i="106"/>
  <c r="D57" i="106" s="1"/>
  <c r="E17" i="105" s="1"/>
  <c r="E20" i="105" s="1"/>
  <c r="C28" i="98"/>
  <c r="C32" i="98"/>
  <c r="C36" i="98"/>
  <c r="L25" i="98"/>
  <c r="C25" i="98" s="1"/>
  <c r="G43" i="102"/>
  <c r="J35" i="102"/>
  <c r="G22" i="104"/>
  <c r="J42" i="104"/>
  <c r="J43" i="104" s="1"/>
  <c r="R42" i="104"/>
  <c r="R43" i="104" s="1"/>
  <c r="O74" i="92"/>
  <c r="S74" i="92"/>
  <c r="W74" i="92"/>
  <c r="C26" i="98"/>
  <c r="C30" i="98"/>
  <c r="C34" i="98"/>
  <c r="I130" i="97"/>
  <c r="I129" i="97"/>
  <c r="I128" i="97"/>
  <c r="I127" i="97"/>
  <c r="I126" i="97"/>
  <c r="I125" i="97"/>
  <c r="I124" i="97"/>
  <c r="I123" i="97"/>
  <c r="I122" i="97"/>
  <c r="I121" i="97"/>
  <c r="I120" i="97"/>
  <c r="I119" i="97"/>
  <c r="I115" i="97"/>
  <c r="I111" i="97"/>
  <c r="I107" i="97"/>
  <c r="J108" i="97" s="1"/>
  <c r="I117" i="97"/>
  <c r="I113" i="97"/>
  <c r="I109" i="97"/>
  <c r="J107" i="97"/>
  <c r="J109" i="97"/>
  <c r="J115" i="97"/>
  <c r="J117" i="97"/>
  <c r="J31" i="102"/>
  <c r="AC17" i="104"/>
  <c r="AB37" i="104" s="1"/>
  <c r="AD37" i="104" s="1"/>
  <c r="AF37" i="104" s="1"/>
  <c r="N74" i="92"/>
  <c r="R74" i="92"/>
  <c r="V74" i="92"/>
  <c r="AD74" i="92"/>
  <c r="K74" i="92"/>
  <c r="Y74" i="92" s="1"/>
  <c r="J116" i="97"/>
  <c r="AC13" i="104"/>
  <c r="L74" i="92"/>
  <c r="P74" i="92"/>
  <c r="T74" i="92"/>
  <c r="E46" i="31"/>
  <c r="D51" i="106"/>
  <c r="C27" i="98"/>
  <c r="K286" i="1"/>
  <c r="L286" i="1" s="1"/>
  <c r="O286" i="1"/>
  <c r="P286" i="1" s="1"/>
  <c r="K102" i="1"/>
  <c r="L102" i="1" s="1"/>
  <c r="O102" i="1"/>
  <c r="P102" i="1" s="1"/>
  <c r="AD30" i="104"/>
  <c r="K134" i="1"/>
  <c r="D46" i="106"/>
  <c r="C33" i="98"/>
  <c r="C34" i="33"/>
  <c r="P34" i="33" s="1"/>
  <c r="R34" i="33" s="1"/>
  <c r="C38" i="33"/>
  <c r="P38" i="33" s="1"/>
  <c r="R38" i="33" s="1"/>
  <c r="C42" i="33"/>
  <c r="P42" i="33" s="1"/>
  <c r="R42" i="33" s="1"/>
  <c r="O134" i="1"/>
  <c r="AC11" i="104"/>
  <c r="D20" i="7"/>
  <c r="B20" i="7"/>
  <c r="K121" i="1"/>
  <c r="L121" i="1" s="1"/>
  <c r="K227" i="1"/>
  <c r="H229" i="1"/>
  <c r="O227" i="1"/>
  <c r="I34" i="6"/>
  <c r="O24" i="1"/>
  <c r="P24" i="1" s="1"/>
  <c r="O284" i="1"/>
  <c r="K284" i="1"/>
  <c r="G88" i="7"/>
  <c r="H54" i="1" s="1"/>
  <c r="H87" i="7"/>
  <c r="O113" i="1"/>
  <c r="P113" i="1" s="1"/>
  <c r="O121" i="1"/>
  <c r="P121" i="1" s="1"/>
  <c r="O130" i="1"/>
  <c r="H33" i="31"/>
  <c r="O147" i="1"/>
  <c r="P147" i="1" s="1"/>
  <c r="G46" i="7"/>
  <c r="H42" i="1" s="1"/>
  <c r="G114" i="7"/>
  <c r="H56" i="1" s="1"/>
  <c r="G62" i="7"/>
  <c r="H61" i="7"/>
  <c r="H165" i="7"/>
  <c r="H273" i="7"/>
  <c r="J273" i="7" s="1"/>
  <c r="H112" i="1" s="1"/>
  <c r="H53" i="31"/>
  <c r="H46" i="31"/>
  <c r="H70" i="31"/>
  <c r="H52" i="31"/>
  <c r="H61" i="31"/>
  <c r="E22" i="100" l="1"/>
  <c r="E23" i="100" s="1"/>
  <c r="AB32" i="104"/>
  <c r="AD32" i="104" s="1"/>
  <c r="AF32" i="104" s="1"/>
  <c r="AF34" i="104"/>
  <c r="G22" i="100"/>
  <c r="G23" i="100" s="1"/>
  <c r="L10" i="100"/>
  <c r="O171" i="1"/>
  <c r="P171" i="1" s="1"/>
  <c r="V22" i="102"/>
  <c r="V22" i="101"/>
  <c r="V10" i="113"/>
  <c r="AB33" i="104"/>
  <c r="AD33" i="104" s="1"/>
  <c r="AF33" i="104" s="1"/>
  <c r="O165" i="1"/>
  <c r="P165" i="1" s="1"/>
  <c r="AF40" i="104"/>
  <c r="L33" i="33"/>
  <c r="S52" i="33" s="1"/>
  <c r="K165" i="1"/>
  <c r="L165" i="1" s="1"/>
  <c r="E179" i="116"/>
  <c r="E13" i="116" s="1"/>
  <c r="E14" i="116" s="1"/>
  <c r="O169" i="1"/>
  <c r="P169" i="1" s="1"/>
  <c r="K148" i="1"/>
  <c r="L148" i="1" s="1"/>
  <c r="N22" i="100"/>
  <c r="N23" i="100" s="1"/>
  <c r="U16" i="100"/>
  <c r="AA36" i="100" s="1"/>
  <c r="AB36" i="100" s="1"/>
  <c r="E165" i="114"/>
  <c r="E13" i="114" s="1"/>
  <c r="E14" i="114" s="1"/>
  <c r="Q22" i="100"/>
  <c r="Q23" i="100" s="1"/>
  <c r="H131" i="1"/>
  <c r="O129" i="1"/>
  <c r="P129" i="1" s="1"/>
  <c r="I221" i="7"/>
  <c r="H133" i="1" s="1"/>
  <c r="H135" i="1" s="1"/>
  <c r="O135" i="1" s="1"/>
  <c r="P135" i="1" s="1"/>
  <c r="AB31" i="104"/>
  <c r="AD31" i="104" s="1"/>
  <c r="AF31" i="104" s="1"/>
  <c r="E12" i="73"/>
  <c r="E15" i="73" s="1"/>
  <c r="L22" i="100"/>
  <c r="L23" i="100" s="1"/>
  <c r="H185" i="1"/>
  <c r="H211" i="1" s="1"/>
  <c r="O189" i="1"/>
  <c r="K189" i="1"/>
  <c r="O191" i="1"/>
  <c r="K191" i="1"/>
  <c r="O193" i="1"/>
  <c r="K193" i="1"/>
  <c r="V20" i="113"/>
  <c r="D20" i="100"/>
  <c r="U20" i="100" s="1"/>
  <c r="AA40" i="100" s="1"/>
  <c r="AB40" i="100" s="1"/>
  <c r="H194" i="1"/>
  <c r="J43" i="102"/>
  <c r="F22" i="100"/>
  <c r="F23" i="100" s="1"/>
  <c r="J22" i="100"/>
  <c r="J23" i="100" s="1"/>
  <c r="K202" i="1"/>
  <c r="L202" i="1" s="1"/>
  <c r="V18" i="113"/>
  <c r="Z42" i="104"/>
  <c r="Z43" i="104" s="1"/>
  <c r="F40" i="7"/>
  <c r="H256" i="1"/>
  <c r="K256" i="1" s="1"/>
  <c r="L256" i="1" s="1"/>
  <c r="II284" i="1"/>
  <c r="O48" i="1"/>
  <c r="P48" i="1" s="1"/>
  <c r="K57" i="1"/>
  <c r="L57" i="1" s="1"/>
  <c r="O144" i="1"/>
  <c r="P144" i="1" s="1"/>
  <c r="O111" i="1"/>
  <c r="P111" i="1" s="1"/>
  <c r="L37" i="33"/>
  <c r="Q37" i="33" s="1"/>
  <c r="S37" i="33" s="1"/>
  <c r="Q36" i="33"/>
  <c r="S36" i="33" s="1"/>
  <c r="S55" i="33"/>
  <c r="S51" i="33"/>
  <c r="Q32" i="33"/>
  <c r="S32" i="33" s="1"/>
  <c r="L40" i="33"/>
  <c r="S59" i="33" s="1"/>
  <c r="L37" i="98"/>
  <c r="S58" i="33"/>
  <c r="C36" i="33"/>
  <c r="P36" i="33" s="1"/>
  <c r="R36" i="33" s="1"/>
  <c r="R44" i="33" s="1"/>
  <c r="I44" i="33"/>
  <c r="S60" i="33"/>
  <c r="F44" i="33"/>
  <c r="S62" i="33"/>
  <c r="Q40" i="33"/>
  <c r="S40" i="33" s="1"/>
  <c r="Q38" i="33"/>
  <c r="S38" i="33" s="1"/>
  <c r="S54" i="33"/>
  <c r="Q42" i="33"/>
  <c r="S42" i="33" s="1"/>
  <c r="F13" i="54"/>
  <c r="J110" i="97"/>
  <c r="J122" i="97"/>
  <c r="J126" i="97"/>
  <c r="J130" i="97"/>
  <c r="F22" i="113"/>
  <c r="V22" i="113" s="1"/>
  <c r="V12" i="113"/>
  <c r="D12" i="100"/>
  <c r="U12" i="100" s="1"/>
  <c r="AA32" i="100" s="1"/>
  <c r="AB32" i="100" s="1"/>
  <c r="C22" i="100"/>
  <c r="C23" i="100" s="1"/>
  <c r="AF39" i="104"/>
  <c r="Q33" i="33"/>
  <c r="S33" i="33" s="1"/>
  <c r="K176" i="1"/>
  <c r="L176" i="1" s="1"/>
  <c r="O176" i="1"/>
  <c r="P176" i="1" s="1"/>
  <c r="O38" i="1"/>
  <c r="P38" i="1" s="1"/>
  <c r="J243" i="7"/>
  <c r="J112" i="97"/>
  <c r="J114" i="97"/>
  <c r="J123" i="97"/>
  <c r="J127" i="97"/>
  <c r="V15" i="113"/>
  <c r="D15" i="100"/>
  <c r="U15" i="100" s="1"/>
  <c r="AA35" i="100" s="1"/>
  <c r="AB35" i="100" s="1"/>
  <c r="U17" i="100"/>
  <c r="AA37" i="100" s="1"/>
  <c r="AB37" i="100" s="1"/>
  <c r="P22" i="100"/>
  <c r="P23" i="100" s="1"/>
  <c r="H18" i="1"/>
  <c r="C23" i="91" s="1"/>
  <c r="C27" i="91" s="1"/>
  <c r="H257" i="1" s="1"/>
  <c r="K257" i="1" s="1"/>
  <c r="L257" i="1" s="1"/>
  <c r="O16" i="1"/>
  <c r="P16" i="1" s="1"/>
  <c r="K16" i="1"/>
  <c r="L16" i="1" s="1"/>
  <c r="J118" i="97"/>
  <c r="I44" i="26" s="1"/>
  <c r="I45" i="26" s="1"/>
  <c r="J120" i="97"/>
  <c r="J124" i="97"/>
  <c r="J128" i="97"/>
  <c r="G23" i="104"/>
  <c r="V22" i="104"/>
  <c r="V23" i="104" s="1"/>
  <c r="J43" i="113"/>
  <c r="U14" i="100"/>
  <c r="AA34" i="100" s="1"/>
  <c r="AB34" i="100" s="1"/>
  <c r="O118" i="1"/>
  <c r="K118" i="1"/>
  <c r="C37" i="98"/>
  <c r="H129" i="7"/>
  <c r="K107" i="97"/>
  <c r="K108" i="97" s="1"/>
  <c r="L107" i="97"/>
  <c r="J121" i="97"/>
  <c r="J125" i="97"/>
  <c r="J129" i="97"/>
  <c r="AB35" i="104"/>
  <c r="AD35" i="104" s="1"/>
  <c r="AF35" i="104" s="1"/>
  <c r="U10" i="100"/>
  <c r="AA30" i="100" s="1"/>
  <c r="U21" i="100"/>
  <c r="AA41" i="100" s="1"/>
  <c r="AB41" i="100" s="1"/>
  <c r="U13" i="100"/>
  <c r="AA33" i="100" s="1"/>
  <c r="AB33" i="100" s="1"/>
  <c r="U18" i="100"/>
  <c r="AA38" i="100" s="1"/>
  <c r="AB38" i="100" s="1"/>
  <c r="Q34" i="33"/>
  <c r="S34" i="33" s="1"/>
  <c r="S53" i="33"/>
  <c r="J173" i="7"/>
  <c r="AF30" i="104"/>
  <c r="AC22" i="104"/>
  <c r="AC23" i="104" s="1"/>
  <c r="K123" i="1"/>
  <c r="L123" i="1" s="1"/>
  <c r="O123" i="1"/>
  <c r="P123" i="1" s="1"/>
  <c r="G132" i="7"/>
  <c r="H23" i="1" s="1"/>
  <c r="O131" i="1"/>
  <c r="P131" i="1" s="1"/>
  <c r="K131" i="1"/>
  <c r="L131" i="1" s="1"/>
  <c r="B23" i="7"/>
  <c r="B24" i="7" s="1"/>
  <c r="B25" i="7" s="1"/>
  <c r="B26" i="7" s="1"/>
  <c r="B27" i="7" s="1"/>
  <c r="B28" i="7" s="1"/>
  <c r="B29" i="7" s="1"/>
  <c r="B30" i="7" s="1"/>
  <c r="B31" i="7" s="1"/>
  <c r="B32" i="7" s="1"/>
  <c r="B33" i="7" s="1"/>
  <c r="B34" i="7" s="1"/>
  <c r="B35" i="7" s="1"/>
  <c r="G134" i="7"/>
  <c r="G68" i="7"/>
  <c r="K54" i="1"/>
  <c r="L54" i="1" s="1"/>
  <c r="O54" i="1"/>
  <c r="P54" i="1" s="1"/>
  <c r="F49" i="7"/>
  <c r="F45" i="7"/>
  <c r="O56" i="1"/>
  <c r="P56" i="1" s="1"/>
  <c r="H58" i="1"/>
  <c r="K56" i="1"/>
  <c r="L56" i="1" s="1"/>
  <c r="H124" i="1"/>
  <c r="K112" i="1"/>
  <c r="L112" i="1" s="1"/>
  <c r="O112" i="1"/>
  <c r="P112" i="1" s="1"/>
  <c r="H114" i="1"/>
  <c r="H44" i="1"/>
  <c r="K42" i="1"/>
  <c r="L42" i="1" s="1"/>
  <c r="O42" i="1"/>
  <c r="P42" i="1" s="1"/>
  <c r="H230" i="1"/>
  <c r="I36" i="6"/>
  <c r="L44" i="33" l="1"/>
  <c r="K133" i="1"/>
  <c r="L133" i="1" s="1"/>
  <c r="O185" i="1"/>
  <c r="P185" i="1" s="1"/>
  <c r="K135" i="1"/>
  <c r="L135" i="1" s="1"/>
  <c r="O133" i="1"/>
  <c r="P133" i="1" s="1"/>
  <c r="S56" i="33"/>
  <c r="C44" i="33"/>
  <c r="I46" i="26"/>
  <c r="I47" i="26" s="1"/>
  <c r="H258" i="1"/>
  <c r="K258" i="1" s="1"/>
  <c r="L258" i="1" s="1"/>
  <c r="K185" i="1"/>
  <c r="L185" i="1" s="1"/>
  <c r="AD42" i="104"/>
  <c r="AD43" i="104" s="1"/>
  <c r="AF42" i="104"/>
  <c r="AF43" i="104" s="1"/>
  <c r="E19" i="73" s="1"/>
  <c r="D22" i="100"/>
  <c r="D23" i="100" s="1"/>
  <c r="AB42" i="104"/>
  <c r="AB43" i="104" s="1"/>
  <c r="O257" i="1"/>
  <c r="P257" i="1" s="1"/>
  <c r="O194" i="1"/>
  <c r="P194" i="1" s="1"/>
  <c r="K194" i="1"/>
  <c r="L194" i="1" s="1"/>
  <c r="H212" i="1"/>
  <c r="H200" i="1"/>
  <c r="O256" i="1"/>
  <c r="P256" i="1" s="1"/>
  <c r="P44" i="33"/>
  <c r="S63" i="33"/>
  <c r="K27" i="26" s="1"/>
  <c r="L70" i="26" s="1"/>
  <c r="L108" i="97"/>
  <c r="K109" i="97"/>
  <c r="L109" i="97" s="1"/>
  <c r="L60" i="26"/>
  <c r="L34" i="26"/>
  <c r="L36" i="26"/>
  <c r="L39" i="26"/>
  <c r="L63" i="26"/>
  <c r="L53" i="26"/>
  <c r="L31" i="26"/>
  <c r="Q44" i="33"/>
  <c r="S44" i="33"/>
  <c r="L56" i="115"/>
  <c r="L57" i="115" s="1"/>
  <c r="E19" i="76"/>
  <c r="F19" i="76" s="1"/>
  <c r="I15" i="114"/>
  <c r="I16" i="114" s="1"/>
  <c r="I18" i="116" s="1"/>
  <c r="AE77" i="92"/>
  <c r="AE78" i="92" s="1"/>
  <c r="H149" i="1"/>
  <c r="H150" i="1" s="1"/>
  <c r="H45" i="1"/>
  <c r="H46" i="1" s="1"/>
  <c r="E35" i="105"/>
  <c r="E36" i="105" s="1"/>
  <c r="E11" i="105" s="1"/>
  <c r="E12" i="105" s="1"/>
  <c r="H59" i="1"/>
  <c r="K18" i="1"/>
  <c r="L18" i="1" s="1"/>
  <c r="I15" i="116"/>
  <c r="I16" i="116" s="1"/>
  <c r="H125" i="1"/>
  <c r="H126" i="1" s="1"/>
  <c r="H91" i="1"/>
  <c r="H92" i="1" s="1"/>
  <c r="H88" i="1"/>
  <c r="O18" i="1"/>
  <c r="P18" i="1" s="1"/>
  <c r="I19" i="6"/>
  <c r="O211" i="1"/>
  <c r="K211" i="1"/>
  <c r="AB30" i="100"/>
  <c r="AB42" i="100" s="1"/>
  <c r="AB43" i="100" s="1"/>
  <c r="AA42" i="100"/>
  <c r="AA43" i="100" s="1"/>
  <c r="E21" i="73"/>
  <c r="E22" i="73"/>
  <c r="E23" i="73"/>
  <c r="O44" i="1"/>
  <c r="P44" i="1" s="1"/>
  <c r="K44" i="1"/>
  <c r="L44" i="1" s="1"/>
  <c r="H21" i="1"/>
  <c r="I38" i="6"/>
  <c r="I37" i="6"/>
  <c r="O258" i="1"/>
  <c r="P258" i="1" s="1"/>
  <c r="O124" i="1"/>
  <c r="P124" i="1" s="1"/>
  <c r="K124" i="1"/>
  <c r="L124" i="1" s="1"/>
  <c r="B36" i="7"/>
  <c r="D36" i="7"/>
  <c r="O114" i="1"/>
  <c r="P114" i="1" s="1"/>
  <c r="K114" i="1"/>
  <c r="L114" i="1" s="1"/>
  <c r="F50" i="7"/>
  <c r="F51" i="7" s="1"/>
  <c r="F52" i="7" s="1"/>
  <c r="F53" i="7" s="1"/>
  <c r="F54" i="7" s="1"/>
  <c r="F55" i="7" s="1"/>
  <c r="F56" i="7" s="1"/>
  <c r="F57" i="7" s="1"/>
  <c r="F58" i="7" s="1"/>
  <c r="F59" i="7" s="1"/>
  <c r="F60" i="7" s="1"/>
  <c r="F61" i="7" s="1"/>
  <c r="F75" i="7"/>
  <c r="O58" i="1"/>
  <c r="P58" i="1" s="1"/>
  <c r="H60" i="1"/>
  <c r="K58" i="1"/>
  <c r="L58" i="1" s="1"/>
  <c r="K23" i="1"/>
  <c r="L23" i="1" s="1"/>
  <c r="O23" i="1"/>
  <c r="P23" i="1" s="1"/>
  <c r="H25" i="1"/>
  <c r="L61" i="26" l="1"/>
  <c r="L43" i="26"/>
  <c r="L38" i="26"/>
  <c r="L49" i="26"/>
  <c r="L65" i="26"/>
  <c r="L54" i="26"/>
  <c r="L64" i="26"/>
  <c r="H259" i="1"/>
  <c r="L55" i="26"/>
  <c r="L35" i="26"/>
  <c r="L50" i="26"/>
  <c r="L46" i="26"/>
  <c r="U22" i="100"/>
  <c r="U23" i="100" s="1"/>
  <c r="L33" i="26"/>
  <c r="L30" i="26"/>
  <c r="L58" i="26"/>
  <c r="L52" i="26"/>
  <c r="H203" i="1"/>
  <c r="O200" i="1"/>
  <c r="P200" i="1" s="1"/>
  <c r="K200" i="1"/>
  <c r="L200" i="1" s="1"/>
  <c r="K212" i="1"/>
  <c r="O212" i="1"/>
  <c r="I20" i="6"/>
  <c r="L45" i="26"/>
  <c r="L57" i="26"/>
  <c r="L69" i="26"/>
  <c r="L41" i="26"/>
  <c r="L40" i="26"/>
  <c r="L66" i="26"/>
  <c r="L48" i="26"/>
  <c r="L68" i="26"/>
  <c r="K26" i="26"/>
  <c r="K63" i="26" s="1"/>
  <c r="L32" i="26"/>
  <c r="L51" i="26"/>
  <c r="L59" i="26"/>
  <c r="L67" i="26"/>
  <c r="L37" i="26"/>
  <c r="L47" i="26"/>
  <c r="L44" i="26"/>
  <c r="L62" i="26"/>
  <c r="L42" i="26"/>
  <c r="L56" i="26"/>
  <c r="W46" i="33"/>
  <c r="H39" i="1" s="1"/>
  <c r="O39" i="1" s="1"/>
  <c r="P39" i="1" s="1"/>
  <c r="F12" i="54"/>
  <c r="F14" i="54" s="1"/>
  <c r="E22" i="105"/>
  <c r="H264" i="1" s="1"/>
  <c r="H89" i="1"/>
  <c r="K88" i="1"/>
  <c r="L88" i="1" s="1"/>
  <c r="O88" i="1"/>
  <c r="P88" i="1" s="1"/>
  <c r="H154" i="1"/>
  <c r="K150" i="1"/>
  <c r="L150" i="1" s="1"/>
  <c r="O150" i="1"/>
  <c r="P150" i="1" s="1"/>
  <c r="K110" i="97"/>
  <c r="O92" i="1"/>
  <c r="P92" i="1" s="1"/>
  <c r="K92" i="1"/>
  <c r="L92" i="1" s="1"/>
  <c r="K59" i="26"/>
  <c r="K41" i="26"/>
  <c r="K31" i="26"/>
  <c r="K57" i="26"/>
  <c r="K43" i="26"/>
  <c r="K66" i="26"/>
  <c r="K58" i="26"/>
  <c r="K50" i="26"/>
  <c r="K70" i="26"/>
  <c r="K36" i="26"/>
  <c r="L26" i="26" s="1"/>
  <c r="E25" i="73"/>
  <c r="E28" i="73" s="1"/>
  <c r="E26" i="73"/>
  <c r="E29" i="73" s="1"/>
  <c r="F91" i="7"/>
  <c r="F76" i="7"/>
  <c r="F77" i="7" s="1"/>
  <c r="F78" i="7" s="1"/>
  <c r="F79" i="7" s="1"/>
  <c r="F80" i="7" s="1"/>
  <c r="F81" i="7" s="1"/>
  <c r="F82" i="7" s="1"/>
  <c r="F83" i="7" s="1"/>
  <c r="F84" i="7" s="1"/>
  <c r="F85" i="7" s="1"/>
  <c r="F86" i="7" s="1"/>
  <c r="F87" i="7" s="1"/>
  <c r="H27" i="1"/>
  <c r="O21" i="1"/>
  <c r="P21" i="1" s="1"/>
  <c r="K21" i="1"/>
  <c r="L21" i="1" s="1"/>
  <c r="K126" i="1"/>
  <c r="L126" i="1" s="1"/>
  <c r="O126" i="1"/>
  <c r="P126" i="1" s="1"/>
  <c r="O25" i="1"/>
  <c r="P25" i="1" s="1"/>
  <c r="K25" i="1"/>
  <c r="L25" i="1" s="1"/>
  <c r="K60" i="1"/>
  <c r="L60" i="1" s="1"/>
  <c r="O60" i="1"/>
  <c r="P60" i="1" s="1"/>
  <c r="H62" i="1"/>
  <c r="B39" i="7"/>
  <c r="B40" i="7" s="1"/>
  <c r="K46" i="1"/>
  <c r="L46" i="1" s="1"/>
  <c r="O46" i="1"/>
  <c r="P46" i="1" s="1"/>
  <c r="K46" i="26" l="1"/>
  <c r="K60" i="26"/>
  <c r="K47" i="26"/>
  <c r="K61" i="26"/>
  <c r="K32" i="26"/>
  <c r="K45" i="26"/>
  <c r="K67" i="26"/>
  <c r="K44" i="26"/>
  <c r="K40" i="26"/>
  <c r="K30" i="26"/>
  <c r="K54" i="26"/>
  <c r="K62" i="26"/>
  <c r="K35" i="26"/>
  <c r="K49" i="26"/>
  <c r="K65" i="26"/>
  <c r="K33" i="26"/>
  <c r="K51" i="26"/>
  <c r="K38" i="26"/>
  <c r="K52" i="26"/>
  <c r="K68" i="26"/>
  <c r="K34" i="26"/>
  <c r="K42" i="26"/>
  <c r="K48" i="26"/>
  <c r="K56" i="26"/>
  <c r="K64" i="26"/>
  <c r="K39" i="26"/>
  <c r="K53" i="26"/>
  <c r="K69" i="26"/>
  <c r="K37" i="26"/>
  <c r="K55" i="26"/>
  <c r="K203" i="1"/>
  <c r="L203" i="1" s="1"/>
  <c r="H206" i="1"/>
  <c r="H207" i="1"/>
  <c r="H208" i="1"/>
  <c r="O203" i="1"/>
  <c r="P203" i="1" s="1"/>
  <c r="H40" i="1"/>
  <c r="H270" i="1" s="1"/>
  <c r="O270" i="1" s="1"/>
  <c r="P270" i="1" s="1"/>
  <c r="K39" i="1"/>
  <c r="L39" i="1" s="1"/>
  <c r="L110" i="97"/>
  <c r="K111" i="97"/>
  <c r="H248" i="1"/>
  <c r="K154" i="1"/>
  <c r="L154" i="1" s="1"/>
  <c r="O154" i="1"/>
  <c r="P154" i="1" s="1"/>
  <c r="O264" i="1"/>
  <c r="P264" i="1" s="1"/>
  <c r="K264" i="1"/>
  <c r="L264" i="1" s="1"/>
  <c r="O89" i="1"/>
  <c r="H94" i="1"/>
  <c r="K89" i="1"/>
  <c r="O62" i="1"/>
  <c r="P62" i="1" s="1"/>
  <c r="K62" i="1"/>
  <c r="L62" i="1" s="1"/>
  <c r="F92" i="7"/>
  <c r="F93" i="7" s="1"/>
  <c r="F94" i="7" s="1"/>
  <c r="F95" i="7" s="1"/>
  <c r="F96" i="7" s="1"/>
  <c r="F97" i="7" s="1"/>
  <c r="F98" i="7" s="1"/>
  <c r="F99" i="7" s="1"/>
  <c r="F100" i="7" s="1"/>
  <c r="F101" i="7" s="1"/>
  <c r="F102" i="7" s="1"/>
  <c r="F103" i="7" s="1"/>
  <c r="F107" i="7"/>
  <c r="D41" i="7"/>
  <c r="B41" i="7"/>
  <c r="K27" i="1"/>
  <c r="L27" i="1" s="1"/>
  <c r="O27" i="1"/>
  <c r="P27" i="1" s="1"/>
  <c r="I15" i="6" l="1"/>
  <c r="I23" i="6" s="1"/>
  <c r="K206" i="1"/>
  <c r="H216" i="1"/>
  <c r="O206" i="1"/>
  <c r="I17" i="6"/>
  <c r="I25" i="6" s="1"/>
  <c r="H218" i="1"/>
  <c r="O208" i="1"/>
  <c r="K208" i="1"/>
  <c r="O207" i="1"/>
  <c r="I16" i="6"/>
  <c r="I24" i="6" s="1"/>
  <c r="K207" i="1"/>
  <c r="H217" i="1"/>
  <c r="H279" i="1"/>
  <c r="K279" i="1" s="1"/>
  <c r="L279" i="1" s="1"/>
  <c r="K270" i="1"/>
  <c r="L270" i="1" s="1"/>
  <c r="K40" i="1"/>
  <c r="L40" i="1" s="1"/>
  <c r="O40" i="1"/>
  <c r="P40" i="1" s="1"/>
  <c r="H50" i="1"/>
  <c r="O94" i="1"/>
  <c r="P94" i="1" s="1"/>
  <c r="K94" i="1"/>
  <c r="L94" i="1" s="1"/>
  <c r="O248" i="1"/>
  <c r="P248" i="1" s="1"/>
  <c r="K248" i="1"/>
  <c r="L248" i="1" s="1"/>
  <c r="L111" i="97"/>
  <c r="K112" i="97"/>
  <c r="F112" i="7"/>
  <c r="F108" i="7"/>
  <c r="B44" i="7"/>
  <c r="B45" i="7" s="1"/>
  <c r="I26" i="6" l="1"/>
  <c r="H219" i="1"/>
  <c r="O279" i="1"/>
  <c r="P279" i="1" s="1"/>
  <c r="H64" i="1"/>
  <c r="O50" i="1"/>
  <c r="P50" i="1" s="1"/>
  <c r="K50" i="1"/>
  <c r="L50" i="1" s="1"/>
  <c r="H29" i="1"/>
  <c r="L112" i="97"/>
  <c r="K113" i="97"/>
  <c r="D46" i="7"/>
  <c r="B46" i="7"/>
  <c r="F117" i="7"/>
  <c r="F118" i="7" s="1"/>
  <c r="F119" i="7" s="1"/>
  <c r="F120" i="7" s="1"/>
  <c r="F121" i="7" s="1"/>
  <c r="F122" i="7" s="1"/>
  <c r="F123" i="7" s="1"/>
  <c r="F124" i="7" s="1"/>
  <c r="F125" i="7" s="1"/>
  <c r="F126" i="7" s="1"/>
  <c r="F127" i="7" s="1"/>
  <c r="F128" i="7" s="1"/>
  <c r="F129" i="7" s="1"/>
  <c r="F113" i="7"/>
  <c r="K219" i="1" l="1"/>
  <c r="O219" i="1"/>
  <c r="H30" i="1"/>
  <c r="O29" i="1"/>
  <c r="P29" i="1" s="1"/>
  <c r="K29" i="1"/>
  <c r="L29" i="1" s="1"/>
  <c r="O64" i="1"/>
  <c r="P64" i="1" s="1"/>
  <c r="K64" i="1"/>
  <c r="L64" i="1" s="1"/>
  <c r="H243" i="1"/>
  <c r="H32" i="1"/>
  <c r="L113" i="97"/>
  <c r="K114" i="97"/>
  <c r="B49" i="7"/>
  <c r="B50" i="7" s="1"/>
  <c r="B51" i="7" s="1"/>
  <c r="B52" i="7" s="1"/>
  <c r="B53" i="7" s="1"/>
  <c r="B54" i="7" s="1"/>
  <c r="B55" i="7" s="1"/>
  <c r="B56" i="7" s="1"/>
  <c r="B57" i="7" s="1"/>
  <c r="B58" i="7" s="1"/>
  <c r="B59" i="7" s="1"/>
  <c r="B60" i="7" s="1"/>
  <c r="B61" i="7" s="1"/>
  <c r="K32" i="1" l="1"/>
  <c r="L32" i="1" s="1"/>
  <c r="H33" i="1"/>
  <c r="O32" i="1"/>
  <c r="P32" i="1" s="1"/>
  <c r="K243" i="1"/>
  <c r="L243" i="1" s="1"/>
  <c r="O243" i="1"/>
  <c r="P243" i="1" s="1"/>
  <c r="H136" i="1"/>
  <c r="H137" i="1" s="1"/>
  <c r="O30" i="1"/>
  <c r="P30" i="1" s="1"/>
  <c r="K30" i="1"/>
  <c r="L30" i="1" s="1"/>
  <c r="AD77" i="92"/>
  <c r="AD78" i="92" s="1"/>
  <c r="AG78" i="92" s="1"/>
  <c r="AG80" i="92" s="1"/>
  <c r="H78" i="1" s="1"/>
  <c r="L114" i="97"/>
  <c r="K115" i="97"/>
  <c r="B62" i="7"/>
  <c r="D62" i="7"/>
  <c r="K137" i="1" l="1"/>
  <c r="L137" i="1" s="1"/>
  <c r="O137" i="1"/>
  <c r="P137" i="1" s="1"/>
  <c r="H139" i="1"/>
  <c r="K56" i="115"/>
  <c r="K57" i="115" s="1"/>
  <c r="H59" i="115" s="1"/>
  <c r="H81" i="1" s="1"/>
  <c r="H15" i="114"/>
  <c r="H16" i="114" s="1"/>
  <c r="K33" i="1"/>
  <c r="L33" i="1" s="1"/>
  <c r="I165" i="7"/>
  <c r="J165" i="7" s="1"/>
  <c r="H75" i="1" s="1"/>
  <c r="I159" i="7"/>
  <c r="J159" i="7" s="1"/>
  <c r="H233" i="1" s="1"/>
  <c r="H15" i="116"/>
  <c r="H16" i="116" s="1"/>
  <c r="J17" i="116" s="1"/>
  <c r="E12" i="76"/>
  <c r="F12" i="76" s="1"/>
  <c r="E25" i="76"/>
  <c r="F25" i="76" s="1"/>
  <c r="O33" i="1"/>
  <c r="P33" i="1" s="1"/>
  <c r="O78" i="1"/>
  <c r="P78" i="1" s="1"/>
  <c r="K78" i="1"/>
  <c r="L78" i="1" s="1"/>
  <c r="L115" i="97"/>
  <c r="K116" i="97"/>
  <c r="B65" i="7"/>
  <c r="B68" i="7" s="1"/>
  <c r="B75" i="7" s="1"/>
  <c r="B76" i="7" s="1"/>
  <c r="B77" i="7" s="1"/>
  <c r="B78" i="7" s="1"/>
  <c r="B79" i="7" s="1"/>
  <c r="B80" i="7" s="1"/>
  <c r="B81" i="7" s="1"/>
  <c r="B82" i="7" s="1"/>
  <c r="B83" i="7" s="1"/>
  <c r="B84" i="7" s="1"/>
  <c r="B85" i="7" s="1"/>
  <c r="B86" i="7" s="1"/>
  <c r="B87" i="7" s="1"/>
  <c r="F27" i="76" l="1"/>
  <c r="H158" i="1" s="1"/>
  <c r="O158" i="1" s="1"/>
  <c r="P158" i="1" s="1"/>
  <c r="K233" i="1"/>
  <c r="L233" i="1" s="1"/>
  <c r="O233" i="1"/>
  <c r="P233" i="1" s="1"/>
  <c r="H234" i="1"/>
  <c r="I41" i="6"/>
  <c r="I44" i="6" s="1"/>
  <c r="O81" i="1"/>
  <c r="P81" i="1" s="1"/>
  <c r="K81" i="1"/>
  <c r="L81" i="1" s="1"/>
  <c r="K75" i="1"/>
  <c r="L75" i="1" s="1"/>
  <c r="O75" i="1"/>
  <c r="P75" i="1" s="1"/>
  <c r="K139" i="1"/>
  <c r="L139" i="1" s="1"/>
  <c r="H247" i="1"/>
  <c r="H97" i="1"/>
  <c r="O139" i="1"/>
  <c r="P139" i="1" s="1"/>
  <c r="H18" i="116"/>
  <c r="J19" i="114"/>
  <c r="J18" i="116" s="1"/>
  <c r="J19" i="116" s="1"/>
  <c r="H69" i="1" s="1"/>
  <c r="L116" i="97"/>
  <c r="K117" i="97"/>
  <c r="D68" i="7"/>
  <c r="B88" i="7"/>
  <c r="D88" i="7"/>
  <c r="H160" i="1" l="1"/>
  <c r="O160" i="1" s="1"/>
  <c r="P160" i="1" s="1"/>
  <c r="K158" i="1"/>
  <c r="L158" i="1" s="1"/>
  <c r="H249" i="1"/>
  <c r="H99" i="1"/>
  <c r="K97" i="1"/>
  <c r="L97" i="1" s="1"/>
  <c r="O97" i="1"/>
  <c r="P97" i="1" s="1"/>
  <c r="K234" i="1"/>
  <c r="L234" i="1" s="1"/>
  <c r="O234" i="1"/>
  <c r="P234" i="1" s="1"/>
  <c r="K247" i="1"/>
  <c r="L247" i="1" s="1"/>
  <c r="O247" i="1"/>
  <c r="P247" i="1" s="1"/>
  <c r="K69" i="1"/>
  <c r="L69" i="1" s="1"/>
  <c r="O69" i="1"/>
  <c r="P69" i="1" s="1"/>
  <c r="L117" i="97"/>
  <c r="K118" i="97"/>
  <c r="B91" i="7"/>
  <c r="B92" i="7" s="1"/>
  <c r="B93" i="7" s="1"/>
  <c r="B94" i="7" s="1"/>
  <c r="B95" i="7" s="1"/>
  <c r="B96" i="7" s="1"/>
  <c r="B97" i="7" s="1"/>
  <c r="B98" i="7" s="1"/>
  <c r="B99" i="7" s="1"/>
  <c r="B100" i="7" s="1"/>
  <c r="B101" i="7" s="1"/>
  <c r="B102" i="7" s="1"/>
  <c r="B103" i="7" s="1"/>
  <c r="K160" i="1" l="1"/>
  <c r="L160" i="1" s="1"/>
  <c r="O99" i="1"/>
  <c r="K99" i="1"/>
  <c r="H104" i="1"/>
  <c r="O249" i="1"/>
  <c r="P249" i="1" s="1"/>
  <c r="K249" i="1"/>
  <c r="L249" i="1" s="1"/>
  <c r="L118" i="97"/>
  <c r="K119" i="97"/>
  <c r="B104" i="7"/>
  <c r="D104" i="7"/>
  <c r="H244" i="1" l="1"/>
  <c r="H106" i="1"/>
  <c r="K104" i="1"/>
  <c r="L104" i="1" s="1"/>
  <c r="O104" i="1"/>
  <c r="P104" i="1" s="1"/>
  <c r="L119" i="97"/>
  <c r="K120" i="97"/>
  <c r="M118" i="97"/>
  <c r="H44" i="26" s="1"/>
  <c r="H45" i="26" s="1"/>
  <c r="B107" i="7"/>
  <c r="B108" i="7" s="1"/>
  <c r="I28" i="6" l="1"/>
  <c r="I48" i="6" s="1"/>
  <c r="I50" i="6" s="1"/>
  <c r="I8" i="6" s="1"/>
  <c r="H277" i="1" s="1"/>
  <c r="K277" i="1" s="1"/>
  <c r="L277" i="1" s="1"/>
  <c r="H221" i="1"/>
  <c r="O106" i="1"/>
  <c r="P106" i="1" s="1"/>
  <c r="K106" i="1"/>
  <c r="L106" i="1" s="1"/>
  <c r="K244" i="1"/>
  <c r="L244" i="1" s="1"/>
  <c r="H245" i="1"/>
  <c r="O244" i="1"/>
  <c r="P244" i="1" s="1"/>
  <c r="L120" i="97"/>
  <c r="K121" i="97"/>
  <c r="D109" i="7"/>
  <c r="B109" i="7"/>
  <c r="O277" i="1" l="1"/>
  <c r="P277" i="1" s="1"/>
  <c r="K245" i="1"/>
  <c r="L245" i="1" s="1"/>
  <c r="O245" i="1"/>
  <c r="P245" i="1" s="1"/>
  <c r="H236" i="1"/>
  <c r="H250" i="1"/>
  <c r="O221" i="1"/>
  <c r="P221" i="1" s="1"/>
  <c r="K221" i="1"/>
  <c r="L221" i="1" s="1"/>
  <c r="L121" i="97"/>
  <c r="K122" i="97"/>
  <c r="B112" i="7"/>
  <c r="B113" i="7" s="1"/>
  <c r="K250" i="1" l="1"/>
  <c r="L250" i="1" s="1"/>
  <c r="O250" i="1"/>
  <c r="P250" i="1" s="1"/>
  <c r="O236" i="1"/>
  <c r="P236" i="1" s="1"/>
  <c r="K236" i="1"/>
  <c r="L236" i="1" s="1"/>
  <c r="H238" i="1"/>
  <c r="L122" i="97"/>
  <c r="K123" i="97"/>
  <c r="D114" i="7"/>
  <c r="B114" i="7"/>
  <c r="K238" i="1" l="1"/>
  <c r="L238" i="1" s="1"/>
  <c r="O238" i="1"/>
  <c r="P238" i="1" s="1"/>
  <c r="H251" i="1"/>
  <c r="L123" i="97"/>
  <c r="K124" i="97"/>
  <c r="B117" i="7"/>
  <c r="B118" i="7" s="1"/>
  <c r="B119" i="7" s="1"/>
  <c r="B120" i="7" s="1"/>
  <c r="B121" i="7" s="1"/>
  <c r="B122" i="7" s="1"/>
  <c r="B123" i="7" s="1"/>
  <c r="B124" i="7" s="1"/>
  <c r="B125" i="7" s="1"/>
  <c r="B126" i="7" s="1"/>
  <c r="B127" i="7" s="1"/>
  <c r="B128" i="7" s="1"/>
  <c r="B129" i="7" s="1"/>
  <c r="K251" i="1" l="1"/>
  <c r="L251" i="1" s="1"/>
  <c r="H253" i="1"/>
  <c r="O251" i="1"/>
  <c r="P251" i="1" s="1"/>
  <c r="L124" i="97"/>
  <c r="K125" i="97"/>
  <c r="D130" i="7"/>
  <c r="B130" i="7"/>
  <c r="K253" i="1" l="1"/>
  <c r="L253" i="1" s="1"/>
  <c r="O253" i="1"/>
  <c r="P253" i="1" s="1"/>
  <c r="H260" i="1"/>
  <c r="L125" i="97"/>
  <c r="K126" i="97"/>
  <c r="B132" i="7"/>
  <c r="B134" i="7" s="1"/>
  <c r="D132" i="7"/>
  <c r="D134" i="7"/>
  <c r="H276" i="1" l="1"/>
  <c r="K260" i="1"/>
  <c r="L260" i="1" s="1"/>
  <c r="H269" i="1"/>
  <c r="O260" i="1"/>
  <c r="P260" i="1" s="1"/>
  <c r="H261" i="1"/>
  <c r="L126" i="97"/>
  <c r="K127" i="97"/>
  <c r="K269" i="1" l="1"/>
  <c r="L269" i="1" s="1"/>
  <c r="H273" i="1"/>
  <c r="O269" i="1"/>
  <c r="P269" i="1" s="1"/>
  <c r="H272" i="1"/>
  <c r="H271" i="1"/>
  <c r="H266" i="1"/>
  <c r="O261" i="1"/>
  <c r="P261" i="1" s="1"/>
  <c r="F8" i="54"/>
  <c r="K261" i="1"/>
  <c r="L261" i="1" s="1"/>
  <c r="K276" i="1"/>
  <c r="L276" i="1" s="1"/>
  <c r="H278" i="1"/>
  <c r="O276" i="1"/>
  <c r="P276" i="1" s="1"/>
  <c r="L127" i="97"/>
  <c r="K128" i="97"/>
  <c r="O272" i="1" l="1"/>
  <c r="K272" i="1"/>
  <c r="M9" i="26"/>
  <c r="O266" i="1"/>
  <c r="P266" i="1" s="1"/>
  <c r="H283" i="1"/>
  <c r="K266" i="1"/>
  <c r="L266" i="1" s="1"/>
  <c r="O273" i="1"/>
  <c r="M14" i="26"/>
  <c r="K273" i="1"/>
  <c r="O278" i="1"/>
  <c r="P278" i="1" s="1"/>
  <c r="H281" i="1"/>
  <c r="M10" i="26" s="1"/>
  <c r="M11" i="26" s="1"/>
  <c r="K278" i="1"/>
  <c r="L278" i="1" s="1"/>
  <c r="H280" i="1"/>
  <c r="O271" i="1"/>
  <c r="K271" i="1"/>
  <c r="L128" i="97"/>
  <c r="K129" i="97"/>
  <c r="K24" i="26" l="1"/>
  <c r="E24" i="26"/>
  <c r="E25" i="26" s="1"/>
  <c r="H24" i="26"/>
  <c r="N24" i="26"/>
  <c r="O283" i="1"/>
  <c r="P283" i="1" s="1"/>
  <c r="K283" i="1"/>
  <c r="L283" i="1" s="1"/>
  <c r="L129" i="97"/>
  <c r="K130" i="97"/>
  <c r="L130" i="97" s="1"/>
  <c r="M130" i="97" s="1"/>
  <c r="H46" i="26" s="1"/>
  <c r="G47" i="26" l="1"/>
  <c r="G45" i="26"/>
  <c r="G43" i="26"/>
  <c r="G65" i="26"/>
  <c r="G49" i="26"/>
  <c r="G67" i="26"/>
  <c r="G39" i="26"/>
  <c r="G35" i="26"/>
  <c r="G41" i="26"/>
  <c r="G55" i="26"/>
  <c r="G59" i="26"/>
  <c r="G69" i="26"/>
  <c r="G63" i="26"/>
  <c r="G37" i="26"/>
  <c r="G33" i="26"/>
  <c r="G51" i="26"/>
  <c r="G53" i="26"/>
  <c r="G61" i="26"/>
  <c r="G31" i="26"/>
  <c r="G57" i="26"/>
  <c r="M68" i="26"/>
  <c r="M58" i="26"/>
  <c r="M36" i="26"/>
  <c r="M32" i="26"/>
  <c r="M30" i="26"/>
  <c r="M52" i="26"/>
  <c r="M62" i="26"/>
  <c r="M60" i="26"/>
  <c r="M56" i="26"/>
  <c r="M34" i="26"/>
  <c r="M44" i="26"/>
  <c r="M66" i="26"/>
  <c r="M48" i="26"/>
  <c r="M40" i="26"/>
  <c r="M38" i="26"/>
  <c r="M46" i="26"/>
  <c r="M64" i="26"/>
  <c r="M42" i="26"/>
  <c r="M54" i="26"/>
  <c r="M50" i="26"/>
  <c r="P64" i="26"/>
  <c r="P36" i="26"/>
  <c r="P38" i="26"/>
  <c r="P46" i="26"/>
  <c r="P42" i="26"/>
  <c r="P48" i="26"/>
  <c r="P60" i="26"/>
  <c r="P56" i="26"/>
  <c r="P68" i="26"/>
  <c r="P34" i="26"/>
  <c r="P40" i="26"/>
  <c r="P66" i="26"/>
  <c r="N25" i="26"/>
  <c r="P30" i="26"/>
  <c r="P44" i="26"/>
  <c r="P50" i="26"/>
  <c r="P62" i="26"/>
  <c r="P54" i="26"/>
  <c r="P58" i="26"/>
  <c r="P52" i="26"/>
  <c r="P32" i="26"/>
  <c r="K25" i="26"/>
  <c r="J34" i="26"/>
  <c r="J66" i="26"/>
  <c r="J38" i="26"/>
  <c r="J50" i="26"/>
  <c r="J36" i="26"/>
  <c r="J56" i="26"/>
  <c r="J62" i="26"/>
  <c r="J32" i="26"/>
  <c r="J64" i="26"/>
  <c r="J40" i="26"/>
  <c r="J58" i="26"/>
  <c r="J54" i="26"/>
  <c r="J30" i="26"/>
  <c r="J44" i="26"/>
  <c r="J42" i="26"/>
  <c r="J68" i="26"/>
  <c r="J52" i="26"/>
  <c r="J60" i="26"/>
  <c r="J48" i="26"/>
  <c r="G64" i="26"/>
  <c r="G66" i="26"/>
  <c r="G42" i="26"/>
  <c r="G52" i="26"/>
  <c r="G54" i="26"/>
  <c r="G50" i="26"/>
  <c r="G48" i="26"/>
  <c r="G56" i="26"/>
  <c r="G60" i="26"/>
  <c r="G34" i="26"/>
  <c r="G32" i="26"/>
  <c r="G38" i="26"/>
  <c r="G44" i="26"/>
  <c r="G46" i="26"/>
  <c r="G36" i="26"/>
  <c r="G30" i="26"/>
  <c r="G62" i="26"/>
  <c r="G40" i="26"/>
  <c r="G58" i="26"/>
  <c r="G68" i="26"/>
  <c r="H25" i="26"/>
  <c r="H47" i="26"/>
  <c r="J46" i="26"/>
  <c r="Q46" i="26" l="1"/>
  <c r="S46" i="26" s="1"/>
  <c r="Q60" i="26"/>
  <c r="S60" i="26" s="1"/>
  <c r="Q44" i="26"/>
  <c r="S44" i="26" s="1"/>
  <c r="Q40" i="26"/>
  <c r="S40" i="26" s="1"/>
  <c r="Q56" i="26"/>
  <c r="S56" i="26" s="1"/>
  <c r="Q66" i="26"/>
  <c r="S66" i="26" s="1"/>
  <c r="Q68" i="26"/>
  <c r="S68" i="26" s="1"/>
  <c r="J47" i="26"/>
  <c r="Q52" i="26"/>
  <c r="S52" i="26" s="1"/>
  <c r="Q30" i="26"/>
  <c r="S30" i="26" s="1"/>
  <c r="Q64" i="26"/>
  <c r="S64" i="26" s="1"/>
  <c r="Q36" i="26"/>
  <c r="S36" i="26" s="1"/>
  <c r="Q34" i="26"/>
  <c r="S34" i="26" s="1"/>
  <c r="Q54" i="26"/>
  <c r="S54" i="26" s="1"/>
  <c r="Q32" i="26"/>
  <c r="S32" i="26" s="1"/>
  <c r="Q50" i="26"/>
  <c r="S50" i="26" s="1"/>
  <c r="M35" i="26"/>
  <c r="M49" i="26"/>
  <c r="M61" i="26"/>
  <c r="M37" i="26"/>
  <c r="M65" i="26"/>
  <c r="M43" i="26"/>
  <c r="M41" i="26"/>
  <c r="M63" i="26"/>
  <c r="M31" i="26"/>
  <c r="M33" i="26"/>
  <c r="M39" i="26"/>
  <c r="M57" i="26"/>
  <c r="M51" i="26"/>
  <c r="M59" i="26"/>
  <c r="M55" i="26"/>
  <c r="M53" i="26"/>
  <c r="M69" i="26"/>
  <c r="M47" i="26"/>
  <c r="M45" i="26"/>
  <c r="M67" i="26"/>
  <c r="J45" i="26"/>
  <c r="J41" i="26"/>
  <c r="J69" i="26"/>
  <c r="J53" i="26"/>
  <c r="J51" i="26"/>
  <c r="J49" i="26"/>
  <c r="J63" i="26"/>
  <c r="J65" i="26"/>
  <c r="J37" i="26"/>
  <c r="J39" i="26"/>
  <c r="J33" i="26"/>
  <c r="J59" i="26"/>
  <c r="J57" i="26"/>
  <c r="J61" i="26"/>
  <c r="J31" i="26"/>
  <c r="J67" i="26"/>
  <c r="J43" i="26"/>
  <c r="J55" i="26"/>
  <c r="J35" i="26"/>
  <c r="Q48" i="26"/>
  <c r="S48" i="26" s="1"/>
  <c r="Q42" i="26"/>
  <c r="S42" i="26" s="1"/>
  <c r="Q58" i="26"/>
  <c r="S58" i="26" s="1"/>
  <c r="Q62" i="26"/>
  <c r="S62" i="26" s="1"/>
  <c r="Q38" i="26"/>
  <c r="S38" i="26" s="1"/>
  <c r="P47" i="26"/>
  <c r="P45" i="26"/>
  <c r="P33" i="26"/>
  <c r="P41" i="26"/>
  <c r="P57" i="26"/>
  <c r="P65" i="26"/>
  <c r="P31" i="26"/>
  <c r="P67" i="26"/>
  <c r="P39" i="26"/>
  <c r="P55" i="26"/>
  <c r="P61" i="26"/>
  <c r="P43" i="26"/>
  <c r="P37" i="26"/>
  <c r="P59" i="26"/>
  <c r="P69" i="26"/>
  <c r="P49" i="26"/>
  <c r="P63" i="26"/>
  <c r="P35" i="26"/>
  <c r="P51" i="26"/>
  <c r="P53" i="26"/>
  <c r="Q49" i="26" l="1"/>
  <c r="R49" i="26" s="1"/>
  <c r="T49" i="26" s="1"/>
  <c r="Q61" i="26"/>
  <c r="R61" i="26" s="1"/>
  <c r="T61" i="26" s="1"/>
  <c r="Q39" i="26"/>
  <c r="R39" i="26" s="1"/>
  <c r="T39" i="26" s="1"/>
  <c r="Q41" i="26"/>
  <c r="R41" i="26" s="1"/>
  <c r="T41" i="26" s="1"/>
  <c r="Q35" i="26"/>
  <c r="R35" i="26" s="1"/>
  <c r="T35" i="26" s="1"/>
  <c r="Q31" i="26"/>
  <c r="R31" i="26" s="1"/>
  <c r="T31" i="26" s="1"/>
  <c r="Q33" i="26"/>
  <c r="R33" i="26" s="1"/>
  <c r="T33" i="26" s="1"/>
  <c r="Q63" i="26"/>
  <c r="R63" i="26" s="1"/>
  <c r="T63" i="26" s="1"/>
  <c r="Q69" i="26"/>
  <c r="R69" i="26" s="1"/>
  <c r="T69" i="26" s="1"/>
  <c r="Q55" i="26"/>
  <c r="R55" i="26" s="1"/>
  <c r="T55" i="26" s="1"/>
  <c r="Q43" i="26"/>
  <c r="R43" i="26" s="1"/>
  <c r="T43" i="26" s="1"/>
  <c r="Q57" i="26"/>
  <c r="R57" i="26" s="1"/>
  <c r="T57" i="26" s="1"/>
  <c r="Q37" i="26"/>
  <c r="R37" i="26" s="1"/>
  <c r="T37" i="26" s="1"/>
  <c r="Q51" i="26"/>
  <c r="R51" i="26" s="1"/>
  <c r="T51" i="26" s="1"/>
  <c r="Q45" i="26"/>
  <c r="R45" i="26" s="1"/>
  <c r="T45" i="26" s="1"/>
  <c r="Q67" i="26"/>
  <c r="R67" i="26" s="1"/>
  <c r="T67" i="26" s="1"/>
  <c r="Q59" i="26"/>
  <c r="R59" i="26" s="1"/>
  <c r="T59" i="26" s="1"/>
  <c r="Q65" i="26"/>
  <c r="R65" i="26" s="1"/>
  <c r="T65" i="26" s="1"/>
  <c r="Q53" i="26"/>
  <c r="R53" i="26" s="1"/>
  <c r="T53" i="26" s="1"/>
  <c r="Q47" i="26"/>
  <c r="R47" i="26" s="1"/>
  <c r="T47" i="26" s="1"/>
  <c r="F19" i="54" s="1"/>
  <c r="F21" i="54" s="1"/>
  <c r="F28" i="54" s="1"/>
  <c r="F30" i="54" s="1"/>
  <c r="H285" i="1" l="1"/>
  <c r="K285" i="1" s="1"/>
  <c r="L285" i="1" s="1"/>
  <c r="F32" i="54"/>
  <c r="F37" i="54" s="1"/>
  <c r="F44" i="54" s="1"/>
  <c r="H287" i="1" l="1"/>
  <c r="K287" i="1" s="1"/>
  <c r="L287" i="1" s="1"/>
  <c r="O285" i="1"/>
  <c r="P285" i="1" s="1"/>
  <c r="F39" i="54"/>
  <c r="F46" i="54" s="1"/>
  <c r="H291" i="1" l="1"/>
  <c r="O287" i="1"/>
  <c r="P287" i="1" s="1"/>
  <c r="H293" i="1" l="1"/>
  <c r="O291" i="1"/>
  <c r="P291" i="1" s="1"/>
  <c r="K291" i="1"/>
  <c r="L291" i="1" s="1"/>
  <c r="K293" i="1" l="1"/>
  <c r="L293" i="1" s="1"/>
  <c r="O293" i="1"/>
  <c r="P293" i="1" s="1"/>
</calcChain>
</file>

<file path=xl/comments1.xml><?xml version="1.0" encoding="utf-8"?>
<comments xmlns="http://schemas.openxmlformats.org/spreadsheetml/2006/main">
  <authors>
    <author>Kwitman, Eva</author>
    <author>Bronner, Natalia</author>
  </authors>
  <commentList>
    <comment ref="H21" authorId="0" shapeId="0">
      <text>
        <r>
          <rPr>
            <b/>
            <sz val="9"/>
            <color indexed="81"/>
            <rFont val="Tahoma"/>
            <family val="2"/>
          </rPr>
          <t>Kwitman, Eva:</t>
        </r>
        <r>
          <rPr>
            <sz val="9"/>
            <color indexed="81"/>
            <rFont val="Tahoma"/>
            <family val="2"/>
          </rPr>
          <t xml:space="preserve">
This is all the adjustments due to the FERC Audit, see page 204-207</t>
        </r>
      </text>
    </comment>
    <comment ref="H31" authorId="0" shapeId="0">
      <text>
        <r>
          <rPr>
            <b/>
            <sz val="9"/>
            <color indexed="81"/>
            <rFont val="Tahoma"/>
            <family val="2"/>
          </rPr>
          <t>Kwitman, Eva:</t>
        </r>
        <r>
          <rPr>
            <sz val="9"/>
            <color indexed="81"/>
            <rFont val="Tahoma"/>
            <family val="2"/>
          </rPr>
          <t xml:space="preserve">
Diff between line 104, page 207, and adjusted number</t>
        </r>
      </text>
    </comment>
    <comment ref="E88" authorId="0" shapeId="0">
      <text>
        <r>
          <rPr>
            <b/>
            <sz val="9"/>
            <color indexed="81"/>
            <rFont val="Tahoma"/>
            <family val="2"/>
          </rPr>
          <t>Kwitman, Eva:</t>
        </r>
        <r>
          <rPr>
            <sz val="9"/>
            <color indexed="81"/>
            <rFont val="Tahoma"/>
            <family val="2"/>
          </rPr>
          <t xml:space="preserve">
Confirm with B. Fritz that there were no facilities which would qualify for Sec 30.9 credit. See the confirmation in the "received" correspondance folder.</t>
        </r>
      </text>
    </comment>
    <comment ref="E99" authorId="0" shapeId="0">
      <text>
        <r>
          <rPr>
            <sz val="9"/>
            <color indexed="81"/>
            <rFont val="Tahoma"/>
            <family val="2"/>
          </rPr>
          <t xml:space="preserve">
Checked GL 505962 &amp; 505964 for FERC 566</t>
        </r>
      </text>
    </comment>
    <comment ref="E100" authorId="1" shapeId="0">
      <text>
        <r>
          <rPr>
            <b/>
            <sz val="9"/>
            <color indexed="81"/>
            <rFont val="Tahoma"/>
            <family val="2"/>
          </rPr>
          <t xml:space="preserve"> EK: Updated</t>
        </r>
        <r>
          <rPr>
            <sz val="9"/>
            <color indexed="81"/>
            <rFont val="Tahoma"/>
            <family val="2"/>
          </rPr>
          <t xml:space="preserve"> Rupdated according to backup received 4/24/18-stayed the same as 2017</t>
        </r>
      </text>
    </comment>
  </commentList>
</comments>
</file>

<file path=xl/comments2.xml><?xml version="1.0" encoding="utf-8"?>
<comments xmlns="http://schemas.openxmlformats.org/spreadsheetml/2006/main">
  <authors>
    <author>PacifiCorp</author>
  </authors>
  <commentList>
    <comment ref="K8" authorId="0" shapeId="0">
      <text>
        <r>
          <rPr>
            <sz val="9"/>
            <color indexed="81"/>
            <rFont val="Tahoma"/>
            <family val="2"/>
          </rPr>
          <t>Shaded cells on this worksheet indicate adjusted values.  Refer to FERC Form No. 1, page 106b.</t>
        </r>
        <r>
          <rPr>
            <sz val="9"/>
            <color indexed="81"/>
            <rFont val="Tahoma"/>
            <family val="2"/>
          </rPr>
          <t xml:space="preserve">
</t>
        </r>
      </text>
    </comment>
  </commentList>
</comments>
</file>

<file path=xl/sharedStrings.xml><?xml version="1.0" encoding="utf-8"?>
<sst xmlns="http://schemas.openxmlformats.org/spreadsheetml/2006/main" count="5240" uniqueCount="2428">
  <si>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</si>
  <si>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</si>
  <si>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</si>
  <si>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</si>
  <si>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</si>
  <si>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</si>
  <si>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</si>
  <si>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</si>
  <si>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</si>
  <si>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</si>
  <si>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</si>
  <si>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</si>
  <si>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</si>
  <si>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</si>
  <si>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</si>
  <si>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</si>
  <si>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</si>
  <si>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</si>
  <si>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</si>
  <si>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</si>
  <si>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</si>
  <si>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</si>
  <si>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</si>
  <si>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</si>
  <si>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</si>
  <si>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</si>
  <si>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</si>
  <si>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</si>
  <si>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</si>
  <si>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</si>
  <si>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</si>
  <si>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</si>
  <si>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</si>
  <si>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</si>
  <si>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</si>
  <si>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</si>
  <si>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</si>
  <si>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</si>
  <si>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</si>
  <si>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</si>
  <si>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</si>
  <si>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</si>
  <si>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</si>
  <si>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</si>
  <si>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</si>
  <si>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</si>
  <si>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</si>
  <si>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</si>
  <si>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</si>
  <si>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</si>
  <si>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</si>
  <si>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</si>
  <si>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</si>
  <si>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</si>
  <si>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</si>
  <si>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</si>
  <si>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</si>
  <si>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</si>
  <si>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</si>
  <si>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</si>
  <si>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</si>
  <si>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</si>
  <si>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</si>
  <si>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</si>
  <si>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</si>
  <si>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</si>
  <si>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</si>
  <si>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</si>
  <si>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</si>
  <si>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</si>
  <si>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</si>
  <si>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</si>
  <si>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</si>
  <si>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</si>
  <si>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</si>
  <si>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</si>
  <si>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</si>
  <si>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</si>
  <si>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</si>
  <si>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</si>
  <si>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</si>
  <si>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</si>
  <si>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</si>
  <si>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</si>
  <si>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</si>
  <si>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</si>
  <si>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</si>
  <si>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</si>
  <si>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</si>
  <si>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</si>
  <si>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</si>
  <si>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</si>
  <si>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</si>
  <si>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</si>
  <si>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</si>
  <si>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</si>
  <si>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</si>
  <si>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</si>
  <si>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</si>
  <si>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</si>
  <si>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</si>
  <si>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</si>
  <si>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</si>
  <si>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</si>
  <si>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</si>
  <si>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</si>
  <si>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</si>
  <si>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</si>
  <si>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</si>
  <si>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</si>
  <si>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</si>
  <si>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</si>
  <si>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</si>
  <si>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</si>
  <si>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</si>
  <si>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</si>
  <si>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</si>
  <si>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</si>
  <si>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</si>
  <si>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</si>
  <si>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</si>
  <si>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</si>
  <si>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</si>
  <si>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</si>
  <si>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</si>
  <si>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</si>
  <si>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</si>
  <si>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</si>
  <si>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</si>
  <si>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</si>
  <si>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</si>
  <si>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</si>
  <si>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</si>
  <si>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</si>
  <si>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</si>
  <si>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</si>
  <si>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</si>
  <si>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</si>
  <si>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</si>
  <si>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</si>
  <si>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</si>
  <si>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</si>
  <si>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</si>
  <si>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</si>
  <si>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</si>
  <si>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</si>
  <si>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</si>
  <si>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</si>
  <si>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</si>
  <si>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</si>
  <si>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</si>
  <si>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</si>
  <si>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</si>
  <si>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</si>
  <si>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</si>
  <si>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</si>
  <si>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</si>
  <si>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</si>
  <si>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</si>
  <si>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</si>
  <si>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</si>
  <si>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</si>
  <si>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</si>
  <si>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</si>
  <si>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</si>
  <si>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</si>
  <si>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</si>
  <si>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</si>
  <si>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</si>
  <si>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</si>
  <si>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</si>
  <si>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</si>
  <si>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</si>
  <si>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</si>
  <si>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</si>
  <si>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</si>
  <si>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</si>
  <si>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</si>
  <si>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</si>
  <si>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</si>
  <si>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</si>
  <si>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</si>
  <si>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</si>
  <si>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</si>
  <si>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</si>
  <si>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</si>
  <si>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</si>
  <si>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</si>
  <si>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</si>
  <si>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</si>
  <si>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</si>
  <si>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</si>
  <si>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</si>
  <si>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</si>
  <si>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</si>
  <si>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</si>
  <si>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</si>
  <si>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</si>
  <si>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</si>
  <si>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</si>
  <si>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</si>
  <si>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</si>
  <si>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</si>
  <si>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</si>
  <si>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</si>
  <si>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</si>
  <si>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</si>
  <si>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</si>
  <si>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</si>
  <si>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</si>
  <si>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</si>
  <si>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</si>
  <si>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</si>
  <si>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</si>
  <si>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</si>
  <si>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</si>
  <si>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</si>
  <si>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</si>
  <si>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</si>
  <si>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</si>
  <si>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</si>
  <si>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</si>
  <si>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</si>
  <si>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</si>
  <si>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</si>
  <si>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</si>
  <si>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</si>
  <si>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</si>
  <si>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</si>
  <si>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</si>
  <si>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</si>
  <si>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</si>
  <si>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</si>
  <si>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</si>
  <si>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</si>
  <si>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</si>
  <si>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</si>
  <si>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</si>
  <si>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</si>
  <si>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</si>
  <si>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</si>
  <si>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</si>
  <si>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</si>
  <si>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</si>
  <si>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</si>
  <si>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</si>
  <si>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</si>
  <si>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</si>
  <si>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</si>
  <si>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</si>
  <si>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</si>
  <si>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</si>
  <si>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</si>
  <si>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</si>
  <si>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</si>
  <si>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</si>
  <si>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</si>
  <si>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</si>
  <si>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</si>
  <si>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</si>
  <si>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</si>
  <si>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</si>
  <si>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</si>
  <si>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</si>
  <si>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</si>
  <si>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</si>
  <si>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</si>
  <si>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</si>
  <si>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</si>
  <si>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</si>
  <si>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</si>
  <si>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</si>
  <si>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</si>
  <si>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</si>
  <si>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</si>
  <si>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</si>
  <si>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</si>
  <si>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</si>
  <si>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</si>
  <si>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</si>
  <si>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</si>
  <si>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</si>
  <si>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</si>
  <si>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</si>
  <si>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</si>
  <si>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</si>
  <si>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</si>
  <si>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</si>
  <si>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</si>
  <si>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</si>
  <si>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</si>
  <si>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</si>
  <si>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</si>
  <si>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</si>
  <si>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</si>
  <si>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</si>
  <si>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</si>
  <si>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</si>
  <si>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</si>
  <si>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</si>
  <si>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</si>
  <si>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</si>
  <si>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</si>
  <si>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</si>
  <si>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</si>
  <si>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</si>
  <si>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</si>
  <si>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</si>
  <si>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</si>
  <si>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</si>
  <si>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</si>
  <si>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</si>
  <si>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</si>
  <si>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</si>
  <si>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</si>
  <si>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</si>
  <si>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</si>
  <si>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</si>
  <si>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</si>
  <si>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</si>
  <si>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</si>
  <si>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</si>
  <si>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</si>
  <si>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</si>
  <si>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</si>
  <si>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</si>
  <si>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</si>
  <si>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</si>
  <si>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</si>
  <si>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</si>
  <si>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</si>
  <si>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</si>
  <si>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</si>
  <si>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</si>
  <si>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</si>
  <si>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</si>
  <si>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</si>
  <si>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</si>
  <si>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</si>
  <si>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</si>
  <si>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</si>
  <si>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</si>
  <si>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</si>
  <si>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</si>
  <si>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</si>
  <si>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</si>
  <si>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</si>
  <si>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</si>
  <si>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</si>
  <si>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</si>
  <si>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</si>
  <si>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</si>
  <si>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</si>
  <si>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</si>
  <si>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</si>
  <si>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</si>
  <si>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</si>
  <si>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</si>
  <si>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</si>
  <si>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</si>
  <si>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</si>
  <si>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</si>
  <si>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</si>
  <si>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</si>
  <si>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</si>
  <si>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</si>
  <si>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</si>
  <si>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</si>
  <si>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</si>
  <si>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</si>
  <si>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</si>
  <si>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</si>
  <si>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</si>
  <si>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</si>
  <si>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</si>
  <si>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</si>
  <si>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</si>
  <si>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</si>
  <si>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</si>
  <si>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</si>
  <si>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</si>
  <si>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</si>
  <si>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</si>
  <si>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</si>
  <si>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</si>
  <si>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</si>
  <si>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</si>
  <si>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</si>
  <si>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</si>
  <si>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</si>
  <si>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</si>
  <si>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</si>
  <si>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</si>
  <si>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</si>
  <si>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</si>
  <si>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</si>
  <si>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</si>
  <si>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</si>
  <si>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</si>
  <si>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</si>
  <si>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</si>
  <si>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</si>
  <si>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</si>
  <si>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</si>
  <si>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</si>
  <si>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</si>
  <si>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</si>
  <si>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</si>
  <si>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</si>
  <si>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</si>
  <si>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</si>
  <si>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</si>
  <si>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</si>
  <si>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</si>
  <si>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</si>
  <si>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</si>
  <si>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</si>
  <si>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</si>
  <si>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</si>
  <si>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</si>
  <si>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</si>
  <si>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</si>
  <si>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</si>
  <si>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</si>
  <si>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</si>
  <si>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</si>
  <si>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</si>
  <si>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</si>
  <si>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</si>
  <si>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</si>
  <si>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</si>
  <si>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</si>
  <si>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</si>
  <si>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</si>
  <si>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</si>
  <si>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</si>
  <si>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</si>
  <si>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</si>
  <si>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</si>
  <si>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</si>
  <si>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</si>
  <si>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</si>
  <si>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</si>
  <si>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</si>
  <si>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</si>
  <si>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</si>
  <si>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</si>
  <si>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</si>
  <si>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</si>
  <si>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</si>
  <si>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</si>
  <si>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</si>
  <si>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</si>
  <si>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</si>
  <si>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</si>
  <si>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</si>
  <si>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</si>
  <si>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</si>
  <si>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</si>
  <si>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</si>
  <si>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</si>
  <si>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</si>
  <si>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</si>
  <si>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</si>
  <si>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</si>
  <si>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</si>
  <si>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</si>
  <si>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</si>
  <si>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</si>
  <si>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</si>
  <si>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</si>
  <si>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</si>
  <si>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</si>
  <si>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</si>
  <si>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</si>
  <si>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</si>
  <si>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</si>
  <si>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</si>
  <si>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</si>
  <si>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</si>
  <si>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</si>
  <si>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</si>
  <si>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</si>
  <si>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</si>
  <si>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</si>
  <si>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</si>
  <si>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</si>
  <si>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</si>
  <si>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</si>
  <si>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</si>
  <si>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</si>
  <si>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</si>
  <si>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</si>
  <si>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</si>
  <si>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</si>
  <si>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</si>
  <si>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</si>
  <si>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</si>
  <si>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</si>
  <si>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</si>
  <si>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</si>
  <si>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</si>
  <si>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</si>
  <si>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</si>
  <si>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</si>
  <si>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</si>
  <si>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</si>
  <si>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</si>
  <si>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</si>
  <si>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</si>
  <si>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</si>
  <si>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</si>
  <si>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</si>
  <si>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</si>
  <si>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</si>
  <si>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</si>
  <si>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</si>
  <si>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</si>
  <si>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</si>
  <si>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</si>
  <si>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</si>
  <si>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</si>
  <si>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</si>
  <si>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</si>
  <si>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</si>
  <si>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</si>
  <si>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</si>
  <si>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</si>
  <si>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</si>
  <si>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</si>
  <si>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</si>
  <si>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</si>
  <si>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</si>
  <si>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</si>
  <si>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</si>
  <si>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</si>
  <si>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</si>
  <si>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</si>
  <si>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</si>
  <si>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</si>
  <si>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</si>
  <si>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</si>
  <si>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</si>
  <si>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</si>
  <si>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</si>
  <si>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</si>
  <si>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</si>
  <si>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</si>
  <si>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</si>
  <si>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</si>
  <si>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</si>
  <si>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</si>
  <si>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</si>
  <si>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</si>
  <si>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</si>
  <si>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</si>
  <si>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</si>
  <si>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</si>
  <si>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</si>
  <si>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</si>
  <si>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</si>
  <si>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</si>
  <si>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</si>
  <si>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</si>
  <si>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</si>
  <si>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</si>
  <si>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</si>
  <si>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</si>
  <si>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</si>
  <si>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</si>
  <si>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</si>
  <si>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</si>
  <si>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</si>
  <si>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</si>
  <si>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</si>
  <si>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</si>
  <si>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</si>
  <si>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</si>
  <si>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</si>
  <si>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</si>
  <si>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</si>
  <si>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</si>
  <si>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</si>
  <si>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</si>
  <si>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</si>
  <si>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</si>
  <si>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</si>
  <si>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</si>
  <si>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</si>
  <si>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</si>
  <si>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</si>
  <si>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</si>
  <si>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</si>
  <si>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</si>
  <si>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</si>
  <si>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</si>
  <si>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</si>
  <si>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</si>
  <si>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</si>
  <si>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</si>
  <si>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</si>
  <si>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</si>
  <si>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</si>
  <si>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</si>
  <si>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</si>
  <si>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</si>
  <si>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</si>
  <si>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</si>
  <si>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</si>
  <si>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</si>
  <si>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</si>
  <si>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</si>
  <si>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</si>
  <si>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</si>
  <si>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</si>
  <si>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</si>
  <si>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</si>
  <si>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</si>
  <si>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</si>
  <si>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</si>
  <si>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</si>
  <si>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</si>
  <si>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</si>
  <si>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</si>
  <si>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</si>
  <si>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</si>
  <si>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</si>
  <si>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</si>
  <si>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</si>
  <si>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</si>
  <si>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</si>
  <si>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</si>
  <si>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</si>
  <si>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</si>
  <si>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</si>
  <si>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</si>
  <si>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</si>
  <si>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</si>
  <si>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</si>
  <si>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</si>
  <si>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</si>
  <si>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</si>
  <si>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</si>
  <si>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</si>
  <si>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</si>
  <si>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</si>
  <si>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</si>
  <si>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</si>
  <si>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</si>
  <si>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</si>
  <si>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</si>
  <si>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</si>
  <si>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</si>
  <si>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</si>
  <si>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</si>
  <si>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</si>
  <si>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</si>
  <si>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</si>
  <si>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</si>
  <si>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</si>
  <si>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</si>
  <si>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</si>
  <si>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</si>
  <si>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</si>
  <si>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</si>
  <si>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</si>
  <si>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</si>
  <si>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</si>
  <si>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</si>
  <si>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</si>
  <si>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</si>
  <si>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</si>
  <si>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</si>
  <si>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</si>
  <si>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</si>
  <si>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</si>
  <si>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</si>
  <si>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</si>
  <si>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</si>
  <si>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</si>
  <si>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</si>
  <si>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</si>
  <si>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</si>
  <si>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</si>
  <si>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</si>
  <si>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</si>
  <si>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</si>
  <si>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</si>
  <si>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</si>
  <si>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</si>
  <si>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</si>
  <si>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</si>
  <si>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</si>
  <si>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</si>
  <si>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</si>
  <si>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</si>
  <si>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</si>
  <si>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</si>
  <si>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</si>
  <si>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</si>
  <si>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</si>
  <si>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</si>
  <si>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</si>
  <si>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</si>
  <si>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</si>
  <si>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</si>
  <si>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</si>
  <si>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</si>
  <si>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</si>
  <si>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</si>
  <si>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</si>
  <si>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</si>
  <si>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</si>
  <si>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</si>
  <si>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</si>
  <si>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</si>
  <si>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</si>
  <si>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</si>
  <si>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</si>
  <si>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</si>
  <si>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</si>
  <si>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</si>
  <si>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</si>
  <si>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</si>
  <si>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</si>
  <si>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</si>
  <si>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</si>
  <si>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</si>
  <si>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</si>
  <si>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</si>
  <si>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</si>
  <si>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</si>
  <si>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</si>
  <si>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</si>
  <si>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</si>
  <si>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</si>
  <si>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</si>
  <si>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</si>
  <si>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</si>
  <si>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Sept</t>
  </si>
  <si>
    <t xml:space="preserve">Jul </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</si>
  <si>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</si>
  <si>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</si>
  <si>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</si>
  <si>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</si>
  <si>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</si>
  <si>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</si>
  <si>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</si>
  <si>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</si>
  <si>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</si>
  <si>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</si>
  <si>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</si>
  <si>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</si>
  <si>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</si>
  <si>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</si>
  <si>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</si>
  <si>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</si>
  <si>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</si>
  <si>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</si>
  <si>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</si>
  <si>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</si>
  <si>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</si>
  <si>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</si>
  <si>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</si>
  <si>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</si>
  <si>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</si>
  <si>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</si>
  <si>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</si>
  <si>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</si>
  <si>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</si>
  <si>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</si>
  <si>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</si>
  <si>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</si>
  <si>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</si>
  <si>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</si>
  <si>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</si>
  <si>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</si>
  <si>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</si>
  <si>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</si>
  <si>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</si>
  <si>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</si>
  <si>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</si>
  <si>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</si>
  <si>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</si>
  <si>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</si>
  <si>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</si>
  <si>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</si>
  <si>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</si>
  <si>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</si>
  <si>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</si>
  <si>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</si>
  <si>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</si>
  <si>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</si>
  <si>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</si>
  <si>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</si>
  <si>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</si>
  <si>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</si>
  <si>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</si>
  <si>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</si>
  <si>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</si>
  <si>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</si>
  <si>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</si>
  <si>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</si>
  <si>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</si>
  <si>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</si>
  <si>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</si>
  <si>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</si>
  <si>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</si>
  <si>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</si>
  <si>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</si>
  <si>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</si>
  <si>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</si>
  <si>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</si>
  <si>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</si>
  <si>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</si>
  <si>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</si>
  <si>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</si>
  <si>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</si>
  <si>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</si>
  <si>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</si>
  <si>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</si>
  <si>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</si>
  <si>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</si>
  <si>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</si>
  <si>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</si>
  <si>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</si>
  <si>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</si>
  <si>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</si>
  <si>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</si>
  <si>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</si>
  <si>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</si>
  <si>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</si>
  <si>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</si>
  <si>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</si>
  <si>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</si>
  <si>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</si>
  <si>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</si>
  <si>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</si>
  <si>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</si>
  <si>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</si>
  <si>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</si>
  <si>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</si>
  <si>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</si>
  <si>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</si>
  <si>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</si>
  <si>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</si>
  <si>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</si>
  <si>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</si>
  <si>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</si>
  <si>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</si>
  <si>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</si>
  <si>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</si>
  <si>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</si>
  <si>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</si>
  <si>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</si>
  <si>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</si>
  <si>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</si>
  <si>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</si>
  <si>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</si>
  <si>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</si>
  <si>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</si>
  <si>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</si>
  <si>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</si>
  <si>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</si>
  <si>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</si>
  <si>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</si>
  <si>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</si>
  <si>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</si>
  <si>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</si>
  <si>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</si>
  <si>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</si>
  <si>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</si>
  <si>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</si>
  <si>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</si>
  <si>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</si>
  <si>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</si>
  <si>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</si>
  <si>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</si>
  <si>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</si>
  <si>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</si>
  <si>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</si>
  <si>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</si>
  <si>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</si>
  <si>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</si>
  <si>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</si>
  <si>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</si>
  <si>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</si>
  <si>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</si>
  <si>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</si>
  <si>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</si>
  <si>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</si>
  <si>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</si>
  <si>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</si>
  <si>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</si>
  <si>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</si>
  <si>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</si>
  <si>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</si>
  <si>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</si>
  <si>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</si>
  <si>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</si>
  <si>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</si>
  <si>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</si>
  <si>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</si>
  <si>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</si>
  <si>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</si>
  <si>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</si>
  <si>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</si>
  <si>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</si>
  <si>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</si>
  <si>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</si>
  <si>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</si>
  <si>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</si>
  <si>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</si>
  <si>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</si>
  <si>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</si>
  <si>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</si>
  <si>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</si>
  <si>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</si>
  <si>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</si>
  <si>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</si>
  <si>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</si>
  <si>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</si>
  <si>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</si>
  <si>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</si>
  <si>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</si>
  <si>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</si>
  <si>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</si>
  <si>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</si>
  <si>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</si>
  <si>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</si>
  <si>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</si>
  <si>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</si>
  <si>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</si>
  <si>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</si>
  <si>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</si>
  <si>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</si>
  <si>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</si>
  <si>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</si>
  <si>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</si>
  <si>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</si>
  <si>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</si>
  <si>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</si>
  <si>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</si>
  <si>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</si>
  <si>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</si>
  <si>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</si>
  <si>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</si>
  <si>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</si>
  <si>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</si>
  <si>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</si>
  <si>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</si>
  <si>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</si>
  <si>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</si>
  <si>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</si>
  <si>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</si>
  <si>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</si>
  <si>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</si>
  <si>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</si>
  <si>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</si>
  <si>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</si>
  <si>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</si>
  <si>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</si>
  <si>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</si>
  <si>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</si>
  <si>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</si>
  <si>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</si>
  <si>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</si>
  <si>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</si>
  <si>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</si>
  <si>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</si>
  <si>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</si>
  <si>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</si>
  <si>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</si>
  <si>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</si>
  <si>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</si>
  <si>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</si>
  <si>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</si>
  <si>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</si>
  <si>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</si>
  <si>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</si>
  <si>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</si>
  <si>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</si>
  <si>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</si>
  <si>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</si>
  <si>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</si>
  <si>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</si>
  <si>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</si>
  <si>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</si>
  <si>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</si>
  <si>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</si>
  <si>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</si>
  <si>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</si>
  <si>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</si>
  <si>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</si>
  <si>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</si>
  <si>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</si>
  <si>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</si>
  <si>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</si>
  <si>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</si>
  <si>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</si>
  <si>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</si>
  <si>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</si>
  <si>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</si>
  <si>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</si>
  <si>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</si>
  <si>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</si>
  <si>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</si>
  <si>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</si>
  <si>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</si>
  <si>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</si>
  <si>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</si>
  <si>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Unprinted notes</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</si>
  <si>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</si>
  <si>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</si>
  <si>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</si>
  <si>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</si>
  <si>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</si>
  <si>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</si>
  <si>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</si>
  <si>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</si>
  <si>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</si>
  <si>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</si>
  <si>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</si>
  <si>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</si>
  <si>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</si>
  <si>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</si>
  <si>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</si>
  <si>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</si>
  <si>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</si>
  <si>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</si>
  <si>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</si>
  <si>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</si>
  <si>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</si>
  <si>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</si>
  <si>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</si>
  <si>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</si>
  <si>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</si>
  <si>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</si>
  <si>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</si>
  <si>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</si>
  <si>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</si>
  <si>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</si>
  <si>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</si>
  <si>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</si>
  <si>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</si>
  <si>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</si>
  <si>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</si>
  <si>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</si>
  <si>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</si>
  <si>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</si>
  <si>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</si>
  <si>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</si>
  <si>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</si>
  <si>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</si>
  <si>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</si>
  <si>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</si>
  <si>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</si>
  <si>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</si>
  <si>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</si>
  <si>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</si>
  <si>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</si>
  <si>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</si>
  <si>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</si>
  <si>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</si>
  <si>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</si>
  <si>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</si>
  <si>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</si>
  <si>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</si>
  <si>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</si>
  <si>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</si>
  <si>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</si>
  <si>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</si>
  <si>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</si>
  <si>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</si>
  <si>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</si>
  <si>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</si>
  <si>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</si>
  <si>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</si>
  <si>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</si>
  <si>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</si>
  <si>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</si>
  <si>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</si>
  <si>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</si>
  <si>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</si>
  <si>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</si>
  <si>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</si>
  <si>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</si>
  <si>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</si>
  <si>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</si>
  <si>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</si>
  <si>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</si>
  <si>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</si>
  <si>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</si>
  <si>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</si>
  <si>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</si>
  <si>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</si>
  <si>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</si>
  <si>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</si>
  <si>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</si>
  <si>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</si>
  <si>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</si>
  <si>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</si>
  <si>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</si>
  <si>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</si>
  <si>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</si>
  <si>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</si>
  <si>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</si>
  <si>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</si>
  <si>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</si>
  <si>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</si>
  <si>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</si>
  <si>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</si>
  <si>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</si>
  <si>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</si>
  <si>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</si>
  <si>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</si>
  <si>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</si>
  <si>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</si>
  <si>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</si>
  <si>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</si>
  <si>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</si>
  <si>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</si>
  <si>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</si>
  <si>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</si>
  <si>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</si>
  <si>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</si>
  <si>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</si>
  <si>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</si>
  <si>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</si>
  <si>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</si>
  <si>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</si>
  <si>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</si>
  <si>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</si>
  <si>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</si>
  <si>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</si>
  <si>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</si>
  <si>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</si>
  <si>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</si>
  <si>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</si>
  <si>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</si>
  <si>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</si>
  <si>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</si>
  <si>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</si>
  <si>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</si>
  <si>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</si>
  <si>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</si>
  <si>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</si>
  <si>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</si>
  <si>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</si>
  <si>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</si>
  <si>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</si>
  <si>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Toggle list</t>
  </si>
  <si>
    <t>Percent change</t>
  </si>
  <si>
    <t>Non-qualified deferred compensation plan under IRC Subsection 409A.</t>
  </si>
  <si>
    <t>Accrued retiree payment obligations outside of the regular PacifiCorp retirement plan, most constituting payments made above the IRC Subsection 415 limitations.</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</si>
  <si>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</si>
  <si>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</si>
  <si>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</si>
  <si>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</si>
  <si>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</si>
  <si>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</si>
  <si>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</si>
  <si>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</si>
  <si>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</si>
  <si>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</si>
  <si>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</si>
  <si>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</si>
  <si>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Regulatory liability used to record the Oregon allowed deferral of Grid West, an RTO (regional transmission organization).</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</si>
  <si>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</si>
  <si>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</si>
  <si>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</si>
  <si>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</si>
  <si>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</si>
  <si>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</si>
  <si>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</si>
  <si>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</si>
  <si>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</si>
  <si>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participating in the company's Blue Sky renewable energy program, which are then used to purchase renewable energy certificates.</t>
  </si>
  <si>
    <t>Current federal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</si>
  <si>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</si>
  <si>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</si>
  <si>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non-current liability from derivative regulatory liability to an other regulatory liability for frozen derivative.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</si>
  <si>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</si>
  <si>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</si>
  <si>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</si>
  <si>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</si>
  <si>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</si>
  <si>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</si>
  <si>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</si>
  <si>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</si>
  <si>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</si>
  <si>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</si>
  <si>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</si>
  <si>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</si>
  <si>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</si>
  <si>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</si>
  <si>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</si>
  <si>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</si>
  <si>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</si>
  <si>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</si>
  <si>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</si>
  <si>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</si>
  <si>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</si>
  <si>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</si>
  <si>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</si>
  <si>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</si>
  <si>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</si>
  <si>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</si>
  <si>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</si>
  <si>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</si>
  <si>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</si>
  <si>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</si>
  <si>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</si>
  <si>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</si>
  <si>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</si>
  <si>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</si>
  <si>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</si>
  <si>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</si>
  <si>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</si>
  <si>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</si>
  <si>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</si>
  <si>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</si>
  <si>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</si>
  <si>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</si>
  <si>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</si>
  <si>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</si>
  <si>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</si>
  <si>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</si>
  <si>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</si>
  <si>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</si>
  <si>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</si>
  <si>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</si>
  <si>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</si>
  <si>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</si>
  <si>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</si>
  <si>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</si>
  <si>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</si>
  <si>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</si>
  <si>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</si>
  <si>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</si>
  <si>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</si>
  <si>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</si>
  <si>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</si>
  <si>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</si>
  <si>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</si>
  <si>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</si>
  <si>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</si>
  <si>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</si>
  <si>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</si>
  <si>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</si>
  <si>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</si>
  <si>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</si>
  <si>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</si>
  <si>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</si>
  <si>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</si>
  <si>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</si>
  <si>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</si>
  <si>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</si>
  <si>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</si>
  <si>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</si>
  <si>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</si>
  <si>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</si>
  <si>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</si>
  <si>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</si>
  <si>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</si>
  <si>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</si>
  <si>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</si>
  <si>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</si>
  <si>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</si>
  <si>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</si>
  <si>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</si>
  <si>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</si>
  <si>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</si>
  <si>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</si>
  <si>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</si>
  <si>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</si>
  <si>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</si>
  <si>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</si>
  <si>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</si>
  <si>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</si>
  <si>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</si>
  <si>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</si>
  <si>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</si>
  <si>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</si>
  <si>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</si>
  <si>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</si>
  <si>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</si>
  <si>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</si>
  <si>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</si>
  <si>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</si>
  <si>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</si>
  <si>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</si>
  <si>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</si>
  <si>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</si>
  <si>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</si>
  <si>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</si>
  <si>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</si>
  <si>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</si>
  <si>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</si>
  <si>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</si>
  <si>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</si>
  <si>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</si>
  <si>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</si>
  <si>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</si>
  <si>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</si>
  <si>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</si>
  <si>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</si>
  <si>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</si>
  <si>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</si>
  <si>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</si>
  <si>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</si>
  <si>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</si>
  <si>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</si>
  <si>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</si>
  <si>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</si>
  <si>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</si>
  <si>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</si>
  <si>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</si>
  <si>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</si>
  <si>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</si>
  <si>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</si>
  <si>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</si>
  <si>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</si>
  <si>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</si>
  <si>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</si>
  <si>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</si>
  <si>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</si>
  <si>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</si>
  <si>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</si>
  <si>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</si>
  <si>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</si>
  <si>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</si>
  <si>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</si>
  <si>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</si>
  <si>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</si>
  <si>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</si>
  <si>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</si>
  <si>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</si>
  <si>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</si>
  <si>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</si>
  <si>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</si>
  <si>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</si>
  <si>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</si>
  <si>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</si>
  <si>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</si>
  <si>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</si>
  <si>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</si>
  <si>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</si>
  <si>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</si>
  <si>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</si>
  <si>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</si>
  <si>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</si>
  <si>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</si>
  <si>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</si>
  <si>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</si>
  <si>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</si>
  <si>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</si>
  <si>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</si>
  <si>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</si>
  <si>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</si>
  <si>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</si>
  <si>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</si>
  <si>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</si>
  <si>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</si>
  <si>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</si>
  <si>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</si>
  <si>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</si>
  <si>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</si>
  <si>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</si>
  <si>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</si>
  <si>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</si>
  <si>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</si>
  <si>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</si>
  <si>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</si>
  <si>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</si>
  <si>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</si>
  <si>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</si>
  <si>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</si>
  <si>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</si>
  <si>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</si>
  <si>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</si>
  <si>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t>
  </si>
  <si>
    <t>&lt;--fixed</t>
  </si>
  <si>
    <t>ATT 5 - Cost Support</t>
  </si>
  <si>
    <t>OATT (Part III - Network Service) - Average of current year and prior two years</t>
  </si>
  <si>
    <t>OATT (Part II Long-Term Firm Point-to-Point Transmission Service) - Projection</t>
  </si>
  <si>
    <t>bgn_yr_bal</t>
  </si>
  <si>
    <t>assumptions.</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</si>
  <si>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</si>
  <si>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</si>
  <si>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</si>
  <si>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</si>
  <si>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</si>
  <si>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</si>
  <si>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</si>
  <si>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</si>
  <si>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</si>
  <si>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</si>
  <si>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</si>
  <si>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</si>
  <si>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</si>
  <si>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</si>
  <si>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</si>
  <si>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Deferred Comp. Accrual</t>
  </si>
  <si>
    <t>Pension/Retirement Accrual</t>
  </si>
  <si>
    <t>Wasach workers comp reserve</t>
  </si>
  <si>
    <t>FAS 112 Book Reserve - Post</t>
  </si>
  <si>
    <t>Western Coal Carr Ret Med Accrual</t>
  </si>
  <si>
    <t>FAS 133 Derivatives - Book</t>
  </si>
  <si>
    <t>NonCurr Liab - Frozen MTM</t>
  </si>
  <si>
    <t>RL - WA Low Energy Program</t>
  </si>
  <si>
    <t>RL - OR Energy Conserv Chrg</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</si>
  <si>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</si>
  <si>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</si>
  <si>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</si>
  <si>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</si>
  <si>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</si>
  <si>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</si>
  <si>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</si>
  <si>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</si>
  <si>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</si>
  <si>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</si>
  <si>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</si>
  <si>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</si>
  <si>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</si>
  <si>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</si>
  <si>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</si>
  <si>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</si>
  <si>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</si>
  <si>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</si>
  <si>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</si>
  <si>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</si>
  <si>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</si>
  <si>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</si>
  <si>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</si>
  <si>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</si>
  <si>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</si>
  <si>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</si>
  <si>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</si>
  <si>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</si>
  <si>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</si>
  <si>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</si>
  <si>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</si>
  <si>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</si>
  <si>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PMI Fuel Cost Adjustment</t>
  </si>
  <si>
    <t>M&amp;S Inventory Write-off</t>
  </si>
  <si>
    <t>N Umpqua Settlement Agmt</t>
  </si>
  <si>
    <t>Energy West Accrued Liab</t>
  </si>
  <si>
    <t>Misc Current &amp; Accrued Liab</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</si>
  <si>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</si>
  <si>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</si>
  <si>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</si>
  <si>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</si>
  <si>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</si>
  <si>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</si>
  <si>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</si>
  <si>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</si>
  <si>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</si>
  <si>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</si>
  <si>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</si>
  <si>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</si>
  <si>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</si>
  <si>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</si>
  <si>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</si>
  <si>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</si>
  <si>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</si>
  <si>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</si>
  <si>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</si>
  <si>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</si>
  <si>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</si>
  <si>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</si>
  <si>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</si>
  <si>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</si>
  <si>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</si>
  <si>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</si>
  <si>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</si>
  <si>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</si>
  <si>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</si>
  <si>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</si>
  <si>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</si>
  <si>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</si>
  <si>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</si>
  <si>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</si>
  <si>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</si>
  <si>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</si>
  <si>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</si>
  <si>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</si>
  <si>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</si>
  <si>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</si>
  <si>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</si>
  <si>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</si>
  <si>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</si>
  <si>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</si>
  <si>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</si>
  <si>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</si>
  <si>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</si>
  <si>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</si>
  <si>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Noncurrent</t>
  </si>
  <si>
    <t>Regulatory asset established for reclass non-current portion of CA Deferred Excess NPC.</t>
  </si>
  <si>
    <t>RA - Deferred Excess NPC - ID - Noncurrent</t>
  </si>
  <si>
    <t>Regulatory asset established for noncurrent portion of recoverable net power costs in Idaho pursuant to an energy cost adjustment mechanism.</t>
  </si>
  <si>
    <t>RA - Deferred Excess NPC - UT - Noncurrent</t>
  </si>
  <si>
    <t xml:space="preserve">Regulatory asset established for noncurrent portion of recoverable net power costs in Utah pursuant to an energy cost adjustment clause.
</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</si>
  <si>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</si>
  <si>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</si>
  <si>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</si>
  <si>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</si>
  <si>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</si>
  <si>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</si>
  <si>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</si>
  <si>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</si>
  <si>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</si>
  <si>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</si>
  <si>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</si>
  <si>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</si>
  <si>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</si>
  <si>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</si>
  <si>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</si>
  <si>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</si>
  <si>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</si>
  <si>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</si>
  <si>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</si>
  <si>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</si>
  <si>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</si>
  <si>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</si>
  <si>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</si>
  <si>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</si>
  <si>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</si>
  <si>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</si>
  <si>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</si>
  <si>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</si>
  <si>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</si>
  <si>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</si>
  <si>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</si>
  <si>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</si>
  <si>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</si>
  <si>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Post-Ret MMT - CA</t>
  </si>
  <si>
    <t>RA - Post-Ret MMT - OR</t>
  </si>
  <si>
    <t>RA - Post-Ret MMT - UT</t>
  </si>
  <si>
    <t>RA - Powerdale Decommissioning</t>
  </si>
  <si>
    <t>RA - Powerdale Decommissioning - ID</t>
  </si>
  <si>
    <t>RA - Powerdale Decommissioning - WA</t>
  </si>
  <si>
    <t>RA - REC Sales Deferral - OR - Noncurrent</t>
  </si>
  <si>
    <t>RA - REC Sales Deferral - UT - Noncurrent</t>
  </si>
  <si>
    <t>RA - REC Sales Deferral - WY - Noncurrent</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</si>
  <si>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</si>
  <si>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</si>
  <si>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</si>
  <si>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</si>
  <si>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</si>
  <si>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</si>
  <si>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</si>
  <si>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</si>
  <si>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</si>
  <si>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</si>
  <si>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</si>
  <si>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</si>
  <si>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</si>
  <si>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</si>
  <si>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</si>
  <si>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</si>
  <si>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</si>
  <si>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</si>
  <si>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</si>
  <si>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</si>
  <si>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Noncurrent Asset - Frozen MTM</t>
  </si>
  <si>
    <t>OR BETC - Purchased Credits - Non-Cash</t>
  </si>
  <si>
    <t xml:space="preserve">Attachment 1a input --&gt; </t>
  </si>
  <si>
    <t>SA 742</t>
  </si>
  <si>
    <t>g17</t>
  </si>
  <si>
    <t>g18</t>
  </si>
  <si>
    <t>growth</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</si>
  <si>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</si>
  <si>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</si>
  <si>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</si>
  <si>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</si>
  <si>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</si>
  <si>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</si>
  <si>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</si>
  <si>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</si>
  <si>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</si>
  <si>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</si>
  <si>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</si>
  <si>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</si>
  <si>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</si>
  <si>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the noncurrent portion of Utah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</si>
  <si>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</si>
  <si>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</si>
  <si>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</si>
  <si>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</si>
  <si>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</si>
  <si>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</si>
  <si>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</si>
  <si>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</si>
  <si>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</si>
  <si>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</si>
  <si>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</si>
  <si>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</si>
  <si>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</si>
  <si>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</si>
  <si>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</si>
  <si>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</si>
  <si>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</si>
  <si>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</si>
  <si>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</si>
  <si>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</si>
  <si>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</si>
  <si>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</si>
  <si>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</si>
  <si>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</si>
  <si>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</si>
  <si>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</si>
  <si>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</si>
  <si>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</si>
  <si>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</si>
  <si>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</si>
  <si>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</si>
  <si>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</si>
  <si>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</si>
  <si>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</si>
  <si>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</si>
  <si>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</si>
  <si>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</si>
  <si>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</si>
  <si>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</si>
  <si>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</si>
  <si>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</si>
  <si>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</si>
  <si>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</si>
  <si>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</si>
  <si>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</si>
  <si>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</si>
  <si>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</si>
  <si>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</si>
  <si>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</si>
  <si>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</si>
  <si>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</si>
  <si>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</si>
  <si>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</si>
  <si>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</si>
  <si>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</si>
  <si>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</si>
  <si>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</si>
  <si>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Attachment 1 - Accumulated Deferred Income Taxes (ADIT) Worksheet</t>
  </si>
  <si>
    <t>A/Amort-Hydr-Klamath</t>
  </si>
  <si>
    <t>Prepaid Lake Side CUWCD Water Fee</t>
  </si>
  <si>
    <t>Adjustment to exclude the write-offs that were booked to Account 573</t>
  </si>
  <si>
    <t>component of 335 Ln 1b</t>
  </si>
  <si>
    <t>350.39d</t>
  </si>
  <si>
    <t>350.40d</t>
  </si>
  <si>
    <t>Docket No. EL08-75-00 (10/21/2008)</t>
  </si>
  <si>
    <t>Sacramento Muncipal Utility District</t>
  </si>
  <si>
    <t xml:space="preserve">NextEra: </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</si>
  <si>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</si>
  <si>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</si>
  <si>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</si>
  <si>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</si>
  <si>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</si>
  <si>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</si>
  <si>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</si>
  <si>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</si>
  <si>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</si>
  <si>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</si>
  <si>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</si>
  <si>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</si>
  <si>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</si>
  <si>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</si>
  <si>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</si>
  <si>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</si>
  <si>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</si>
  <si>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</si>
  <si>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</si>
  <si>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</si>
  <si>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</si>
  <si>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</si>
  <si>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</si>
  <si>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</si>
  <si>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</si>
  <si>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</si>
  <si>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</si>
  <si>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</si>
  <si>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</si>
  <si>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</si>
  <si>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</si>
  <si>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</si>
  <si>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</si>
  <si>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</si>
  <si>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</si>
  <si>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</si>
  <si>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</si>
  <si>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</si>
  <si>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</si>
  <si>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</si>
  <si>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</si>
  <si>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</si>
  <si>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</si>
  <si>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</si>
  <si>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</si>
  <si>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</si>
  <si>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</si>
  <si>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</si>
  <si>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</si>
  <si>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</si>
  <si>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</si>
  <si>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</si>
  <si>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</si>
  <si>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</si>
  <si>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</si>
  <si>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</si>
  <si>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Water Rights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</si>
  <si>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</si>
  <si>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</si>
  <si>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='Att 10 - Acc Amort of PIS'!$E$13</t>
  </si>
  <si>
    <t>Subtotal - p273</t>
  </si>
  <si>
    <t>Fixed settlement value and a product of PacifiCorp underbuild attachments to transmission poles or towers of 46,314 multiplied by $12.00 per pole.</t>
  </si>
  <si>
    <t>EIM: Capital Cost of upgrade of substation and power plant meters to 5-min memory capability.</t>
  </si>
  <si>
    <t>Interconnection Customer Interconnection Facilities (ICIFs).</t>
  </si>
  <si>
    <t>&lt;--billing demand from FF1 p328 values</t>
  </si>
  <si>
    <r>
      <rPr>
        <b/>
        <sz val="10"/>
        <color rgb="FF0000FF"/>
        <rFont val="Garamond"/>
        <family val="1"/>
      </rPr>
      <t xml:space="preserve">&lt;-- </t>
    </r>
    <r>
      <rPr>
        <sz val="10"/>
        <color rgb="FF0000FF"/>
        <rFont val="Garamond"/>
        <family val="1"/>
      </rPr>
      <t>Form 1 data year</t>
    </r>
  </si>
  <si>
    <r>
      <rPr>
        <b/>
        <sz val="10"/>
        <color rgb="FF0000FF"/>
        <rFont val="Garamond"/>
        <family val="1"/>
      </rPr>
      <t xml:space="preserve">&lt;&lt;-- </t>
    </r>
    <r>
      <rPr>
        <sz val="10"/>
        <color rgb="FF0000FF"/>
        <rFont val="Garamond"/>
        <family val="1"/>
      </rPr>
      <t>Toggle data</t>
    </r>
  </si>
  <si>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</si>
  <si>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</si>
  <si>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</si>
  <si>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</si>
  <si>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</si>
  <si>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</si>
  <si>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</si>
  <si>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</si>
  <si>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</si>
  <si>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</si>
  <si>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</si>
  <si>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</si>
  <si>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</si>
  <si>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 xml:space="preserve">Attachment 2 (Other Taxes) Supporting Details </t>
  </si>
  <si>
    <t xml:space="preserve">Docket no. EL08-75-000, Order No. 125 (2008), FERC Stats. &amp; Regs. ¶61,076. </t>
  </si>
  <si>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</si>
  <si>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</si>
  <si>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Nevada Commerce Tax</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</si>
  <si>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</si>
  <si>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</si>
  <si>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</si>
  <si>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</si>
  <si>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</si>
  <si>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</si>
  <si>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</si>
  <si>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</si>
  <si>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</si>
  <si>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</si>
  <si>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</si>
  <si>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</si>
  <si>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</si>
  <si>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</si>
  <si>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</si>
  <si>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</si>
  <si>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</si>
  <si>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</si>
  <si>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</si>
  <si>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</si>
  <si>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</si>
  <si>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</si>
  <si>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</si>
  <si>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</si>
  <si>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</si>
  <si>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</si>
  <si>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</si>
  <si>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</si>
  <si>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</si>
  <si>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</si>
  <si>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</si>
  <si>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</si>
  <si>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</si>
  <si>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</si>
  <si>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</si>
  <si>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</si>
  <si>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</si>
  <si>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</si>
  <si>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</si>
  <si>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</si>
  <si>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</si>
  <si>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</si>
  <si>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</si>
  <si>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</si>
  <si>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</si>
  <si>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</si>
  <si>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</si>
  <si>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</si>
  <si>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</si>
  <si>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</si>
  <si>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</si>
  <si>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</si>
  <si>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</si>
  <si>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</si>
  <si>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</si>
  <si>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</si>
  <si>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</si>
  <si>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</si>
  <si>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</si>
  <si>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</si>
  <si>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</si>
  <si>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</si>
  <si>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</si>
  <si>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</si>
  <si>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</si>
  <si>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</si>
  <si>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</si>
  <si>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</si>
  <si>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</si>
  <si>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</si>
  <si>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</si>
  <si>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</si>
  <si>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</si>
  <si>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</si>
  <si>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</si>
  <si>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</si>
  <si>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</si>
  <si>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</si>
  <si>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</si>
  <si>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</si>
  <si>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</si>
  <si>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</si>
  <si>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</si>
  <si>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</si>
  <si>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</si>
  <si>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</si>
  <si>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</si>
  <si>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</si>
  <si>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</si>
  <si>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</si>
  <si>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</si>
  <si>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</si>
  <si>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</si>
  <si>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</si>
  <si>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</si>
  <si>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</si>
  <si>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</si>
  <si>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</si>
  <si>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</si>
  <si>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</si>
  <si>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</si>
  <si>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</si>
  <si>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Regulatory liability established to record noncurrent portion of reg liability for purchase of California greenhouse gas pollution emission allowances.</t>
  </si>
  <si>
    <t>Electric Plant Purchased</t>
  </si>
  <si>
    <t>206.101g</t>
  </si>
  <si>
    <t>='ATT 5 - Cost Support'!$G$64</t>
  </si>
  <si>
    <t>='Att 12 - Plant Held Future Use'!$E$20</t>
  </si>
  <si>
    <t>Fiber Optic Leases</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</si>
  <si>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</si>
  <si>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</si>
  <si>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Company Records: Sum of SAP GL accounts #301863 and #301872 (PC 1192).</t>
  </si>
  <si>
    <t>Company Records: SAP FERC 573 details</t>
  </si>
  <si>
    <t>Company Records: FERC Account 353 details</t>
  </si>
  <si>
    <t>Company Records: Sum of SAP GL 505962 &amp; 505964 (FERC 566).</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</si>
  <si>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</si>
  <si>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</si>
  <si>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</si>
  <si>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</si>
  <si>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SA 370</t>
  </si>
  <si>
    <t>SA 789</t>
  </si>
  <si>
    <t>g9</t>
  </si>
  <si>
    <t>g20</t>
  </si>
  <si>
    <t>BPA</t>
  </si>
  <si>
    <t>State of SD</t>
  </si>
  <si>
    <t>Eugene Water &amp; Electric Board</t>
  </si>
  <si>
    <t>(see note)</t>
  </si>
  <si>
    <t>g21</t>
  </si>
  <si>
    <t>Salt River Project</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</si>
  <si>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</si>
  <si>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</si>
  <si>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</si>
  <si>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</si>
  <si>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</si>
  <si>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</si>
  <si>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</si>
  <si>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</si>
  <si>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</si>
  <si>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</si>
  <si>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</si>
  <si>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</si>
  <si>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</si>
  <si>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</si>
  <si>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</si>
  <si>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</si>
  <si>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</si>
  <si>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</si>
  <si>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</si>
  <si>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</si>
  <si>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</si>
  <si>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</si>
  <si>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</si>
  <si>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</si>
  <si>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</si>
  <si>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</si>
  <si>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</si>
  <si>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</si>
  <si>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</si>
  <si>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</si>
  <si>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</si>
  <si>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</si>
  <si>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</si>
  <si>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</si>
  <si>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</si>
  <si>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</si>
  <si>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</si>
  <si>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</si>
  <si>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</si>
  <si>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</si>
  <si>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</si>
  <si>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</si>
  <si>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</si>
  <si>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</si>
  <si>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</si>
  <si>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</si>
  <si>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</si>
  <si>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</si>
  <si>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</si>
  <si>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</si>
  <si>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</si>
  <si>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</si>
  <si>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</si>
  <si>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</si>
  <si>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</si>
  <si>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</si>
  <si>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</si>
  <si>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</si>
  <si>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</si>
  <si>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</si>
  <si>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</si>
  <si>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</si>
  <si>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</si>
  <si>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</si>
  <si>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</si>
  <si>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</si>
  <si>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</si>
  <si>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</si>
  <si>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</si>
  <si>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</si>
  <si>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</si>
  <si>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</si>
  <si>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</si>
  <si>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</si>
  <si>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</si>
  <si>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</si>
  <si>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</si>
  <si>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</si>
  <si>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</si>
  <si>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</si>
  <si>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&lt;-- This item includes all Interconnection Customer Interconnection Facilities (ICIFs) and EIM assets that should be excluded from the rate base.</t>
  </si>
  <si>
    <r>
      <t xml:space="preserve">Attachment 9a2 - Load </t>
    </r>
    <r>
      <rPr>
        <sz val="12"/>
        <color theme="1"/>
        <rFont val="Arial"/>
        <family val="2"/>
      </rPr>
      <t>(One Year Prior)</t>
    </r>
  </si>
  <si>
    <r>
      <t xml:space="preserve">Attachment 9a3 - Load </t>
    </r>
    <r>
      <rPr>
        <sz val="12"/>
        <color theme="1"/>
        <rFont val="Arial"/>
        <family val="2"/>
      </rPr>
      <t>(Two Years Prior)</t>
    </r>
  </si>
  <si>
    <t>2016 Projection (as-filed)</t>
  </si>
  <si>
    <t xml:space="preserve">2015 data in Settlement model </t>
  </si>
  <si>
    <t>Applied Depreciation Rates by State - 2016</t>
  </si>
  <si>
    <t>Intangible and Leasehold Improvements (rows 25 through 27) are composite rates based on the 13 month average balance divided into the 2016 amortization expense for each account.</t>
  </si>
  <si>
    <r>
      <t xml:space="preserve"> &lt;--</t>
    </r>
    <r>
      <rPr>
        <sz val="10"/>
        <color rgb="FF0000FF"/>
        <rFont val="Arial"/>
        <family val="2"/>
      </rPr>
      <t xml:space="preserve"> Matches 2016 FERC Form No. 1, page 200.21c </t>
    </r>
  </si>
  <si>
    <t>Company Records: FERC 345 capital assets details</t>
  </si>
  <si>
    <t>PacifiCorp tax rate assumptions - 2016</t>
  </si>
  <si>
    <t>2016 Expense</t>
  </si>
  <si>
    <t>2016 Year-end Balance</t>
  </si>
  <si>
    <t>Prep Ins-Publ Liab &amp; Prop Damage</t>
  </si>
  <si>
    <t>Prepaid CA GHG Cap &amp; Trade Allowances Retail</t>
  </si>
  <si>
    <t>Prepaid CA GHG Cap &amp; Trade Allowances Wholesale</t>
  </si>
  <si>
    <t>415.710</t>
  </si>
  <si>
    <t>RL - WA Accelerated Depreciation</t>
  </si>
  <si>
    <t>Regulatory Liability established to record difference between the approved accelerated depreciation in the 2015 WA GRC and the current depreciation amounts from the last depreciation study for all units at the Jim Bridger Plant and Colstrip Unit 4.</t>
  </si>
  <si>
    <t>RL - Energy Savings Assistance (ESA) - CA</t>
  </si>
  <si>
    <t xml:space="preserve">Regulatory Liability established to record Energy Savings Assistance (ESA) Program activities (ESA collections from California offset by ESA program expenditures incurred) in a regulatory liability balancing account for California. </t>
  </si>
  <si>
    <t>RL - OR Direct Access 5 Yr Opt out</t>
  </si>
  <si>
    <t xml:space="preserve">Regulatory Liability established per Order No. 15-060 in Docket UE267, PacifiCorp is required to implement a 5 year customer opt-out plan. Customers that elect to go on the opt-out program and leave PacifiCorp's system will be required to pay an opt-out charge for up to 5 years. </t>
  </si>
  <si>
    <t>RL - Deferred Excess NPC - WY - Noncurrent</t>
  </si>
  <si>
    <t xml:space="preserve">Regulatory Liability established to record the  costs in excess of base net power costs according to established calculations and were created to accommodate the recovery of excess net power costs through the Wyoming Energy Cost Adjustment Mechanism, or WY ECAM.  </t>
  </si>
  <si>
    <t>RL - Deferred Excess NPC - UT - Noncurrent</t>
  </si>
  <si>
    <t xml:space="preserve">Regulatory Liability established to record the  costs in excess of base net power costs according to established calculations and were created to accommodate the recovery of excess net power costs through the UT Energy Cost Adjustment Mechanism, or UT ECAM.  </t>
  </si>
  <si>
    <t>RL - Sale of REC - UT - Noncurrent</t>
  </si>
  <si>
    <t>Regulatory Liability, a Revenue Balancing Account, or RBA, was established to track the difference between REC revenue included in rates and Utah’s allocation of the actual REC revenue received by the Company.</t>
  </si>
  <si>
    <t>RL - Sale of REC - WY - Noncurrent</t>
  </si>
  <si>
    <t>Regulatory Liability, a Revenue Balancing Account, or RBA, was established to track the difference between REC revenue included in rates and Wyoming’s allocation of the actual REC revenue received by the Company.</t>
  </si>
  <si>
    <t>RL- DSM Balance Reclass</t>
  </si>
  <si>
    <t>§1031 &amp; 1033 Exchange Normalization Adjustment</t>
  </si>
  <si>
    <t>Reclass to §1031 &amp; 1033 Exchange Normalization Adj - General Fixed Assets</t>
  </si>
  <si>
    <t>Reclass to §1031 &amp;1033 Exchange Normalization Adj - Transmission</t>
  </si>
  <si>
    <t xml:space="preserve">RA - Carbon Plant Decomm/Inventory </t>
  </si>
  <si>
    <t>Regulatory asset established to record the deferral of Carbon Plant's write off and sales proceeds of inventory from decommissioning.</t>
  </si>
  <si>
    <t xml:space="preserve">RA - Carbon Plant Decomm/Inventory - CA </t>
  </si>
  <si>
    <t>Regulatory asset established to record CA's share of the deferral of Carbon Plant's write off and sales proceeds of inventory from decommissioning.</t>
  </si>
  <si>
    <t>RA - Carbon Plant Decomm/Inventory - WA</t>
  </si>
  <si>
    <t>Regulatory asset established to record WA's share of the deferral of Carbon Plant's write off and sales proceeds of inventory from decommissioning.</t>
  </si>
  <si>
    <t>RA - Contra RA - Pension Plan CTG</t>
  </si>
  <si>
    <t xml:space="preserve">RA - Post Merger Loss - Reacquired Debt </t>
  </si>
  <si>
    <t>RA - RPS Compliance Purchases</t>
  </si>
  <si>
    <t xml:space="preserve">Regulatory Asset established for the deferral of  prepaid renewable energy credit (REC) purchases for Renewable Portfolio Standard (RPS) compliance and the related interest income - non state specific.  </t>
  </si>
  <si>
    <t>RA - Storm Damage Deferral - CA</t>
  </si>
  <si>
    <t>Injuries &amp; Damages Accrual - Cash Basis</t>
  </si>
  <si>
    <t>Insurance Reserve - Current</t>
  </si>
  <si>
    <t xml:space="preserve"> Regulatory asset accrued for prepaid surety bond costs (e.g., supersedes bond obligations) that will be amortized ratably over the period of coverage. Moved from 2014 account 137513</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</si>
  <si>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</si>
  <si>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Account 190 Subtotal - p234</t>
  </si>
  <si>
    <t xml:space="preserve">Account 281 Subtotal - p275  </t>
  </si>
  <si>
    <t>Account 281 Subtotal - p273</t>
  </si>
  <si>
    <t xml:space="preserve">Account 282 Subtotal - p275  </t>
  </si>
  <si>
    <t xml:space="preserve">Account 283 Subtotal - p277  </t>
  </si>
  <si>
    <t>BPA S. Idaho</t>
  </si>
  <si>
    <t>Basin</t>
  </si>
  <si>
    <t>Thermo No 1 (CRYQ)</t>
  </si>
  <si>
    <t>Thermo No. 1</t>
  </si>
  <si>
    <t>Clatskanie People's Utilitiy District</t>
  </si>
  <si>
    <t>Various</t>
  </si>
  <si>
    <t>SA 67</t>
  </si>
  <si>
    <t>SA 179</t>
  </si>
  <si>
    <t>SA 656</t>
  </si>
  <si>
    <t>SA 212</t>
  </si>
  <si>
    <t>SA 279</t>
  </si>
  <si>
    <t>SA 568</t>
  </si>
  <si>
    <t>SA 169</t>
  </si>
  <si>
    <t>SA 733</t>
  </si>
  <si>
    <t>SA 779</t>
  </si>
  <si>
    <t>SA 751</t>
  </si>
  <si>
    <t>SA 809</t>
  </si>
  <si>
    <t>SA 800</t>
  </si>
  <si>
    <t>SA 700</t>
  </si>
  <si>
    <t>SA 701</t>
  </si>
  <si>
    <t>SA 702</t>
  </si>
  <si>
    <r>
      <t xml:space="preserve">Attachment 17 - Post-Retirement Benefits Other Than Pensions </t>
    </r>
    <r>
      <rPr>
        <sz val="12"/>
        <rFont val="Arial"/>
        <family val="2"/>
      </rPr>
      <t>(PBOP)</t>
    </r>
  </si>
  <si>
    <t>2017 Projection (as-filed)</t>
  </si>
  <si>
    <t xml:space="preserve">2016 data in Settlement model </t>
  </si>
  <si>
    <t>207.102g</t>
  </si>
  <si>
    <t>NOTES</t>
  </si>
  <si>
    <t>Total expense is a benefit (negative) for 2017.</t>
  </si>
  <si>
    <t>The decrease in expense in 2017 as compared to</t>
  </si>
  <si>
    <t>2016 is primarily due to changes in actuarial</t>
  </si>
  <si>
    <t>Prepayments Detail - 2017</t>
  </si>
  <si>
    <t>2017 Year-end Balance</t>
  </si>
  <si>
    <t>2009-2017 Plant Additions including Unclassified Plant and Dec 2010 transfer of Goshen Cap Bank from 102 to 101</t>
  </si>
  <si>
    <r>
      <t xml:space="preserve">Plant/Land Held For Future Use </t>
    </r>
    <r>
      <rPr>
        <sz val="10"/>
        <color theme="1"/>
        <rFont val="Arial"/>
        <family val="2"/>
      </rPr>
      <t>- Assets associated with Transmission at December 31, 2016 and 2017</t>
    </r>
  </si>
  <si>
    <t>(At December 31, 2017)</t>
  </si>
  <si>
    <t>Accrued Retention Bonus</t>
  </si>
  <si>
    <t>100.121</t>
  </si>
  <si>
    <t>RL Income Tax Property Flowthru</t>
  </si>
  <si>
    <t>RL Income Tax Property Flowthru - PMI</t>
  </si>
  <si>
    <t>RL Excess Deferred Income Taxes - CA</t>
  </si>
  <si>
    <t>RL Excess Deferred Income Taxes - ID</t>
  </si>
  <si>
    <t xml:space="preserve"> RL Excess Deferred Income Taxes - OR</t>
  </si>
  <si>
    <t>RL Excess Deferred Income Taxes - UT</t>
  </si>
  <si>
    <t>RL Excess Deferred Income Taxes - WA</t>
  </si>
  <si>
    <t>RL Excess Deferred Income Taxes - WY</t>
  </si>
  <si>
    <t>RL Excess Deferred Income Taxes - FERC</t>
  </si>
  <si>
    <t>RL FAS 158 Post-Retirement</t>
  </si>
  <si>
    <t xml:space="preserve">RL WA Decoupling Mechanism </t>
  </si>
  <si>
    <t>Valuation Allowance for State Credit DTA</t>
  </si>
  <si>
    <t>Bad Debt</t>
  </si>
  <si>
    <t xml:space="preserve">The amounts recorded in this account represent retention bonuses accrued for various employees. </t>
  </si>
  <si>
    <t>Accrued post-retirement liabilityies pursuant to FASB Statement No. 106 for Western Coal Carriers, a third-party carrier service that contracted with PacifiCorp to haul coal from the Trail Mountain Mine to the Hunter plant.</t>
  </si>
  <si>
    <t xml:space="preserve">A regulatory liability with respect to the excess deferred income taxes associated with property accumulated deferred income taxes, the effects of flow through from PP&amp;E book/tax differences and other deferred items that do not have current provision impacts. </t>
  </si>
  <si>
    <t>A regulatory liability established with respect to the excess deferred income taxes associated with the non-property accumulated deferred income taxes allocable to California resulting from the change in the income tax rate.</t>
  </si>
  <si>
    <t>A regulatory liability established with respect to the excess deferred income taxes associated with the non-property accumulated deferred income taxes allocable to Idaho resulting from the change in the income tax rate.</t>
  </si>
  <si>
    <t>A regulatory liability established with respect to the excess deferred income taxes associated with the non-property accumulated deferred income taxes allocable to Oregon resulting from the change in the income tax rate.</t>
  </si>
  <si>
    <t>A regulatory liability established with respect to the excess deferred income taxes associated with the non-property accumulated deferred income taxes allocable to Utah resulting from the change in the income tax rate.</t>
  </si>
  <si>
    <t>A regulatory liability established with respect to the excess deferred income taxes associated with the non-property accumulated deferred income taxes allocable to Washington resulting from the change in the income tax rate.</t>
  </si>
  <si>
    <t>A regulatory liability established with respect to the excess deferred income taxes associated with the non-property accumulated deferred income taxes allocable to Wyoming resulting from the change in the income tax rate.</t>
  </si>
  <si>
    <t>A regulatory liability established with respect to the excess deferred income taxes associated with the non-property accumulated deferred income taxes resulting from the change in the income tax rate.</t>
  </si>
  <si>
    <t xml:space="preserve">A regulatory liability used to track future revenue associated with recoverable post-retirement welfare expenses. </t>
  </si>
  <si>
    <t>A regulatory liability with respect to the Washington decoupling mechanism.</t>
  </si>
  <si>
    <t xml:space="preserve">Regulatory liability established to record UT solar Feed in Tarriff. </t>
  </si>
  <si>
    <t>Regulatory liability established to record CA solar Feed in Tarriff.</t>
  </si>
  <si>
    <t>This account is to reclass the noncurrent portion of regulatory assets for insurance reserves and intervenor fees to liabilityies when the balance of the regulatory assets result in a credit balance instead of a debit balance, or vice versa.</t>
  </si>
  <si>
    <t>Regulatory liability established to record noncurrent portion of reg liability for purchase of California greenhouse gas pollution emission allowances .</t>
  </si>
  <si>
    <t>Reclass of miscellaneous regulatory assets/liabilityies that have flipped to debit/credit balances.</t>
  </si>
  <si>
    <t>Regulatroy asset established to segregate the accumulated Utah carrying charges to be recovered on Utah's allocable share of the post-retirement medical settlement loss.</t>
  </si>
  <si>
    <t>Valuation allowance against state income tax credits that may not be realized before they expire.</t>
  </si>
  <si>
    <t>Accrued liability established to reserve for accounts receivable for which collection is not expected and for which the accumulated deferred income tax liablity is expected to be reversed upon audit by the Internal Revenue Service.</t>
  </si>
  <si>
    <t>The reserve was established to record the impairment loss of PacifiCorp Energy write off $2.0M of emmission reduction credit.</t>
  </si>
  <si>
    <t>Exclusion of ADIT from §1031 &amp; 1033 Exchanges pursuant to the income tax normalization rules.</t>
  </si>
  <si>
    <t>Reclass to separately state the exclusion of ADIT from §1031 &amp; 1033 Exchanges pursuant to the income tax normalization rules.</t>
  </si>
  <si>
    <t>Book-tax difference related to relicensing cost for Klammath Dam.</t>
  </si>
  <si>
    <t xml:space="preserve">Regulatory assett established to record a contra regulatory asset for the curtailment gain/loss on the elimination of the cash balance option in the company pension plan. </t>
  </si>
  <si>
    <t xml:space="preserve"> Regulatory asset established to reclass noncurrent portion of OR asset sale gain giveback</t>
  </si>
  <si>
    <t>Regulatory asset established for noncurrent portion of deferral of Oregon prepaid renewable energy creidt purchases for Renewable Portfolio Standard compliance and the related interest income.</t>
  </si>
  <si>
    <t xml:space="preserve">Regulatory Asset established based on CA Decision 16-03-015 whcih provided for a surcharge to recover $545,000 of costs recorded related to a storm in California.                                                                                                                                                                                                                                                                                                                                                            </t>
  </si>
  <si>
    <t>Regulatory asset established torecord the deferral of the Merwin Project costs approved by the Washington Utility and Transportation Commission (WUTC).</t>
  </si>
  <si>
    <t>Regulaory asset established to reflect the book-tax difference in the cost of the Deer Creek and Trail Mountain coal inventory.</t>
  </si>
  <si>
    <t>Effects of Ratemaking - Fixed Assets Fed only - PMI</t>
  </si>
  <si>
    <t>Accounting adjustment to record the amount of deferred tax expense associated with fixed assets that have previously been paid by customers at a higher tax rate than the current tax rate and are probable of being refunded as the temporary book-tax differences reverse and result in higher taxable income as compared to book income.</t>
  </si>
  <si>
    <t>Accounting adjustment to record the amount of deferred tax expense associated with fixed assets that have been previously been paid by customers at a tax rate higher than the current tax rate and are probable of being refunded as the temporary book-tax differenes reverse and the amount of tax benefits associated with fixed assets that have previously been flowed through to customers and are probable of recovery as the temporary book-tax differences reverse and result in higher taxable income as compared to book income.</t>
  </si>
  <si>
    <t>PP&amp;E FIN 48 Balances</t>
  </si>
  <si>
    <t>PP&amp;E book to tax differences for which the accumulated deferred income tax liablity is expected to be reversed upon audit by the Internal Revenue Service.</t>
  </si>
  <si>
    <t>RL - Effects of Ratemaking - Fixed Assets - PMI Fed Only</t>
  </si>
  <si>
    <t xml:space="preserve">RL - Effects of Ratemaking - Fixed Assets </t>
  </si>
  <si>
    <t xml:space="preserve">Regulatory asset used to record a contra PP&amp;E account within electric plant-in-service (EPIS) for the abandonment of Deer Creek Mine related EPIS. </t>
  </si>
  <si>
    <t>RA - Solar Incentive Program - UT - Noncurrent</t>
  </si>
  <si>
    <t>Regulatory asset established for the UT Solar incentive program costs.</t>
  </si>
  <si>
    <t>RA - UT 2017 Protocol - MSP Deferral</t>
  </si>
  <si>
    <t xml:space="preserve">Regulatory asset established to record the Utah multi-state protocol deferral assumed in 2017 and 2018. </t>
  </si>
  <si>
    <t>RA - Utah STEP Pilot Program Balance Account</t>
  </si>
  <si>
    <t xml:space="preserve">To record a regulatory asset balancing account for the costs and collections of the Utah  Sustainable Transportation and Energy Plan (STEP) Pilot Programs. 
</t>
  </si>
  <si>
    <t>RA - WY 2017 Protocol - MSP Deferral</t>
  </si>
  <si>
    <t xml:space="preserve">Regulatory asset established to record the Wyoming multi-state protocol deferral assumed in 2017 and 2018. </t>
  </si>
  <si>
    <t>FAS 158 Post-Retirement Asset</t>
  </si>
  <si>
    <t xml:space="preserve">The total overfunded Other Post-Employment Benefit Obligations (OPEB) asset, excluding Medicare subsidy, required under FAS 158.  </t>
  </si>
  <si>
    <t>Regulatory asset established for prepaid aircraft maintenance costs.</t>
  </si>
  <si>
    <t>Prepaid Taxes - Property Tax FIN 48</t>
  </si>
  <si>
    <t>Prepaid property tax book to tax differences for which the accumulated deferred income tax liablity is expected to be reversed upon audit by the Internal Revenue Service.</t>
  </si>
  <si>
    <t>Def Comp Mark to Market Gain/Loss - Income Statement</t>
  </si>
  <si>
    <t xml:space="preserve">Deferred compensation plan investments are being treated as "trading securities" where they are invested based upon the plan participants' personal investment elections. Starting in July 2010, the investments are reflected at fair market value and any unrealized gains or losses are reflected in earnings.  </t>
  </si>
  <si>
    <t>&lt;--2017 value (FERC 408.1)</t>
  </si>
  <si>
    <t>formula</t>
  </si>
  <si>
    <t>National Coal Transportation Association</t>
  </si>
  <si>
    <t>Northwest Hydroelectric Association</t>
  </si>
  <si>
    <t>Utility Variable Generation Integration Group</t>
  </si>
  <si>
    <t>Calpine Energy Solutions LLC</t>
  </si>
  <si>
    <t xml:space="preserve">Avangrid Renewables, LLC </t>
  </si>
  <si>
    <t>SA 735</t>
  </si>
  <si>
    <t>Avangrid Renewables, LLC</t>
  </si>
  <si>
    <t>BPA Neff</t>
  </si>
  <si>
    <t>SA 827</t>
  </si>
  <si>
    <t>3 Phases Renewables Inc.</t>
  </si>
  <si>
    <t>SA 876</t>
  </si>
  <si>
    <t>f16</t>
  </si>
  <si>
    <t>Evergreen Biopower, LLC</t>
  </si>
  <si>
    <t>City of Roseville</t>
  </si>
  <si>
    <t>SA 874</t>
  </si>
  <si>
    <t>SA 881</t>
  </si>
  <si>
    <t>Clatskanie Peoples Utility District</t>
  </si>
  <si>
    <t>SA 818</t>
  </si>
  <si>
    <t>SA 780</t>
  </si>
  <si>
    <t>f17</t>
  </si>
  <si>
    <t>SA 748</t>
  </si>
  <si>
    <t>SA 749</t>
  </si>
  <si>
    <t>&lt;-- Contractual value of zero (included in PacifiCorp ESM amount)</t>
  </si>
  <si>
    <t>Excluded</t>
  </si>
  <si>
    <t>National Automated Clearing House</t>
  </si>
  <si>
    <t>National Joint Utilities Notification System</t>
  </si>
  <si>
    <t>North American Electric Reliability Corporation</t>
  </si>
  <si>
    <t>North American Transmission Forum, Inc.</t>
  </si>
  <si>
    <t xml:space="preserve">Edison Electric Institute (EEI) </t>
  </si>
  <si>
    <t>National Electric Energy Testing Research and Application Center (NEETRAC)</t>
  </si>
  <si>
    <t>Included</t>
  </si>
  <si>
    <t>Lines 9 - 20</t>
  </si>
  <si>
    <t>Lines 22-42</t>
  </si>
  <si>
    <t>National Safety Council</t>
  </si>
  <si>
    <t>Other (Individually less than $5,000)</t>
  </si>
  <si>
    <t>FERC Form No. 1 pages 335 - 335.1</t>
  </si>
  <si>
    <t>Page 335, Lines 9 - 43 (Business/Economic Dev. and Corp. Memberships &amp; Subscriptions)</t>
  </si>
  <si>
    <t>Page 335, Line 1 (Industry Association Dues)</t>
  </si>
  <si>
    <t>Directors' Fees - Regional Advisory Board</t>
  </si>
  <si>
    <t>Page 335, Line 1 Subtotal</t>
  </si>
  <si>
    <t>Page 335, Lines 9 - 20</t>
  </si>
  <si>
    <t>Page 335, Line 21</t>
  </si>
  <si>
    <t>Page 335, Lines 22 - 42</t>
  </si>
  <si>
    <t>Page 335, Line 43</t>
  </si>
  <si>
    <t>Page 335, Line 45</t>
  </si>
  <si>
    <t>Rating Agency and Trustee Fees</t>
  </si>
  <si>
    <t>Page 335.1, Lines 7 - 14</t>
  </si>
  <si>
    <t>General: Other</t>
  </si>
  <si>
    <t>Page 335.1, Line 17</t>
  </si>
  <si>
    <t>2017 FERC Form No.1, page 300.21b footnote</t>
  </si>
  <si>
    <t xml:space="preserve">Company Records: component of 2017 FERC Form No.1, page 300.21b </t>
  </si>
  <si>
    <t>PacifiCorp tax rate assumptions - 2017</t>
  </si>
  <si>
    <t>Company Records: Sum of SAP GL accounts #285461 (Transm Interconnection Deposits - w/ third Party ) and #285460 (Transm interconnetion Deposits ESM).</t>
  </si>
  <si>
    <t>Company Records: Sum of SAP GL  585914 (Interest Expense - Transmission Deposits (third party) and 385914 (ESM).</t>
  </si>
  <si>
    <t>&lt;-- 2017</t>
  </si>
  <si>
    <t xml:space="preserve">Transmission allocation of general and intangible assets (acquisition value times labor allocator) attributable to ESM participation in EIM ad excluded from ATRR.  FERC accounts 303, 391, and 397.  </t>
  </si>
  <si>
    <t>EIM: Transmission allocation of General (FERC accounts 391 and 397) and Intangible (FERC account 303) assets attributable to ESM participation in EIM and excluded from ATRR.</t>
  </si>
  <si>
    <t xml:space="preserve">Company Records: EIM assets </t>
  </si>
  <si>
    <t>Adjusted 106b</t>
  </si>
  <si>
    <t>Rents - General</t>
  </si>
  <si>
    <t>One Utah Center and North Temple office subleases</t>
  </si>
  <si>
    <t>Parking Rent: Lloyd Center, Portland, Oregon</t>
  </si>
  <si>
    <t>Rents - Common Affiliate - Kern River</t>
  </si>
  <si>
    <t>Rents - Non-Common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</si>
  <si>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</si>
  <si>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</si>
  <si>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</si>
  <si>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</si>
  <si>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</si>
  <si>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</si>
  <si>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</si>
  <si>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</si>
  <si>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</si>
  <si>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</si>
  <si>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</si>
  <si>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</si>
  <si>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</si>
  <si>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</si>
  <si>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</si>
  <si>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</si>
  <si>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</si>
  <si>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</si>
  <si>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</si>
  <si>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</si>
  <si>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</si>
  <si>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</si>
  <si>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</si>
  <si>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</si>
  <si>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</si>
  <si>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</si>
  <si>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</si>
  <si>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</si>
  <si>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 xml:space="preserve">n/a </t>
  </si>
  <si>
    <t xml:space="preserve">Plant-in-service additions by month </t>
  </si>
  <si>
    <t>='ATT 5 - Cost Support'!$H$272</t>
  </si>
  <si>
    <t>='Att 1a - ADIT'!$E$176</t>
  </si>
  <si>
    <t>='Att 1a - ADIT'!$E$202</t>
  </si>
  <si>
    <t>='Att 1a - ADIT'!$E$284</t>
  </si>
  <si>
    <t>='Att 1a - ADIT'!$E$448</t>
  </si>
  <si>
    <t>='Att 1 - ADIT'!$E$162</t>
  </si>
  <si>
    <t>='Att 1 - ADIT'!$E$188</t>
  </si>
  <si>
    <t>='Att 1 - ADIT'!$E$266</t>
  </si>
  <si>
    <t>='Att 1 - ADIT'!$E$423</t>
  </si>
  <si>
    <t>='ATT 5 - Cost Support'!$H$267</t>
  </si>
  <si>
    <t>='ATT 5 - Cost Support'!$H$268</t>
  </si>
  <si>
    <t>='ATT 5 - Cost Support'!$H$269</t>
  </si>
  <si>
    <t>='ATT 5 - Cost Support'!$H$270</t>
  </si>
  <si>
    <t>='ATT 5 - Cost Support'!$H$271</t>
  </si>
  <si>
    <t>='ATT 5 - Cost Support'!$H$275</t>
  </si>
  <si>
    <t>='ATT 5 - Cost Support'!$H$264</t>
  </si>
  <si>
    <t>='ATT 5 - Cost Support'!$i$220</t>
  </si>
  <si>
    <t>='ATT 5 - Cost Support'!$H$310</t>
  </si>
  <si>
    <t>='ATT 5 - Cost Support'!$H$311</t>
  </si>
  <si>
    <t>='ATT 5 - Cost Support'!$H$305</t>
  </si>
  <si>
    <t>='ATT 5 - Cost Support'!$H$306</t>
  </si>
  <si>
    <t>='ATT 5 - Cost Support'!$H$300</t>
  </si>
  <si>
    <t>='ATT 5 - Cost Support'!$H$301</t>
  </si>
  <si>
    <r>
      <t xml:space="preserve">Gateway plant-in-service detail </t>
    </r>
    <r>
      <rPr>
        <sz val="10"/>
        <rFont val="Arial"/>
        <family val="2"/>
      </rPr>
      <t xml:space="preserve">(2018 projection) </t>
    </r>
  </si>
  <si>
    <t>&lt;-- Beginning-of-year reference is located on page 274 of the FERC Form No. 1</t>
  </si>
  <si>
    <t>&lt;-- Beginning-of-year reference is located on page 276 of the FERC Form No. 1</t>
  </si>
  <si>
    <t>for a discussion of the items previously included in this section.</t>
  </si>
  <si>
    <t xml:space="preserve">Please refer to the 'Material Changes Summary' filed with this annual update </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</si>
  <si>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</si>
  <si>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</si>
  <si>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</si>
  <si>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</si>
  <si>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</si>
  <si>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</si>
  <si>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</si>
  <si>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</si>
  <si>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Airbreak Switch</t>
  </si>
  <si>
    <t>Breaker</t>
  </si>
  <si>
    <t>Bus</t>
  </si>
  <si>
    <t>Fire Protection</t>
  </si>
  <si>
    <t>Foundation And Substructure</t>
  </si>
  <si>
    <t>Insulator</t>
  </si>
  <si>
    <t>Lightning Arrester</t>
  </si>
  <si>
    <t>Misc</t>
  </si>
  <si>
    <t>Relay And Control</t>
  </si>
  <si>
    <t>Steel Structure</t>
  </si>
  <si>
    <t>Step-Up Transformer</t>
  </si>
  <si>
    <t>CA GHG Retail Obligation</t>
  </si>
  <si>
    <t>Estimate by C&amp;T</t>
  </si>
  <si>
    <t>Unfunded</t>
  </si>
  <si>
    <t>CA GHG Wholesale Obligation</t>
  </si>
  <si>
    <t>Lidar (Wood Hollow)</t>
  </si>
  <si>
    <t>Estimate by PE Legal</t>
  </si>
  <si>
    <t>ST Cotter - Gadsby Turbine</t>
  </si>
  <si>
    <t>Employment Claims</t>
  </si>
  <si>
    <t>BPA Short Distance Discount (SDD)</t>
  </si>
  <si>
    <t>Proposition 65</t>
  </si>
  <si>
    <t>L-T Accrued Settlement Provision (USA Power Settlement)</t>
  </si>
  <si>
    <t>AES Wind Generation Inc. - Rock River 1 Curtailment Complaint</t>
  </si>
  <si>
    <t>EWEB Reserve</t>
  </si>
  <si>
    <t>Deseret Physical Loss - Reserve for Dispute</t>
  </si>
  <si>
    <t>BPA - Swift PTP SDD</t>
  </si>
  <si>
    <t>Accum Provision for Rate Refunds</t>
  </si>
  <si>
    <t>Estimate by PacTrans</t>
  </si>
  <si>
    <t xml:space="preserve">Trapper Mine Reclamation Obligation </t>
  </si>
  <si>
    <t>Estimate based upon 54¢ per ton of coal produced</t>
  </si>
  <si>
    <t>Accrued Right-of-Way Obligation</t>
  </si>
  <si>
    <t>Estimate by RMP Finance</t>
  </si>
  <si>
    <t>566 / 589</t>
  </si>
  <si>
    <t>Injuries &amp; Damages Reserve Risk ("Labor")</t>
  </si>
  <si>
    <t>Estimates by Legal ("Labor")</t>
  </si>
  <si>
    <t>Injuries &amp; Damages Reserve Risk ("Other")</t>
  </si>
  <si>
    <t>Estimates by Legal ("Other")</t>
  </si>
  <si>
    <t>Injuries &amp; Damages Reserve Risk (Insurance Recovery-"Labor")</t>
  </si>
  <si>
    <t>Injuries &amp; Damages Reserve Risk (Insurance Recovery-"Other")</t>
  </si>
  <si>
    <t xml:space="preserve">Provision for Customer A/R (CSS)                                                  </t>
  </si>
  <si>
    <t>Calculated and Known Items</t>
  </si>
  <si>
    <t xml:space="preserve">Provision for Other A/R (OAR)   </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</si>
  <si>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</si>
  <si>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</si>
  <si>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Pole Contracts</t>
  </si>
  <si>
    <t>Uncollectible pole contact revenue - customer specific.</t>
  </si>
  <si>
    <t>Provision for Doubtful Debts - Other</t>
  </si>
  <si>
    <t>Known</t>
  </si>
  <si>
    <t>Bad Debt Reserve - Transmission</t>
  </si>
  <si>
    <t>Provision for Unbilled Revenue PP</t>
  </si>
  <si>
    <t>Provision for Unbilled Revenue RMP</t>
  </si>
  <si>
    <t>Inventory Reserve - Power Supply</t>
  </si>
  <si>
    <t>Known - Calculated</t>
  </si>
  <si>
    <t>Inventory Reserve - RMP (T&amp;D)</t>
  </si>
  <si>
    <t>Calc by RMP Finance</t>
  </si>
  <si>
    <t>707.1 / 707.2</t>
  </si>
  <si>
    <t>Inventory Reserve - PP (T&amp;D)</t>
  </si>
  <si>
    <t>Calc by PP Finance</t>
  </si>
  <si>
    <t>Construction Work-in-Progress (CWIP) Reserve</t>
  </si>
  <si>
    <t>Calculated</t>
  </si>
  <si>
    <t>557 / 598</t>
  </si>
  <si>
    <t>Uncollectible Weatherization Loans Reserve</t>
  </si>
  <si>
    <t>Historical Trend Judgment</t>
  </si>
  <si>
    <t>Provision for Unbilled Severance Tax Cap (Chevron Mining Co.)</t>
  </si>
  <si>
    <t>Estimate by Mining</t>
  </si>
  <si>
    <t>Accrual - Severance Payments</t>
  </si>
  <si>
    <t>Annual Incentive Plan (AIP)</t>
  </si>
  <si>
    <t>Calculated plus CEO Discretion</t>
  </si>
  <si>
    <t>Follows Labor</t>
  </si>
  <si>
    <t>401(K) Discretionary 1% Company Match</t>
  </si>
  <si>
    <t>Safety Awards Payable</t>
  </si>
  <si>
    <t>Citi Card Signing Bonus &amp; Usage Bonus (Deferred Revenue)</t>
  </si>
  <si>
    <t>Estimate by A/P</t>
  </si>
  <si>
    <t>Prefunded</t>
  </si>
  <si>
    <t>Environmental Liabilities - Centralia Plant</t>
  </si>
  <si>
    <t>Estimate by Environmental Engrg</t>
  </si>
  <si>
    <t>Unfunded / Gains Given Back to Customers</t>
  </si>
  <si>
    <t>Environmental Liabilities - Centralia Mine (J.O.)</t>
  </si>
  <si>
    <t>Environmental Liabilities - Centralia Mine (PCorp)</t>
  </si>
  <si>
    <t>Vacation Accrual IBEW 57</t>
  </si>
  <si>
    <t>Calculated by Payroll</t>
  </si>
  <si>
    <t>Vacation Accrual IBEW 125</t>
  </si>
  <si>
    <t>Vacation Accrual IBEW 659</t>
  </si>
  <si>
    <t>Personal Time Accrual IBEW 57 - Laramie</t>
  </si>
  <si>
    <t>Personal Time Accrual UWUA 127</t>
  </si>
  <si>
    <t>Personal Time Accrual UWUA 197</t>
  </si>
  <si>
    <t>Personal Time Accrual Non-Union</t>
  </si>
  <si>
    <t>Sick Leave Accrual IBEW 57</t>
  </si>
  <si>
    <t>Supplemental Pension Benefits (Retirement Allowances)</t>
  </si>
  <si>
    <t>Pension - Known by HR/Payroll</t>
  </si>
  <si>
    <t>Pension - Local 57</t>
  </si>
  <si>
    <t>Pension - Calculated - Actuary</t>
  </si>
  <si>
    <t>SERP - Calculated - Actuary</t>
  </si>
  <si>
    <t>920 / 426.5</t>
  </si>
  <si>
    <t xml:space="preserve">FAS 158 SERP Accumulated Other Comprehensive Income </t>
  </si>
  <si>
    <t>Accum OCI/partially ofsetting unfunded SERP liability</t>
  </si>
  <si>
    <t>FAS 112 Book Reserve</t>
  </si>
  <si>
    <t>Post-Employ - Calculated - Actuary</t>
  </si>
  <si>
    <t>Wasatch Worker's Compensation Reserve</t>
  </si>
  <si>
    <t>4265000</t>
  </si>
  <si>
    <t>OTHER DEDUCTIONS</t>
  </si>
  <si>
    <t>5020000</t>
  </si>
  <si>
    <t>STEAM EXPENSES</t>
  </si>
  <si>
    <t>5060000</t>
  </si>
  <si>
    <t>MISC STEAM PWR EXP</t>
  </si>
  <si>
    <t>5063000</t>
  </si>
  <si>
    <t>MISC STEAM JVA CR</t>
  </si>
  <si>
    <t>5120000</t>
  </si>
  <si>
    <t>MANT OF BOILR PLNT</t>
  </si>
  <si>
    <t>5140000</t>
  </si>
  <si>
    <t>MAINT MISC STM PLN</t>
  </si>
  <si>
    <t>5350000</t>
  </si>
  <si>
    <t>OPER SUPERV &amp; ENG</t>
  </si>
  <si>
    <t>5390000</t>
  </si>
  <si>
    <t>MSC HYD PWR GEN EX</t>
  </si>
  <si>
    <t>5480000</t>
  </si>
  <si>
    <t>GENERATION EXP</t>
  </si>
  <si>
    <t>5490000</t>
  </si>
  <si>
    <t>MIS OTH PWR GEN EX</t>
  </si>
  <si>
    <t>5530000</t>
  </si>
  <si>
    <t>MNT GEN &amp; ELEC PLT</t>
  </si>
  <si>
    <t>5560000</t>
  </si>
  <si>
    <t>SYS CTRL &amp; LD DISP</t>
  </si>
  <si>
    <t>5570000</t>
  </si>
  <si>
    <t>OTHER EXPENSES</t>
  </si>
  <si>
    <t>5600000</t>
  </si>
  <si>
    <t>5612000</t>
  </si>
  <si>
    <t>LD - MONITOR &amp; OPER</t>
  </si>
  <si>
    <t>5615000</t>
  </si>
  <si>
    <t>REL PLAN &amp; STDS DEV</t>
  </si>
  <si>
    <t>5660000</t>
  </si>
  <si>
    <t>MISC TRANS EXPENSE</t>
  </si>
  <si>
    <t>5680000</t>
  </si>
  <si>
    <t>MNT SUPERV &amp; ENG</t>
  </si>
  <si>
    <t>5700000</t>
  </si>
  <si>
    <t>MAINT STATION EQIP</t>
  </si>
  <si>
    <t>5710000</t>
  </si>
  <si>
    <t>MAINT OVHD LINES</t>
  </si>
  <si>
    <t>5800000</t>
  </si>
  <si>
    <t>5810000</t>
  </si>
  <si>
    <t>LOAD DISPATCHING</t>
  </si>
  <si>
    <t>5850000</t>
  </si>
  <si>
    <t>STRT LGHT-SGNL SYS</t>
  </si>
  <si>
    <t>5880000</t>
  </si>
  <si>
    <t>MSC DISTR EXPENSES</t>
  </si>
  <si>
    <t>5900000</t>
  </si>
  <si>
    <t>MAINT SUPERV &amp; ENG</t>
  </si>
  <si>
    <t>5920000</t>
  </si>
  <si>
    <t>MAINT STAT EQUIP</t>
  </si>
  <si>
    <t>5930000</t>
  </si>
  <si>
    <t>5950000</t>
  </si>
  <si>
    <t>MAINT LINE TRNSFRM</t>
  </si>
  <si>
    <t>5970000</t>
  </si>
  <si>
    <t>MNT OF METERS</t>
  </si>
  <si>
    <t>5980000</t>
  </si>
  <si>
    <t>MNT MISC DIST PLNT</t>
  </si>
  <si>
    <t>7071000</t>
  </si>
  <si>
    <t>LBR CLR - RMP</t>
  </si>
  <si>
    <t>7072000</t>
  </si>
  <si>
    <t>LBR CLR - PACPWR</t>
  </si>
  <si>
    <t>7081000</t>
  </si>
  <si>
    <t>Stores Exp CLR - RMP</t>
  </si>
  <si>
    <t>7082000</t>
  </si>
  <si>
    <t>Stores Exp CLR - PP</t>
  </si>
  <si>
    <t>9010000</t>
  </si>
  <si>
    <t>SUPRV (CUST ACCT)</t>
  </si>
  <si>
    <t>9020000</t>
  </si>
  <si>
    <t>METER READING EXP</t>
  </si>
  <si>
    <t>9030000</t>
  </si>
  <si>
    <t>CUST RCRD/COLL EXP</t>
  </si>
  <si>
    <t>9031000</t>
  </si>
  <si>
    <t>CUST RCRD/CUST SYS</t>
  </si>
  <si>
    <t>9032000</t>
  </si>
  <si>
    <t>CUST ACCTG/BILL</t>
  </si>
  <si>
    <t>9033000</t>
  </si>
  <si>
    <t>CUST ACCTG/COLL</t>
  </si>
  <si>
    <t>9036000</t>
  </si>
  <si>
    <t>CUST ACCTG/COMMON</t>
  </si>
  <si>
    <t>9070000</t>
  </si>
  <si>
    <t>SUPRV (CUST SERV)</t>
  </si>
  <si>
    <t>9080000</t>
  </si>
  <si>
    <t>CUST ASSIST EXP</t>
  </si>
  <si>
    <t>9084000</t>
  </si>
  <si>
    <t>DSM DIRECT</t>
  </si>
  <si>
    <t>9086000</t>
  </si>
  <si>
    <t>CUST SERV</t>
  </si>
  <si>
    <t>9090000</t>
  </si>
  <si>
    <t>INFOR/INSTRCT ADV</t>
  </si>
  <si>
    <t>9200000</t>
  </si>
  <si>
    <t>ADMIN &amp; GEN SALARY</t>
  </si>
  <si>
    <t>9350000</t>
  </si>
  <si>
    <t>MAINT GENERAL PLNT</t>
  </si>
  <si>
    <t>RS 262/RS 263</t>
  </si>
  <si>
    <t>2018 projection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</si>
</sst>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409]mmm\-yy;@"/>
    <numFmt numFmtId="180" formatCode="* #,##0;* \(#,##0\);* \-00"/>
    <numFmt numFmtId="181" formatCode="&quot;$&quot;#,##0.000_);\(&quot;$&quot;#,##0.000\)"/>
    <numFmt numFmtId="182" formatCode="0.000_)"/>
    <numFmt numFmtId="183" formatCode="0.000"/>
    <numFmt numFmtId="184" formatCode="0;[Red]0"/>
    <numFmt numFmtId="185" formatCode="0.000000"/>
    <numFmt numFmtId="186" formatCode="_(* #,##0.000_);_(* \(#,##0.000\);_(* &quot;-&quot;??_);_(@_)"/>
    <numFmt numFmtId="187" formatCode="mmmm\ d\,\ yyyy"/>
    <numFmt numFmtId="188" formatCode="mmm\ dd\,\ yyyy"/>
    <numFmt numFmtId="189" formatCode="#,##0.0_);\(#,##0.0\)"/>
    <numFmt numFmtId="190" formatCode="&quot;$&quot;#,##0.000000_);\(&quot;$&quot;#,##0.000000\)"/>
    <numFmt numFmtId="191" formatCode="#,##0.000_);\(#,##0.000\)"/>
    <numFmt numFmtId="192" formatCode="mmm\ yyyy"/>
    <numFmt numFmtId="193" formatCode="&quot;Segment &quot;@"/>
    <numFmt numFmtId="194" formatCode="_-* #,##0\ &quot;F&quot;_-;\-* #,##0\ &quot;F&quot;_-;_-* &quot;-&quot;\ &quot;F&quot;_-;_-@_-"/>
    <numFmt numFmtId="195" formatCode="&quot;$&quot;###0;[Red]\(&quot;$&quot;###0\)"/>
    <numFmt numFmtId="196" formatCode="0.0"/>
    <numFmt numFmtId="197" formatCode="#,##0.000;[Red]\-#,##0.000"/>
    <numFmt numFmtId="198" formatCode="####&quot; Form 1 data&quot;"/>
    <numFmt numFmtId="199" formatCode="0.000000%"/>
    <numFmt numFmtId="200" formatCode="#,##0.000000_);\(#,##0.000000\)"/>
    <numFmt numFmtId="201" formatCode="#,##0.00000_);\(#,##0.00000\)"/>
    <numFmt numFmtId="202" formatCode="&quot;$&quot;#,##0\ ;\(&quot;$&quot;#,##0\)"/>
    <numFmt numFmtId="203" formatCode="#,##0.0000"/>
    <numFmt numFmtId="204" formatCode="_-* #,##0_-;\-* #,##0_-;_-* &quot;-&quot;_-;_-@_-"/>
    <numFmt numFmtId="205" formatCode="_-* #,##0.00_-;\-* #,##0.00_-;_-* &quot;-&quot;??_-;_-@_-"/>
    <numFmt numFmtId="206" formatCode="_-&quot;$&quot;* #,##0_-;\-&quot;$&quot;* #,##0_-;_-&quot;$&quot;* &quot;-&quot;_-;_-@_-"/>
    <numFmt numFmtId="207" formatCode="_-&quot;$&quot;* #,##0.00_-;\-&quot;$&quot;* #,##0.00_-;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0"/>
      <color rgb="FF0000FF"/>
      <name val="Garamond"/>
      <family val="1"/>
    </font>
    <font>
      <b/>
      <sz val="10"/>
      <color rgb="FF0000FF"/>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
      <sz val="9"/>
      <color indexed="81"/>
      <name val="Tahoma"/>
      <family val="2"/>
    </font>
    <font>
      <b/>
      <sz val="9"/>
      <color indexed="81"/>
      <name val="Tahoma"/>
      <family val="2"/>
    </font>
    <font>
      <b/>
      <i/>
      <sz val="12"/>
      <color theme="1"/>
      <name val="Arial"/>
      <family val="2"/>
    </font>
    <font>
      <sz val="18"/>
      <color rgb="FFFF0000"/>
      <name val="Calibri"/>
      <family val="2"/>
      <scheme val="minor"/>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62583">
    <xf numFmtId="0" fontId="0" fillId="0" borderId="0"/>
    <xf numFmtId="43" fontId="3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3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32" fillId="0" borderId="0"/>
    <xf numFmtId="0" fontId="32" fillId="0" borderId="0"/>
    <xf numFmtId="0" fontId="44" fillId="0" borderId="0"/>
    <xf numFmtId="9" fontId="3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1">
      <alignment horizontal="center"/>
    </xf>
    <xf numFmtId="3" fontId="76" fillId="0" borderId="0" applyFont="0" applyFill="0" applyBorder="0" applyAlignment="0" applyProtection="0"/>
    <xf numFmtId="0" fontId="76" fillId="2" borderId="0" applyNumberFormat="0" applyFont="0" applyBorder="0" applyAlignment="0" applyProtection="0"/>
    <xf numFmtId="165" fontId="36" fillId="0" borderId="0"/>
    <xf numFmtId="176" fontId="90" fillId="0" borderId="0">
      <alignment horizontal="center" wrapText="1"/>
    </xf>
    <xf numFmtId="177" fontId="36" fillId="0" borderId="0">
      <protection locked="0"/>
    </xf>
    <xf numFmtId="178" fontId="36" fillId="0" borderId="0">
      <alignment horizontal="center"/>
      <protection locked="0"/>
    </xf>
    <xf numFmtId="0" fontId="32" fillId="0" borderId="0"/>
    <xf numFmtId="165" fontId="37" fillId="0" borderId="0"/>
    <xf numFmtId="0" fontId="31"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2" fillId="8" borderId="34" applyNumberFormat="0" applyProtection="0">
      <alignment horizontal="left" vertical="center" indent="1"/>
    </xf>
    <xf numFmtId="0" fontId="32" fillId="8" borderId="34" applyNumberFormat="0" applyProtection="0">
      <alignment horizontal="left" vertical="center" indent="1"/>
    </xf>
    <xf numFmtId="0" fontId="32" fillId="8" borderId="34" applyNumberFormat="0" applyProtection="0">
      <alignment horizontal="left" vertical="center" indent="1"/>
    </xf>
    <xf numFmtId="4" fontId="82" fillId="9" borderId="34" applyNumberFormat="0" applyProtection="0">
      <alignment horizontal="right" vertical="center"/>
    </xf>
    <xf numFmtId="0" fontId="76" fillId="0" borderId="0"/>
    <xf numFmtId="0" fontId="29" fillId="0" borderId="0"/>
    <xf numFmtId="43" fontId="29" fillId="0" borderId="0" applyFont="0" applyFill="0" applyBorder="0" applyAlignment="0" applyProtection="0"/>
    <xf numFmtId="0" fontId="28" fillId="0" borderId="0"/>
    <xf numFmtId="43" fontId="97" fillId="0" borderId="0" applyFont="0" applyFill="0" applyBorder="0" applyAlignment="0" applyProtection="0"/>
    <xf numFmtId="0" fontId="27" fillId="0" borderId="0"/>
    <xf numFmtId="0" fontId="27" fillId="0" borderId="0"/>
    <xf numFmtId="0" fontId="26" fillId="0" borderId="0"/>
    <xf numFmtId="0" fontId="32" fillId="0" borderId="0"/>
    <xf numFmtId="43" fontId="26" fillId="0" borderId="0" applyFont="0" applyFill="0" applyBorder="0" applyAlignment="0" applyProtection="0"/>
    <xf numFmtId="0" fontId="103" fillId="0" borderId="0"/>
    <xf numFmtId="43" fontId="103" fillId="0" borderId="0" applyNumberFormat="0" applyFill="0" applyBorder="0" applyAlignment="0" applyProtection="0"/>
    <xf numFmtId="9" fontId="3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3" fillId="0" borderId="0" applyFont="0" applyFill="0" applyBorder="0" applyAlignment="0" applyProtection="0"/>
    <xf numFmtId="43" fontId="22" fillId="0" borderId="0" applyFont="0" applyFill="0" applyBorder="0" applyAlignment="0" applyProtection="0"/>
    <xf numFmtId="0" fontId="32" fillId="0" borderId="0"/>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112" fillId="22"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9" borderId="0" applyNumberFormat="0" applyBorder="0" applyAlignment="0" applyProtection="0"/>
    <xf numFmtId="0" fontId="113" fillId="13" borderId="0" applyNumberFormat="0" applyBorder="0" applyAlignment="0" applyProtection="0"/>
    <xf numFmtId="0" fontId="114" fillId="30" borderId="50" applyNumberFormat="0" applyAlignment="0" applyProtection="0"/>
    <xf numFmtId="0" fontId="115" fillId="31" borderId="51" applyNumberFormat="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NumberForma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32" fillId="32" borderId="0" applyFont="0" applyFill="0" applyBorder="0" applyAlignment="0" applyProtection="0"/>
    <xf numFmtId="44" fontId="32" fillId="0" borderId="0" applyFont="0" applyFill="0" applyBorder="0" applyAlignment="0" applyProtection="0"/>
    <xf numFmtId="44" fontId="116" fillId="0" borderId="0" applyFont="0" applyFill="0" applyBorder="0" applyAlignment="0" applyProtection="0"/>
    <xf numFmtId="44" fontId="3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2" fillId="32" borderId="0" applyFont="0" applyFill="0" applyBorder="0" applyAlignment="0" applyProtection="0"/>
    <xf numFmtId="0" fontId="32" fillId="32" borderId="0" applyFont="0" applyFill="0" applyBorder="0" applyAlignment="0" applyProtection="0"/>
    <xf numFmtId="0" fontId="117" fillId="0" borderId="0" applyNumberFormat="0" applyFill="0" applyBorder="0" applyAlignment="0" applyProtection="0"/>
    <xf numFmtId="2" fontId="32" fillId="32" borderId="0" applyFont="0" applyFill="0" applyBorder="0" applyAlignment="0" applyProtection="0"/>
    <xf numFmtId="0" fontId="118" fillId="14" borderId="0" applyNumberFormat="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17" borderId="50" applyNumberFormat="0" applyAlignment="0" applyProtection="0"/>
    <xf numFmtId="0" fontId="124" fillId="0" borderId="55" applyNumberFormat="0" applyFill="0" applyAlignment="0" applyProtection="0"/>
    <xf numFmtId="0" fontId="125" fillId="33" borderId="0" applyNumberFormat="0" applyBorder="0" applyAlignment="0" applyProtection="0"/>
    <xf numFmtId="0" fontId="32" fillId="0" borderId="0"/>
    <xf numFmtId="0" fontId="32" fillId="0" borderId="0"/>
    <xf numFmtId="0" fontId="21" fillId="0" borderId="0"/>
    <xf numFmtId="0" fontId="32" fillId="0" borderId="0"/>
    <xf numFmtId="0" fontId="32" fillId="0" borderId="0"/>
    <xf numFmtId="0" fontId="21" fillId="0" borderId="0"/>
    <xf numFmtId="0" fontId="97" fillId="0" borderId="0"/>
    <xf numFmtId="0" fontId="97" fillId="0" borderId="0"/>
    <xf numFmtId="0" fontId="32" fillId="0" borderId="0"/>
    <xf numFmtId="0" fontId="21" fillId="0" borderId="0"/>
    <xf numFmtId="0" fontId="21" fillId="0" borderId="0"/>
    <xf numFmtId="0" fontId="21" fillId="0" borderId="0"/>
    <xf numFmtId="0" fontId="21" fillId="0" borderId="0"/>
    <xf numFmtId="0" fontId="32" fillId="0" borderId="0"/>
    <xf numFmtId="0" fontId="21" fillId="0" borderId="0"/>
    <xf numFmtId="0" fontId="32" fillId="0" borderId="0"/>
    <xf numFmtId="179" fontId="32" fillId="0" borderId="0"/>
    <xf numFmtId="179" fontId="32" fillId="0" borderId="0"/>
    <xf numFmtId="0" fontId="32" fillId="0" borderId="0"/>
    <xf numFmtId="0" fontId="36" fillId="0" borderId="0"/>
    <xf numFmtId="0" fontId="32" fillId="0" borderId="0"/>
    <xf numFmtId="0" fontId="32" fillId="0" borderId="0"/>
    <xf numFmtId="0" fontId="32" fillId="0" borderId="0"/>
    <xf numFmtId="0" fontId="76"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127" fillId="0" borderId="0" applyNumberFormat="0" applyFill="0" applyBorder="0" applyAlignment="0" applyProtection="0"/>
    <xf numFmtId="0" fontId="108" fillId="0" borderId="58" applyNumberFormat="0" applyFill="0" applyAlignment="0" applyProtection="0"/>
    <xf numFmtId="0" fontId="128" fillId="0" borderId="0" applyNumberFormat="0" applyFill="0" applyBorder="0" applyAlignment="0" applyProtection="0"/>
    <xf numFmtId="4" fontId="82" fillId="35" borderId="59" applyNumberFormat="0" applyProtection="0">
      <alignment horizontal="left" vertical="center" indent="1"/>
    </xf>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7" fillId="0" borderId="0" applyFont="0" applyFill="0" applyBorder="0" applyAlignment="0" applyProtection="0"/>
    <xf numFmtId="44" fontId="138" fillId="0" borderId="0" applyFont="0" applyFill="0" applyBorder="0" applyAlignment="0" applyProtection="0"/>
    <xf numFmtId="0" fontId="17"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32"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 fontId="82" fillId="35" borderId="74" applyNumberFormat="0" applyProtection="0">
      <alignment horizontal="left" vertical="center" indent="1"/>
    </xf>
    <xf numFmtId="0" fontId="108" fillId="0" borderId="73" applyNumberFormat="0" applyFill="0" applyAlignment="0" applyProtection="0"/>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4" fontId="82" fillId="9" borderId="72" applyNumberFormat="0" applyProtection="0">
      <alignment horizontal="right" vertical="center"/>
    </xf>
    <xf numFmtId="4" fontId="82" fillId="9" borderId="72" applyNumberFormat="0" applyProtection="0">
      <alignment horizontal="right" vertical="center"/>
    </xf>
    <xf numFmtId="4" fontId="82" fillId="9" borderId="72" applyNumberFormat="0" applyProtection="0">
      <alignment horizontal="right" vertical="center"/>
    </xf>
    <xf numFmtId="0" fontId="32" fillId="8" borderId="72" applyNumberFormat="0" applyProtection="0">
      <alignment horizontal="left" vertical="center" indent="1"/>
    </xf>
    <xf numFmtId="0" fontId="32" fillId="8" borderId="72" applyNumberFormat="0" applyProtection="0">
      <alignment horizontal="left" vertical="center" indent="1"/>
    </xf>
    <xf numFmtId="0" fontId="126" fillId="30" borderId="72" applyNumberForma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32"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44" fontId="32" fillId="0" borderId="0" applyFont="0" applyFill="0" applyBorder="0" applyAlignment="0" applyProtection="0"/>
    <xf numFmtId="0" fontId="16"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77" fillId="0" borderId="75">
      <alignment horizontal="center"/>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 fontId="82" fillId="35" borderId="74" applyNumberFormat="0" applyProtection="0">
      <alignment horizontal="left" vertical="center" indent="1"/>
    </xf>
    <xf numFmtId="43" fontId="15" fillId="0" borderId="0" applyFont="0" applyFill="0" applyBorder="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4" fillId="30" borderId="8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23" fillId="17" borderId="8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4" fontId="82" fillId="35" borderId="89" applyNumberFormat="0" applyProtection="0">
      <alignment horizontal="left" vertical="center" indent="1"/>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2" fillId="35" borderId="93" applyNumberFormat="0" applyProtection="0">
      <alignment horizontal="left" vertical="center" indent="1"/>
    </xf>
    <xf numFmtId="0" fontId="108" fillId="0" borderId="92" applyNumberFormat="0" applyFill="0" applyAlignment="0" applyProtection="0"/>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4" fontId="82" fillId="9" borderId="91" applyNumberFormat="0" applyProtection="0">
      <alignment horizontal="right" vertical="center"/>
    </xf>
    <xf numFmtId="4" fontId="82" fillId="9" borderId="91" applyNumberFormat="0" applyProtection="0">
      <alignment horizontal="right" vertical="center"/>
    </xf>
    <xf numFmtId="4" fontId="82" fillId="9" borderId="91" applyNumberFormat="0" applyProtection="0">
      <alignment horizontal="right" vertical="center"/>
    </xf>
    <xf numFmtId="0" fontId="32" fillId="8" borderId="91" applyNumberFormat="0" applyProtection="0">
      <alignment horizontal="left" vertical="center" indent="1"/>
    </xf>
    <xf numFmtId="0" fontId="32" fillId="8" borderId="91" applyNumberFormat="0" applyProtection="0">
      <alignment horizontal="left" vertical="center" indent="1"/>
    </xf>
    <xf numFmtId="0" fontId="126" fillId="30" borderId="91" applyNumberForma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32"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82" fillId="35" borderId="93" applyNumberFormat="0" applyProtection="0">
      <alignment horizontal="left" vertical="center" indent="1"/>
    </xf>
    <xf numFmtId="43" fontId="14" fillId="0" borderId="0" applyFont="0" applyFill="0" applyBorder="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4" fillId="0" borderId="0"/>
    <xf numFmtId="0" fontId="14" fillId="0" borderId="0"/>
    <xf numFmtId="43" fontId="14" fillId="0" borderId="0" applyFont="0" applyFill="0" applyBorder="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0" fontId="108" fillId="0" borderId="96" applyNumberFormat="0" applyFill="0" applyAlignment="0" applyProtection="0"/>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4" fontId="82" fillId="9" borderId="95" applyNumberFormat="0" applyProtection="0">
      <alignment horizontal="right" vertical="center"/>
    </xf>
    <xf numFmtId="4" fontId="82" fillId="9" borderId="95" applyNumberFormat="0" applyProtection="0">
      <alignment horizontal="right" vertical="center"/>
    </xf>
    <xf numFmtId="4" fontId="82" fillId="9" borderId="95" applyNumberFormat="0" applyProtection="0">
      <alignment horizontal="right" vertical="center"/>
    </xf>
    <xf numFmtId="0" fontId="32" fillId="8" borderId="95" applyNumberFormat="0" applyProtection="0">
      <alignment horizontal="left" vertical="center" indent="1"/>
    </xf>
    <xf numFmtId="0" fontId="32" fillId="8" borderId="95" applyNumberFormat="0" applyProtection="0">
      <alignment horizontal="left" vertical="center" indent="1"/>
    </xf>
    <xf numFmtId="0" fontId="126" fillId="30" borderId="95" applyNumberForma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32"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1" applyNumberFormat="0" applyProtection="0">
      <alignment horizontal="left" vertical="center" indent="1"/>
    </xf>
    <xf numFmtId="0" fontId="32" fillId="8" borderId="111" applyNumberFormat="0" applyProtection="0">
      <alignment horizontal="left" vertical="center" indent="1"/>
    </xf>
    <xf numFmtId="0" fontId="32" fillId="8" borderId="111" applyNumberFormat="0" applyProtection="0">
      <alignment horizontal="left" vertical="center" indent="1"/>
    </xf>
    <xf numFmtId="4" fontId="82" fillId="9" borderId="111"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9" fontId="13" fillId="0" borderId="0" applyFont="0" applyFill="0" applyBorder="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4" fontId="82" fillId="35" borderId="116"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4" fontId="82" fillId="35" borderId="121"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2" fillId="35" borderId="121" applyNumberFormat="0" applyProtection="0">
      <alignment horizontal="left" vertical="center" indent="1"/>
    </xf>
    <xf numFmtId="43" fontId="13" fillId="0" borderId="0" applyFont="0" applyFill="0" applyBorder="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3" fillId="0" borderId="0"/>
    <xf numFmtId="0" fontId="13" fillId="0" borderId="0"/>
    <xf numFmtId="43" fontId="13" fillId="0" borderId="0" applyFont="0" applyFill="0" applyBorder="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32" fillId="49" borderId="133" applyNumberFormat="0" applyProtection="0">
      <alignment horizontal="left" vertical="top" indent="1"/>
    </xf>
    <xf numFmtId="43" fontId="32" fillId="0" borderId="0" applyFont="0" applyFill="0" applyBorder="0" applyAlignment="0" applyProtection="0"/>
    <xf numFmtId="0" fontId="32" fillId="8" borderId="142" applyNumberFormat="0" applyProtection="0">
      <alignment horizontal="left" vertical="center" indent="1"/>
    </xf>
    <xf numFmtId="44" fontId="32" fillId="0" borderId="0" applyFont="0" applyFill="0" applyBorder="0" applyAlignment="0" applyProtection="0"/>
    <xf numFmtId="4" fontId="179" fillId="0" borderId="0" applyNumberFormat="0" applyProtection="0">
      <alignment horizontal="left" vertical="center" indent="1"/>
    </xf>
    <xf numFmtId="9" fontId="32" fillId="0" borderId="0" applyFont="0" applyFill="0" applyBorder="0" applyAlignment="0" applyProtection="0"/>
    <xf numFmtId="41" fontId="32" fillId="0" borderId="0" applyFont="0" applyFill="0" applyBorder="0" applyAlignment="0" applyProtection="0"/>
    <xf numFmtId="194" fontId="32" fillId="0" borderId="0"/>
    <xf numFmtId="4" fontId="45" fillId="54" borderId="0" applyNumberFormat="0" applyProtection="0">
      <alignment horizontal="left"/>
    </xf>
    <xf numFmtId="195" fontId="173" fillId="0" borderId="0" applyFont="0" applyFill="0" applyBorder="0" applyProtection="0">
      <alignment horizontal="right"/>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46" borderId="133"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32" fillId="49" borderId="133" applyNumberFormat="0" applyProtection="0">
      <alignment horizontal="left" vertical="top" indent="1"/>
    </xf>
    <xf numFmtId="43" fontId="11" fillId="0" borderId="0" applyFont="0" applyFill="0" applyBorder="0" applyAlignment="0" applyProtection="0"/>
    <xf numFmtId="43" fontId="139"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182" fillId="48" borderId="133" applyNumberFormat="0" applyProtection="0">
      <alignment horizontal="right" vertical="center"/>
    </xf>
    <xf numFmtId="0" fontId="33" fillId="0" borderId="0" applyNumberFormat="0" applyFill="0" applyBorder="0">
      <alignment horizontal="center" wrapText="1"/>
    </xf>
    <xf numFmtId="196" fontId="175" fillId="0" borderId="0" applyNumberFormat="0" applyFill="0" applyBorder="0" applyAlignment="0" applyProtection="0"/>
    <xf numFmtId="194" fontId="32" fillId="0" borderId="0"/>
    <xf numFmtId="0" fontId="32" fillId="52" borderId="133" applyNumberFormat="0" applyProtection="0">
      <alignment horizontal="left" vertical="center" indent="1"/>
    </xf>
    <xf numFmtId="0" fontId="114" fillId="30" borderId="130" applyNumberFormat="0" applyAlignment="0" applyProtection="0"/>
    <xf numFmtId="43" fontId="11" fillId="0" borderId="0" applyFont="0" applyFill="0" applyBorder="0" applyAlignment="0" applyProtection="0"/>
    <xf numFmtId="0" fontId="32" fillId="8" borderId="142" applyNumberFormat="0" applyProtection="0">
      <alignment horizontal="left" vertical="center" indent="1"/>
    </xf>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84" fillId="55" borderId="141" applyProtection="0"/>
    <xf numFmtId="37" fontId="81" fillId="0" borderId="0"/>
    <xf numFmtId="4" fontId="45" fillId="54" borderId="0" applyNumberFormat="0" applyProtection="0">
      <alignment horizontal="left"/>
    </xf>
    <xf numFmtId="4" fontId="45" fillId="54" borderId="0" applyNumberFormat="0" applyProtection="0">
      <alignment horizontal="left"/>
    </xf>
    <xf numFmtId="0" fontId="123" fillId="17" borderId="130" applyNumberFormat="0" applyAlignment="0" applyProtection="0"/>
    <xf numFmtId="4" fontId="183" fillId="0" borderId="0" applyNumberFormat="0" applyProtection="0">
      <alignment horizontal="left" vertical="center"/>
    </xf>
    <xf numFmtId="0" fontId="82" fillId="45" borderId="133" applyNumberFormat="0" applyProtection="0">
      <alignment horizontal="left" vertical="top"/>
    </xf>
    <xf numFmtId="4" fontId="82" fillId="0" borderId="133" applyNumberFormat="0" applyProtection="0">
      <alignment horizontal="right" vertical="center"/>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45" borderId="133" applyNumberFormat="0" applyProtection="0">
      <alignment horizontal="left" vertical="top" indent="1"/>
    </xf>
    <xf numFmtId="0" fontId="32" fillId="45" borderId="133" applyNumberFormat="0" applyProtection="0">
      <alignment horizontal="left" vertical="top" indent="1"/>
    </xf>
    <xf numFmtId="0" fontId="11" fillId="0" borderId="0"/>
    <xf numFmtId="0" fontId="11" fillId="0" borderId="0"/>
    <xf numFmtId="0" fontId="11" fillId="0" borderId="0"/>
    <xf numFmtId="0" fontId="11" fillId="0" borderId="0"/>
    <xf numFmtId="0" fontId="32" fillId="45" borderId="133" applyNumberFormat="0" applyProtection="0">
      <alignment horizontal="left" vertical="top" indent="1"/>
    </xf>
    <xf numFmtId="0" fontId="11" fillId="0" borderId="0"/>
    <xf numFmtId="0" fontId="32" fillId="49" borderId="133" applyNumberFormat="0" applyProtection="0">
      <alignment horizontal="left" vertical="center" indent="1"/>
    </xf>
    <xf numFmtId="0" fontId="32" fillId="49" borderId="133" applyNumberFormat="0" applyProtection="0">
      <alignment horizontal="left" vertical="center" indent="1"/>
    </xf>
    <xf numFmtId="4" fontId="180" fillId="50" borderId="0" applyNumberFormat="0" applyProtection="0">
      <alignment horizontal="left" indent="1"/>
    </xf>
    <xf numFmtId="4" fontId="180" fillId="50" borderId="0" applyNumberFormat="0" applyProtection="0">
      <alignment horizontal="left" indent="1"/>
    </xf>
    <xf numFmtId="4" fontId="180" fillId="50" borderId="0" applyNumberFormat="0" applyProtection="0">
      <alignment horizontal="left" indent="1"/>
    </xf>
    <xf numFmtId="4" fontId="82" fillId="28" borderId="133" applyNumberFormat="0" applyProtection="0">
      <alignment horizontal="right" vertical="center"/>
    </xf>
    <xf numFmtId="4" fontId="82" fillId="29" borderId="133" applyNumberFormat="0" applyProtection="0">
      <alignment horizontal="right" vertical="center"/>
    </xf>
    <xf numFmtId="4" fontId="82" fillId="25" borderId="133" applyNumberFormat="0" applyProtection="0">
      <alignment horizontal="right" vertical="center"/>
    </xf>
    <xf numFmtId="4" fontId="83" fillId="45" borderId="133" applyNumberFormat="0" applyProtection="0"/>
    <xf numFmtId="0" fontId="83" fillId="4" borderId="133" applyNumberFormat="0" applyProtection="0">
      <alignment horizontal="left" vertical="top" indent="1"/>
    </xf>
    <xf numFmtId="4" fontId="83" fillId="4" borderId="133" applyNumberFormat="0" applyProtection="0">
      <alignment horizontal="left" vertical="center" indent="1"/>
    </xf>
    <xf numFmtId="10" fontId="32" fillId="0" borderId="0" applyFont="0" applyFill="0" applyBorder="0" applyAlignment="0" applyProtection="0"/>
    <xf numFmtId="12" fontId="34" fillId="44" borderId="75">
      <alignment horizontal="left"/>
    </xf>
    <xf numFmtId="0" fontId="32" fillId="0" borderId="0"/>
    <xf numFmtId="0" fontId="139" fillId="0" borderId="0"/>
    <xf numFmtId="0" fontId="139" fillId="0" borderId="0"/>
    <xf numFmtId="0" fontId="11" fillId="0" borderId="0"/>
    <xf numFmtId="197" fontId="32" fillId="0" borderId="0"/>
    <xf numFmtId="194" fontId="32" fillId="0" borderId="0"/>
    <xf numFmtId="194" fontId="32" fillId="0" borderId="0"/>
    <xf numFmtId="194" fontId="3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32" fillId="53" borderId="133" applyNumberFormat="0" applyProtection="0">
      <alignment horizontal="left" vertical="top" indent="1"/>
    </xf>
    <xf numFmtId="4" fontId="45" fillId="54" borderId="0" applyNumberFormat="0" applyProtection="0">
      <alignment horizontal="left"/>
    </xf>
    <xf numFmtId="4" fontId="82" fillId="35" borderId="133" applyNumberFormat="0" applyProtection="0">
      <alignment horizontal="right" vertical="center"/>
    </xf>
    <xf numFmtId="4" fontId="178" fillId="49" borderId="0" applyNumberFormat="0" applyProtection="0">
      <alignment horizontal="left" vertical="center" indent="1"/>
    </xf>
    <xf numFmtId="0" fontId="32" fillId="52" borderId="133" applyNumberFormat="0" applyProtection="0">
      <alignment horizontal="left" vertical="center" indent="1"/>
    </xf>
    <xf numFmtId="0" fontId="32" fillId="49" borderId="133" applyNumberFormat="0" applyProtection="0">
      <alignment horizontal="left" vertical="center" indent="1"/>
    </xf>
    <xf numFmtId="0" fontId="32" fillId="52" borderId="133" applyNumberFormat="0" applyProtection="0">
      <alignment horizontal="left" vertical="center" indent="1"/>
    </xf>
    <xf numFmtId="4" fontId="178" fillId="49" borderId="0" applyNumberFormat="0" applyProtection="0">
      <alignment horizontal="left" vertical="center" indent="1"/>
    </xf>
    <xf numFmtId="37" fontId="81" fillId="4" borderId="0" applyNumberFormat="0" applyBorder="0" applyAlignment="0" applyProtection="0"/>
    <xf numFmtId="4" fontId="181" fillId="51" borderId="0" applyNumberFormat="0" applyProtection="0"/>
    <xf numFmtId="194" fontId="32" fillId="0" borderId="0"/>
    <xf numFmtId="4" fontId="83" fillId="33" borderId="133" applyNumberFormat="0" applyProtection="0">
      <alignment vertical="center"/>
    </xf>
    <xf numFmtId="4" fontId="35" fillId="48" borderId="133" applyNumberFormat="0" applyProtection="0">
      <alignment horizontal="right" vertical="center"/>
    </xf>
    <xf numFmtId="4" fontId="83" fillId="4" borderId="133" applyNumberFormat="0" applyProtection="0">
      <alignment horizontal="left" vertical="center" indent="1"/>
    </xf>
    <xf numFmtId="4" fontId="82" fillId="48" borderId="0" applyNumberFormat="0" applyProtection="0">
      <alignment horizontal="left" indent="1"/>
    </xf>
    <xf numFmtId="4" fontId="178" fillId="49" borderId="0" applyNumberFormat="0" applyProtection="0">
      <alignment horizontal="left" vertical="center" indent="1"/>
    </xf>
    <xf numFmtId="4" fontId="180" fillId="50" borderId="0" applyNumberFormat="0" applyProtection="0">
      <alignment horizontal="left" indent="1"/>
    </xf>
    <xf numFmtId="0" fontId="82" fillId="43" borderId="133" applyNumberFormat="0" applyProtection="0">
      <alignment horizontal="left" vertical="top" indent="1"/>
    </xf>
    <xf numFmtId="4" fontId="181" fillId="51" borderId="0" applyNumberFormat="0" applyProtection="0"/>
    <xf numFmtId="0" fontId="139" fillId="0" borderId="0"/>
    <xf numFmtId="4" fontId="82" fillId="27" borderId="133" applyNumberFormat="0" applyProtection="0">
      <alignment horizontal="right" vertical="center"/>
    </xf>
    <xf numFmtId="4" fontId="82" fillId="19" borderId="133" applyNumberFormat="0" applyProtection="0">
      <alignment horizontal="right" vertical="center"/>
    </xf>
    <xf numFmtId="0" fontId="32" fillId="49" borderId="133" applyNumberFormat="0" applyProtection="0">
      <alignment horizontal="left" vertical="center" indent="1"/>
    </xf>
    <xf numFmtId="4" fontId="45" fillId="54" borderId="0" applyNumberFormat="0" applyProtection="0">
      <alignment horizontal="left"/>
    </xf>
    <xf numFmtId="0" fontId="32" fillId="45" borderId="133" applyNumberFormat="0" applyProtection="0">
      <alignment horizontal="left" vertical="top" indent="1"/>
    </xf>
    <xf numFmtId="0" fontId="139" fillId="0" borderId="0"/>
    <xf numFmtId="4" fontId="83" fillId="4" borderId="133" applyNumberFormat="0" applyProtection="0">
      <alignment horizontal="left" vertical="center" indent="1"/>
    </xf>
    <xf numFmtId="0" fontId="32" fillId="53" borderId="133" applyNumberFormat="0" applyProtection="0">
      <alignment horizontal="left" vertical="center" indent="1"/>
    </xf>
    <xf numFmtId="4" fontId="82" fillId="9" borderId="142" applyNumberFormat="0" applyProtection="0">
      <alignment horizontal="right" vertical="center"/>
    </xf>
    <xf numFmtId="0" fontId="32" fillId="0" borderId="0"/>
    <xf numFmtId="4" fontId="180" fillId="50" borderId="0" applyNumberFormat="0" applyProtection="0">
      <alignment horizontal="left" indent="1"/>
    </xf>
    <xf numFmtId="4" fontId="82" fillId="13" borderId="133" applyNumberFormat="0" applyProtection="0">
      <alignment horizontal="right" vertical="center"/>
    </xf>
    <xf numFmtId="0" fontId="32" fillId="49" borderId="133" applyNumberFormat="0" applyProtection="0">
      <alignment horizontal="left" vertical="top" indent="1"/>
    </xf>
    <xf numFmtId="4" fontId="82" fillId="48" borderId="0" applyNumberFormat="0" applyProtection="0">
      <alignment horizontal="left" indent="1"/>
    </xf>
    <xf numFmtId="0" fontId="32" fillId="53" borderId="133" applyNumberFormat="0" applyProtection="0">
      <alignment horizontal="left" vertical="center" indent="1"/>
    </xf>
    <xf numFmtId="4" fontId="82" fillId="0" borderId="133" applyNumberFormat="0" applyProtection="0">
      <alignment horizontal="left" vertical="center" indent="1"/>
    </xf>
    <xf numFmtId="4" fontId="177" fillId="4" borderId="133" applyNumberFormat="0" applyProtection="0">
      <alignment vertical="center"/>
    </xf>
    <xf numFmtId="0" fontId="32" fillId="53" borderId="133" applyNumberFormat="0" applyProtection="0">
      <alignment horizontal="left" vertical="top" indent="1"/>
    </xf>
    <xf numFmtId="0" fontId="32" fillId="45" borderId="133" applyNumberFormat="0" applyProtection="0">
      <alignment horizontal="left" vertical="center" indent="1"/>
    </xf>
    <xf numFmtId="4" fontId="82" fillId="48" borderId="0" applyNumberFormat="0" applyProtection="0">
      <alignment horizontal="left" indent="1"/>
    </xf>
    <xf numFmtId="0" fontId="32" fillId="49" borderId="133" applyNumberFormat="0" applyProtection="0">
      <alignment horizontal="left" vertical="center" indent="1"/>
    </xf>
    <xf numFmtId="4" fontId="82" fillId="48" borderId="0" applyNumberFormat="0" applyProtection="0">
      <alignment horizontal="left" indent="1"/>
    </xf>
    <xf numFmtId="43" fontId="32" fillId="0" borderId="0" applyFont="0" applyFill="0" applyBorder="0" applyAlignment="0" applyProtection="0"/>
    <xf numFmtId="0" fontId="81" fillId="0" borderId="139" applyNumberFormat="0" applyBorder="0" applyAlignment="0"/>
    <xf numFmtId="4" fontId="181" fillId="0" borderId="0" applyNumberFormat="0" applyProtection="0">
      <alignment horizontal="left" vertical="center" indent="1"/>
    </xf>
    <xf numFmtId="4" fontId="82" fillId="21" borderId="133" applyNumberFormat="0" applyProtection="0">
      <alignment horizontal="right" vertical="center"/>
    </xf>
    <xf numFmtId="0" fontId="32" fillId="49" borderId="133" applyNumberFormat="0" applyProtection="0">
      <alignment horizontal="left" vertical="top" indent="1"/>
    </xf>
    <xf numFmtId="4" fontId="178" fillId="49" borderId="0" applyNumberFormat="0" applyProtection="0">
      <alignment horizontal="left" vertical="center" indent="1"/>
    </xf>
    <xf numFmtId="0" fontId="33" fillId="0" borderId="0" applyNumberFormat="0" applyFill="0" applyBorder="0">
      <alignment horizontal="center" wrapText="1"/>
    </xf>
    <xf numFmtId="4" fontId="82" fillId="20" borderId="133" applyNumberFormat="0" applyProtection="0">
      <alignment horizontal="right" vertical="center"/>
    </xf>
    <xf numFmtId="0" fontId="32" fillId="52" borderId="133" applyNumberFormat="0" applyProtection="0">
      <alignment horizontal="left" vertical="center" indent="1"/>
    </xf>
    <xf numFmtId="0" fontId="32" fillId="45" borderId="133" applyNumberFormat="0" applyProtection="0">
      <alignment horizontal="left" vertical="center" indent="1"/>
    </xf>
    <xf numFmtId="0" fontId="32" fillId="52" borderId="133" applyNumberFormat="0" applyProtection="0">
      <alignment horizontal="left" vertical="center" indent="1"/>
    </xf>
    <xf numFmtId="0" fontId="32" fillId="52" borderId="133" applyNumberFormat="0" applyProtection="0">
      <alignment horizontal="left" vertical="top" indent="1"/>
    </xf>
    <xf numFmtId="0" fontId="139" fillId="0" borderId="0"/>
    <xf numFmtId="0" fontId="32" fillId="45" borderId="133" applyNumberFormat="0" applyProtection="0">
      <alignment horizontal="left" vertical="center" indent="1"/>
    </xf>
    <xf numFmtId="43" fontId="139" fillId="0" borderId="0" applyFont="0" applyFill="0" applyBorder="0" applyAlignment="0" applyProtection="0"/>
    <xf numFmtId="4" fontId="82" fillId="43" borderId="133" applyNumberFormat="0" applyProtection="0">
      <alignment vertical="center"/>
    </xf>
    <xf numFmtId="0" fontId="32" fillId="53" borderId="133" applyNumberFormat="0" applyProtection="0">
      <alignment horizontal="left" vertical="top" indent="1"/>
    </xf>
    <xf numFmtId="194" fontId="32" fillId="0" borderId="0"/>
    <xf numFmtId="4" fontId="82" fillId="43" borderId="133" applyNumberFormat="0" applyProtection="0">
      <alignment horizontal="left" vertical="center" indent="1"/>
    </xf>
    <xf numFmtId="0" fontId="32" fillId="8" borderId="142" applyNumberFormat="0" applyProtection="0">
      <alignment horizontal="left" vertical="center" indent="1"/>
    </xf>
    <xf numFmtId="38" fontId="81" fillId="42" borderId="0" applyNumberFormat="0" applyBorder="0" applyAlignment="0" applyProtection="0"/>
    <xf numFmtId="4" fontId="83" fillId="4" borderId="133" applyNumberFormat="0" applyProtection="0">
      <alignment horizontal="left" vertical="center" indent="1"/>
    </xf>
    <xf numFmtId="4" fontId="82" fillId="48" borderId="0" applyNumberFormat="0" applyProtection="0">
      <alignment horizontal="left" indent="1"/>
    </xf>
    <xf numFmtId="0" fontId="32" fillId="53" borderId="133" applyNumberFormat="0" applyProtection="0">
      <alignment horizontal="left" vertical="center" indent="1"/>
    </xf>
    <xf numFmtId="4" fontId="45" fillId="54" borderId="0" applyNumberFormat="0" applyProtection="0">
      <alignment horizontal="left"/>
    </xf>
    <xf numFmtId="4" fontId="181" fillId="51" borderId="0" applyNumberFormat="0" applyProtection="0"/>
    <xf numFmtId="4" fontId="181" fillId="51" borderId="0" applyNumberFormat="0" applyProtection="0"/>
    <xf numFmtId="0" fontId="32" fillId="45" borderId="133" applyNumberFormat="0" applyProtection="0">
      <alignment horizontal="left" vertical="center" indent="1"/>
    </xf>
    <xf numFmtId="4" fontId="83" fillId="4" borderId="133" applyNumberFormat="0" applyProtection="0">
      <alignment horizontal="left" vertical="center" indent="1"/>
    </xf>
    <xf numFmtId="4" fontId="82" fillId="48" borderId="0" applyNumberFormat="0" applyProtection="0">
      <alignment horizontal="left" vertical="center" indent="1"/>
    </xf>
    <xf numFmtId="0" fontId="32" fillId="53" borderId="133" applyNumberFormat="0" applyProtection="0">
      <alignment horizontal="left" vertical="center" indent="1"/>
    </xf>
    <xf numFmtId="0" fontId="34" fillId="0" borderId="5" applyNumberFormat="0" applyAlignment="0" applyProtection="0">
      <alignment horizontal="left" vertical="center"/>
    </xf>
    <xf numFmtId="4" fontId="83" fillId="4" borderId="133" applyNumberFormat="0" applyProtection="0">
      <alignment horizontal="left" vertical="center" indent="1"/>
    </xf>
    <xf numFmtId="4" fontId="178" fillId="49" borderId="0" applyNumberFormat="0" applyProtection="0">
      <alignment horizontal="left" vertical="center" indent="1"/>
    </xf>
    <xf numFmtId="4" fontId="180" fillId="50" borderId="0" applyNumberFormat="0" applyProtection="0">
      <alignment horizontal="left" indent="1"/>
    </xf>
    <xf numFmtId="4" fontId="181" fillId="51" borderId="0" applyNumberFormat="0" applyProtection="0"/>
    <xf numFmtId="43" fontId="139" fillId="0" borderId="0" applyFont="0" applyFill="0" applyBorder="0" applyAlignment="0" applyProtection="0"/>
    <xf numFmtId="43" fontId="139" fillId="0" borderId="0" applyFont="0" applyFill="0" applyBorder="0" applyAlignment="0" applyProtection="0"/>
    <xf numFmtId="194" fontId="32" fillId="0" borderId="0"/>
    <xf numFmtId="4" fontId="182" fillId="43" borderId="133" applyNumberFormat="0" applyProtection="0">
      <alignment vertical="center"/>
    </xf>
    <xf numFmtId="4" fontId="45" fillId="54" borderId="0" applyNumberFormat="0" applyProtection="0">
      <alignment horizontal="left"/>
    </xf>
    <xf numFmtId="4" fontId="181" fillId="51" borderId="0" applyNumberFormat="0" applyProtection="0"/>
    <xf numFmtId="4" fontId="180" fillId="50" borderId="0" applyNumberFormat="0" applyProtection="0">
      <alignment horizontal="left" indent="1"/>
    </xf>
    <xf numFmtId="0" fontId="174" fillId="0" borderId="0"/>
    <xf numFmtId="0" fontId="32" fillId="53" borderId="133" applyNumberFormat="0" applyProtection="0">
      <alignment horizontal="left" vertical="top" indent="1"/>
    </xf>
    <xf numFmtId="4" fontId="83" fillId="4" borderId="133" applyNumberFormat="0" applyProtection="0">
      <alignment vertical="center"/>
    </xf>
    <xf numFmtId="0" fontId="76" fillId="0" borderId="0"/>
    <xf numFmtId="4" fontId="83" fillId="47" borderId="140" applyNumberFormat="0" applyProtection="0">
      <alignment horizontal="left" vertical="center" indent="1"/>
    </xf>
    <xf numFmtId="0" fontId="32" fillId="45" borderId="133" applyNumberFormat="0" applyProtection="0">
      <alignment horizontal="left" vertical="top" indent="1"/>
    </xf>
    <xf numFmtId="0" fontId="34" fillId="0" borderId="138">
      <alignment horizontal="left" vertical="center"/>
    </xf>
    <xf numFmtId="0" fontId="32" fillId="53" borderId="133" applyNumberFormat="0" applyProtection="0">
      <alignment horizontal="left" vertical="top" indent="1"/>
    </xf>
    <xf numFmtId="188" fontId="32" fillId="0" borderId="0" applyFill="0" applyBorder="0" applyAlignment="0" applyProtection="0">
      <alignment wrapText="1"/>
    </xf>
    <xf numFmtId="37" fontId="176" fillId="0" borderId="0" applyNumberFormat="0" applyFill="0" applyBorder="0"/>
    <xf numFmtId="0" fontId="32" fillId="45" borderId="133" applyNumberFormat="0" applyProtection="0">
      <alignment horizontal="left" vertical="center" indent="1"/>
    </xf>
    <xf numFmtId="10" fontId="81" fillId="43" borderId="126" applyNumberFormat="0" applyBorder="0" applyAlignment="0" applyProtection="0"/>
    <xf numFmtId="0" fontId="32" fillId="53" borderId="133" applyNumberFormat="0" applyProtection="0">
      <alignment horizontal="left" vertical="center" indent="1"/>
    </xf>
    <xf numFmtId="4" fontId="181" fillId="51" borderId="0" applyNumberFormat="0" applyProtection="0"/>
    <xf numFmtId="0" fontId="32" fillId="49" borderId="133" applyNumberFormat="0" applyProtection="0">
      <alignment horizontal="left" vertical="top" indent="1"/>
    </xf>
    <xf numFmtId="0" fontId="33" fillId="0" borderId="126">
      <alignment horizontal="center" vertical="center" wrapText="1"/>
    </xf>
    <xf numFmtId="4" fontId="82" fillId="48" borderId="0" applyNumberFormat="0" applyProtection="0">
      <alignment horizontal="left" indent="1"/>
    </xf>
    <xf numFmtId="0" fontId="10"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43" fontId="10" fillId="0" borderId="0" applyFont="0" applyFill="0" applyBorder="0" applyAlignment="0" applyProtection="0"/>
    <xf numFmtId="0" fontId="77" fillId="0" borderId="75">
      <alignment horizontal="center"/>
    </xf>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77" fillId="0" borderId="1">
      <alignment horizont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7"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7" fillId="1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7"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97" fillId="18"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7" fillId="2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7"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2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12" fillId="22"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112" fillId="24" borderId="0" applyNumberFormat="0" applyBorder="0" applyAlignment="0" applyProtection="0"/>
    <xf numFmtId="0" fontId="112" fillId="22" borderId="0" applyNumberFormat="0" applyBorder="0" applyAlignment="0" applyProtection="0"/>
    <xf numFmtId="0" fontId="205" fillId="65" borderId="0" applyNumberFormat="0" applyBorder="0" applyAlignment="0" applyProtection="0"/>
    <xf numFmtId="0" fontId="205" fillId="29" borderId="0" applyNumberFormat="0" applyBorder="0" applyAlignment="0" applyProtection="0"/>
    <xf numFmtId="0" fontId="205" fillId="68" borderId="0" applyNumberFormat="0" applyBorder="0" applyAlignment="0" applyProtection="0"/>
    <xf numFmtId="0" fontId="112" fillId="20"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112" fillId="33" borderId="0" applyNumberFormat="0" applyBorder="0" applyAlignment="0" applyProtection="0"/>
    <xf numFmtId="0" fontId="112" fillId="20" borderId="0" applyNumberFormat="0" applyBorder="0" applyAlignment="0" applyProtection="0"/>
    <xf numFmtId="0" fontId="205" fillId="70" borderId="0" applyNumberFormat="0" applyBorder="0" applyAlignment="0" applyProtection="0"/>
    <xf numFmtId="0" fontId="112" fillId="2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112" fillId="30" borderId="0" applyNumberFormat="0" applyBorder="0" applyAlignment="0" applyProtection="0"/>
    <xf numFmtId="0" fontId="112" fillId="23" borderId="0" applyNumberFormat="0" applyBorder="0" applyAlignment="0" applyProtection="0"/>
    <xf numFmtId="0" fontId="205" fillId="72" borderId="0" applyNumberFormat="0" applyBorder="0" applyAlignment="0" applyProtection="0"/>
    <xf numFmtId="0" fontId="205" fillId="16" borderId="0" applyNumberFormat="0" applyBorder="0" applyAlignment="0" applyProtection="0"/>
    <xf numFmtId="0" fontId="205" fillId="75" borderId="0" applyNumberFormat="0" applyBorder="0" applyAlignment="0" applyProtection="0"/>
    <xf numFmtId="0" fontId="112" fillId="25"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112" fillId="17" borderId="0" applyNumberFormat="0" applyBorder="0" applyAlignment="0" applyProtection="0"/>
    <xf numFmtId="0" fontId="112" fillId="25" borderId="0" applyNumberFormat="0" applyBorder="0" applyAlignment="0" applyProtection="0"/>
    <xf numFmtId="0" fontId="205" fillId="77" borderId="0" applyNumberFormat="0" applyBorder="0" applyAlignment="0" applyProtection="0"/>
    <xf numFmtId="0" fontId="112" fillId="26"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205" fillId="64" borderId="0" applyNumberFormat="0" applyBorder="0" applyAlignment="0" applyProtection="0"/>
    <xf numFmtId="0" fontId="205" fillId="29" borderId="0" applyNumberFormat="0" applyBorder="0" applyAlignment="0" applyProtection="0"/>
    <xf numFmtId="0" fontId="205" fillId="66" borderId="0" applyNumberFormat="0" applyBorder="0" applyAlignment="0" applyProtection="0"/>
    <xf numFmtId="0" fontId="205" fillId="21" borderId="0" applyNumberFormat="0" applyBorder="0" applyAlignment="0" applyProtection="0"/>
    <xf numFmtId="0" fontId="205" fillId="69" borderId="0" applyNumberFormat="0" applyBorder="0" applyAlignment="0" applyProtection="0"/>
    <xf numFmtId="0" fontId="112" fillId="23"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112" fillId="79" borderId="0" applyNumberFormat="0" applyBorder="0" applyAlignment="0" applyProtection="0"/>
    <xf numFmtId="0" fontId="112" fillId="23" borderId="0" applyNumberFormat="0" applyBorder="0" applyAlignment="0" applyProtection="0"/>
    <xf numFmtId="0" fontId="205" fillId="71" borderId="0" applyNumberFormat="0" applyBorder="0" applyAlignment="0" applyProtection="0"/>
    <xf numFmtId="0" fontId="205" fillId="73" borderId="0" applyNumberFormat="0" applyBorder="0" applyAlignment="0" applyProtection="0"/>
    <xf numFmtId="0" fontId="205" fillId="27" borderId="0" applyNumberFormat="0" applyBorder="0" applyAlignment="0" applyProtection="0"/>
    <xf numFmtId="0" fontId="205" fillId="76" borderId="0" applyNumberFormat="0" applyBorder="0" applyAlignment="0" applyProtection="0"/>
    <xf numFmtId="0" fontId="196" fillId="15" borderId="0" applyNumberFormat="0" applyBorder="0" applyAlignment="0" applyProtection="0"/>
    <xf numFmtId="0" fontId="196" fillId="58" borderId="0" applyNumberFormat="0" applyBorder="0" applyAlignment="0" applyProtection="0"/>
    <xf numFmtId="0" fontId="208" fillId="80" borderId="161" applyNumberFormat="0" applyAlignment="0" applyProtection="0"/>
    <xf numFmtId="0" fontId="114" fillId="80" borderId="171" applyNumberFormat="0" applyAlignment="0" applyProtection="0"/>
    <xf numFmtId="0" fontId="114" fillId="30" borderId="171" applyNumberFormat="0" applyAlignment="0" applyProtection="0"/>
    <xf numFmtId="0" fontId="200" fillId="61" borderId="161" applyNumberFormat="0" applyAlignment="0" applyProtection="0"/>
    <xf numFmtId="0" fontId="209" fillId="0" borderId="0"/>
    <xf numFmtId="0" fontId="202" fillId="62" borderId="1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 fontId="210" fillId="0" borderId="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32"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2" fillId="0" borderId="0"/>
    <xf numFmtId="0" fontId="212" fillId="0" borderId="0"/>
    <xf numFmtId="0" fontId="212" fillId="0" borderId="0"/>
    <xf numFmtId="0" fontId="212" fillId="0" borderId="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0" fontId="212" fillId="0" borderId="0"/>
    <xf numFmtId="0" fontId="212" fillId="0" borderId="0"/>
    <xf numFmtId="0" fontId="212" fillId="0" borderId="0"/>
    <xf numFmtId="5" fontId="212" fillId="0" borderId="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0" fontId="213" fillId="0" borderId="0"/>
    <xf numFmtId="0" fontId="213" fillId="0" borderId="172"/>
    <xf numFmtId="0" fontId="212" fillId="0" borderId="0"/>
    <xf numFmtId="0" fontId="212" fillId="0" borderId="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04" fillId="0" borderId="0" applyNumberForma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0" fontId="212" fillId="0" borderId="0"/>
    <xf numFmtId="0" fontId="195" fillId="16" borderId="0" applyNumberFormat="0" applyBorder="0" applyAlignment="0" applyProtection="0"/>
    <xf numFmtId="0" fontId="195" fillId="57"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92" fillId="0" borderId="158" applyNumberFormat="0" applyFill="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1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3" fillId="0" borderId="159" applyNumberFormat="0" applyFill="0" applyAlignment="0" applyProtection="0"/>
    <xf numFmtId="0" fontId="121" fillId="0" borderId="54"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9" fillId="0" borderId="176" applyNumberFormat="0" applyFill="0" applyAlignment="0" applyProtection="0"/>
    <xf numFmtId="0" fontId="121" fillId="0" borderId="54" applyNumberFormat="0" applyFill="0" applyAlignment="0" applyProtection="0"/>
    <xf numFmtId="0" fontId="194" fillId="0" borderId="160" applyNumberFormat="0" applyFill="0" applyAlignment="0" applyProtection="0"/>
    <xf numFmtId="0" fontId="121"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21" fillId="0" borderId="0" applyNumberFormat="0" applyFill="0" applyBorder="0" applyAlignment="0" applyProtection="0"/>
    <xf numFmtId="0" fontId="194" fillId="0" borderId="0" applyNumberFormat="0" applyFill="0" applyBorder="0" applyAlignment="0" applyProtection="0"/>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0" fontId="198" fillId="33"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38" fontId="50" fillId="0" borderId="0">
      <alignment horizontal="left" wrapText="1"/>
    </xf>
    <xf numFmtId="38" fontId="220" fillId="0" borderId="0">
      <alignment horizontal="left" wrapText="1"/>
    </xf>
    <xf numFmtId="0" fontId="221" fillId="81" borderId="177"/>
    <xf numFmtId="0" fontId="222" fillId="0" borderId="178" applyNumberFormat="0" applyFill="0" applyAlignment="0" applyProtection="0"/>
    <xf numFmtId="0" fontId="201" fillId="0" borderId="163" applyNumberFormat="0" applyFill="0" applyAlignment="0" applyProtection="0"/>
    <xf numFmtId="0" fontId="223" fillId="59" borderId="0" applyNumberFormat="0" applyBorder="0" applyAlignment="0" applyProtection="0"/>
    <xf numFmtId="0" fontId="197" fillId="59" borderId="0" applyNumberFormat="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12" fillId="0" borderId="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34" borderId="147"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199" fillId="80" borderId="162" applyNumberFormat="0" applyAlignment="0" applyProtection="0"/>
    <xf numFmtId="0" fontId="126" fillId="80" borderId="148" applyNumberFormat="0" applyAlignment="0" applyProtection="0"/>
    <xf numFmtId="0" fontId="126" fillId="30" borderId="148" applyNumberFormat="0" applyAlignment="0" applyProtection="0"/>
    <xf numFmtId="0" fontId="199" fillId="61" borderId="162" applyNumberFormat="0" applyAlignment="0" applyProtection="0"/>
    <xf numFmtId="40" fontId="82" fillId="5" borderId="0">
      <alignment horizontal="right"/>
    </xf>
    <xf numFmtId="0" fontId="83" fillId="5" borderId="0">
      <alignment horizontal="left"/>
    </xf>
    <xf numFmtId="0" fontId="212" fillId="0" borderId="0"/>
    <xf numFmtId="0" fontId="212"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4" fillId="0" borderId="0"/>
    <xf numFmtId="9" fontId="224" fillId="0" borderId="0"/>
    <xf numFmtId="9" fontId="225" fillId="0" borderId="0"/>
    <xf numFmtId="9" fontId="224" fillId="0" borderId="0"/>
    <xf numFmtId="9" fontId="225" fillId="0" borderId="0"/>
    <xf numFmtId="9" fontId="224" fillId="0" borderId="0"/>
    <xf numFmtId="0" fontId="213" fillId="0" borderId="0"/>
    <xf numFmtId="37" fontId="226" fillId="82" borderId="0" applyNumberFormat="0" applyFont="0" applyBorder="0" applyAlignment="0" applyProtection="0"/>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0" fontId="68" fillId="83" borderId="179"/>
    <xf numFmtId="0" fontId="68" fillId="83" borderId="179"/>
    <xf numFmtId="0" fontId="213" fillId="0" borderId="177"/>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0" fontId="227" fillId="84" borderId="0"/>
    <xf numFmtId="0" fontId="1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127"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81"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66"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2" fillId="0" borderId="182"/>
    <xf numFmtId="0" fontId="221" fillId="0" borderId="183"/>
    <xf numFmtId="0" fontId="221" fillId="0" borderId="177"/>
    <xf numFmtId="204" fontId="32" fillId="0" borderId="0" applyFont="0" applyFill="0" applyBorder="0" applyAlignment="0" applyProtection="0"/>
    <xf numFmtId="205" fontId="32" fillId="0" borderId="0" applyFont="0" applyFill="0" applyBorder="0" applyAlignment="0" applyProtection="0"/>
    <xf numFmtId="0" fontId="212" fillId="0" borderId="184"/>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206" fontId="32" fillId="0" borderId="0" applyFont="0" applyFill="0" applyBorder="0" applyAlignment="0" applyProtection="0"/>
    <xf numFmtId="207" fontId="32" fillId="0" borderId="0" applyFont="0" applyFill="0" applyBorder="0" applyAlignment="0" applyProtection="0"/>
    <xf numFmtId="0" fontId="203"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4" fillId="0" borderId="167">
      <alignment horizontal="left" vertical="center"/>
    </xf>
    <xf numFmtId="0" fontId="34" fillId="0" borderId="167">
      <alignment horizontal="left" vertical="center"/>
    </xf>
    <xf numFmtId="0" fontId="34" fillId="0" borderId="167">
      <alignment horizontal="left" vertical="center"/>
    </xf>
    <xf numFmtId="0" fontId="34" fillId="0" borderId="167">
      <alignment horizontal="left" vertical="center"/>
    </xf>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4" fillId="0" borderId="0"/>
    <xf numFmtId="0" fontId="32" fillId="8" borderId="185" applyNumberFormat="0" applyProtection="0">
      <alignment horizontal="left" vertical="center" indent="1"/>
    </xf>
    <xf numFmtId="0" fontId="4" fillId="0" borderId="0"/>
    <xf numFmtId="0" fontId="32" fillId="8" borderId="185" applyNumberFormat="0" applyProtection="0">
      <alignment horizontal="left" vertical="center" indent="1"/>
    </xf>
    <xf numFmtId="0" fontId="32" fillId="0" borderId="0"/>
    <xf numFmtId="43" fontId="3" fillId="0" borderId="0" applyFont="0" applyFill="0" applyBorder="0" applyAlignment="0" applyProtection="0"/>
    <xf numFmtId="0" fontId="2" fillId="0" borderId="0"/>
    <xf numFmtId="0" fontId="2" fillId="0" borderId="0"/>
    <xf numFmtId="0" fontId="32" fillId="8" borderId="185" applyNumberFormat="0" applyProtection="0">
      <alignment horizontal="left" vertical="center" indent="1"/>
    </xf>
    <xf numFmtId="0" fontId="2" fillId="0" borderId="0"/>
    <xf numFmtId="0" fontId="2" fillId="0" borderId="0"/>
    <xf numFmtId="0" fontId="1" fillId="0" borderId="0"/>
  </cellStyleXfs>
  <cellXfs count="2745">
    <xf numFmtId="0" fontId="0" fillId="0" borderId="0" xfId="0"/>
    <xf numFmtId="0" fontId="34" fillId="0" borderId="0" xfId="0" applyFont="1"/>
    <xf numFmtId="0" fontId="0" fillId="0" borderId="0" xfId="0" applyFill="1"/>
    <xf numFmtId="169" fontId="38" fillId="0" borderId="0" xfId="0" applyNumberFormat="1" applyFont="1" applyAlignment="1"/>
    <xf numFmtId="0" fontId="34" fillId="0" borderId="0" xfId="0" applyNumberFormat="1" applyFont="1" applyAlignment="1">
      <alignment horizontal="center"/>
    </xf>
    <xf numFmtId="168" fontId="38" fillId="0" borderId="0" xfId="0" applyNumberFormat="1" applyFont="1" applyAlignment="1">
      <alignment horizontal="left"/>
    </xf>
    <xf numFmtId="3" fontId="38" fillId="0" borderId="0" xfId="0" applyNumberFormat="1" applyFont="1" applyFill="1" applyAlignment="1">
      <alignment horizontal="right"/>
    </xf>
    <xf numFmtId="0" fontId="34" fillId="0" borderId="0" xfId="0" applyNumberFormat="1" applyFont="1" applyFill="1" applyAlignment="1"/>
    <xf numFmtId="0" fontId="36" fillId="0" borderId="0" xfId="0" applyNumberFormat="1" applyFont="1" applyAlignment="1">
      <alignment horizontal="center"/>
    </xf>
    <xf numFmtId="0" fontId="36" fillId="0" borderId="0" xfId="0" applyFont="1" applyAlignment="1"/>
    <xf numFmtId="0" fontId="38" fillId="0" borderId="0" xfId="0" applyFont="1"/>
    <xf numFmtId="172" fontId="34" fillId="0" borderId="0" xfId="13" applyNumberFormat="1" applyFont="1" applyAlignment="1"/>
    <xf numFmtId="0" fontId="34" fillId="0" borderId="2" xfId="0" applyNumberFormat="1" applyFont="1" applyFill="1" applyBorder="1" applyAlignment="1"/>
    <xf numFmtId="0" fontId="34" fillId="0" borderId="3" xfId="0" applyNumberFormat="1" applyFont="1" applyFill="1" applyBorder="1" applyAlignment="1"/>
    <xf numFmtId="3" fontId="34" fillId="0" borderId="3" xfId="0" applyNumberFormat="1" applyFont="1" applyBorder="1" applyAlignment="1"/>
    <xf numFmtId="0" fontId="34" fillId="0" borderId="3" xfId="0" applyFont="1" applyBorder="1"/>
    <xf numFmtId="0" fontId="34" fillId="0" borderId="0" xfId="0" applyNumberFormat="1" applyFont="1" applyFill="1" applyAlignment="1">
      <alignment horizontal="center"/>
    </xf>
    <xf numFmtId="0" fontId="34" fillId="0" borderId="0" xfId="0" applyNumberFormat="1" applyFont="1" applyFill="1" applyBorder="1" applyAlignment="1"/>
    <xf numFmtId="0" fontId="36" fillId="0" borderId="0" xfId="0" applyFont="1"/>
    <xf numFmtId="0" fontId="36" fillId="0" borderId="0" xfId="0" applyNumberFormat="1" applyFont="1" applyAlignment="1">
      <alignment horizontal="left"/>
    </xf>
    <xf numFmtId="0" fontId="36" fillId="0" borderId="0" xfId="0" applyNumberFormat="1" applyFont="1" applyFill="1" applyAlignment="1">
      <alignment horizontal="right"/>
    </xf>
    <xf numFmtId="0" fontId="36" fillId="0" borderId="0" xfId="0" applyNumberFormat="1" applyFont="1" applyFill="1" applyAlignment="1">
      <alignment horizontal="left"/>
    </xf>
    <xf numFmtId="0" fontId="36" fillId="0" borderId="0" xfId="0" applyFont="1" applyFill="1" applyAlignment="1"/>
    <xf numFmtId="0" fontId="36" fillId="0" borderId="0" xfId="0" applyFont="1" applyFill="1"/>
    <xf numFmtId="0" fontId="36" fillId="0" borderId="2" xfId="0" applyFont="1" applyFill="1" applyBorder="1" applyAlignment="1"/>
    <xf numFmtId="0" fontId="36" fillId="0" borderId="2" xfId="0" applyFont="1" applyBorder="1"/>
    <xf numFmtId="0" fontId="36" fillId="0" borderId="2" xfId="0" applyFont="1" applyFill="1" applyBorder="1"/>
    <xf numFmtId="0" fontId="36" fillId="0" borderId="2" xfId="0" applyFont="1" applyBorder="1" applyAlignment="1"/>
    <xf numFmtId="0" fontId="36" fillId="0" borderId="0" xfId="0" applyFont="1" applyBorder="1" applyAlignment="1"/>
    <xf numFmtId="0" fontId="36" fillId="0" borderId="0" xfId="0" applyFont="1" applyFill="1" applyAlignment="1">
      <alignment horizontal="left"/>
    </xf>
    <xf numFmtId="0" fontId="36" fillId="0" borderId="0" xfId="0" applyFont="1" applyAlignment="1">
      <alignment horizontal="left"/>
    </xf>
    <xf numFmtId="0" fontId="42" fillId="0" borderId="0" xfId="0" applyFont="1"/>
    <xf numFmtId="0" fontId="36" fillId="0" borderId="0" xfId="0" applyFont="1" applyAlignment="1">
      <alignment horizontal="right"/>
    </xf>
    <xf numFmtId="166" fontId="34" fillId="0" borderId="0" xfId="0" applyNumberFormat="1" applyFont="1" applyAlignment="1"/>
    <xf numFmtId="0" fontId="36" fillId="0" borderId="0" xfId="0" applyNumberFormat="1" applyFont="1" applyFill="1" applyAlignment="1">
      <alignment horizontal="center"/>
    </xf>
    <xf numFmtId="0" fontId="36" fillId="0" borderId="0" xfId="0" applyNumberFormat="1" applyFont="1" applyBorder="1" applyAlignment="1">
      <alignment horizontal="center"/>
    </xf>
    <xf numFmtId="0" fontId="36" fillId="0" borderId="0" xfId="0" applyNumberFormat="1" applyFont="1" applyBorder="1" applyAlignment="1">
      <alignment horizontal="left"/>
    </xf>
    <xf numFmtId="0" fontId="36" fillId="0" borderId="0" xfId="0" applyFont="1" applyFill="1" applyBorder="1" applyAlignment="1"/>
    <xf numFmtId="0" fontId="36" fillId="0" borderId="0" xfId="0" applyFont="1" applyBorder="1"/>
    <xf numFmtId="0" fontId="34" fillId="0" borderId="0" xfId="0" applyNumberFormat="1" applyFont="1" applyBorder="1" applyAlignment="1"/>
    <xf numFmtId="3" fontId="34" fillId="0" borderId="0" xfId="0" applyNumberFormat="1" applyFont="1" applyBorder="1" applyAlignment="1"/>
    <xf numFmtId="3" fontId="34" fillId="0" borderId="0" xfId="0" quotePrefix="1" applyNumberFormat="1" applyFont="1" applyBorder="1" applyAlignment="1">
      <alignment horizontal="right"/>
    </xf>
    <xf numFmtId="3" fontId="36" fillId="0" borderId="0" xfId="0" applyNumberFormat="1" applyFont="1"/>
    <xf numFmtId="0" fontId="47" fillId="3" borderId="0" xfId="0" applyFont="1" applyFill="1" applyBorder="1" applyAlignment="1"/>
    <xf numFmtId="0" fontId="36" fillId="0" borderId="0" xfId="0" applyFont="1" applyAlignment="1">
      <alignment horizontal="center"/>
    </xf>
    <xf numFmtId="0" fontId="36" fillId="0" borderId="0" xfId="0" applyFont="1" applyFill="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4" xfId="0" applyFont="1" applyBorder="1" applyAlignment="1"/>
    <xf numFmtId="0" fontId="34" fillId="0" borderId="0" xfId="0" applyNumberFormat="1" applyFont="1" applyAlignment="1">
      <alignment horizontal="left"/>
    </xf>
    <xf numFmtId="0" fontId="36" fillId="0" borderId="0" xfId="0" applyFont="1" applyFill="1" applyAlignment="1">
      <alignment horizontal="right"/>
    </xf>
    <xf numFmtId="0" fontId="36" fillId="0" borderId="0" xfId="0" applyFont="1" applyFill="1" applyBorder="1"/>
    <xf numFmtId="0" fontId="34" fillId="0" borderId="3" xfId="0" applyFont="1" applyBorder="1" applyAlignment="1"/>
    <xf numFmtId="0" fontId="36" fillId="0" borderId="3" xfId="0" applyFont="1" applyBorder="1"/>
    <xf numFmtId="168" fontId="34" fillId="0" borderId="3" xfId="0" applyNumberFormat="1" applyFont="1" applyBorder="1" applyAlignment="1">
      <alignment horizontal="left"/>
    </xf>
    <xf numFmtId="169" fontId="34" fillId="0" borderId="3" xfId="0" applyNumberFormat="1" applyFont="1" applyBorder="1" applyAlignment="1">
      <alignment horizontal="center"/>
    </xf>
    <xf numFmtId="0" fontId="36" fillId="3" borderId="0" xfId="0" applyFont="1" applyFill="1" applyBorder="1" applyAlignment="1"/>
    <xf numFmtId="0" fontId="36" fillId="3" borderId="0" xfId="0" applyFont="1" applyFill="1" applyBorder="1"/>
    <xf numFmtId="0" fontId="36" fillId="0" borderId="3" xfId="0" applyFont="1" applyFill="1" applyBorder="1" applyAlignment="1"/>
    <xf numFmtId="0" fontId="36" fillId="0" borderId="3" xfId="0" applyFont="1" applyBorder="1" applyAlignment="1"/>
    <xf numFmtId="0" fontId="46" fillId="0" borderId="0" xfId="0" applyFont="1" applyFill="1" applyBorder="1" applyAlignment="1">
      <alignment horizontal="center"/>
    </xf>
    <xf numFmtId="0" fontId="47" fillId="0" borderId="0" xfId="0" applyFont="1" applyFill="1" applyBorder="1" applyAlignment="1"/>
    <xf numFmtId="0" fontId="36" fillId="3" borderId="0" xfId="0" applyFont="1" applyFill="1" applyAlignment="1"/>
    <xf numFmtId="0" fontId="36" fillId="3" borderId="0" xfId="0" applyFont="1" applyFill="1"/>
    <xf numFmtId="0" fontId="36" fillId="3" borderId="0" xfId="0" applyFont="1" applyFill="1" applyBorder="1" applyAlignment="1">
      <alignment horizontal="center" wrapText="1"/>
    </xf>
    <xf numFmtId="0" fontId="34" fillId="0" borderId="0" xfId="0" applyFont="1" applyBorder="1" applyAlignment="1"/>
    <xf numFmtId="3" fontId="34" fillId="0" borderId="0" xfId="0" applyNumberFormat="1" applyFont="1" applyFill="1" applyBorder="1" applyAlignment="1"/>
    <xf numFmtId="169" fontId="34" fillId="0" borderId="3" xfId="0" applyNumberFormat="1" applyFont="1" applyBorder="1" applyAlignment="1"/>
    <xf numFmtId="168" fontId="34" fillId="0" borderId="0" xfId="0" applyNumberFormat="1" applyFont="1" applyBorder="1" applyAlignment="1">
      <alignment horizontal="left"/>
    </xf>
    <xf numFmtId="173" fontId="38" fillId="0" borderId="0" xfId="13" applyNumberFormat="1" applyFont="1" applyFill="1" applyAlignment="1">
      <alignment horizontal="right"/>
    </xf>
    <xf numFmtId="0" fontId="34" fillId="0" borderId="2" xfId="0" applyFont="1" applyFill="1" applyBorder="1" applyAlignment="1"/>
    <xf numFmtId="0" fontId="34" fillId="0" borderId="2" xfId="0" applyFont="1" applyBorder="1" applyAlignment="1"/>
    <xf numFmtId="0" fontId="48" fillId="0" borderId="5" xfId="0" applyNumberFormat="1" applyFont="1" applyBorder="1" applyAlignment="1">
      <alignment horizontal="center"/>
    </xf>
    <xf numFmtId="0" fontId="48" fillId="0" borderId="5" xfId="0" applyFont="1" applyBorder="1" applyAlignment="1"/>
    <xf numFmtId="0" fontId="45" fillId="0" borderId="6" xfId="0" applyNumberFormat="1" applyFont="1" applyBorder="1" applyAlignment="1">
      <alignment horizontal="center"/>
    </xf>
    <xf numFmtId="0" fontId="45" fillId="0" borderId="5" xfId="0" applyNumberFormat="1" applyFont="1" applyBorder="1" applyAlignment="1">
      <alignment horizontal="left"/>
    </xf>
    <xf numFmtId="0" fontId="45" fillId="0" borderId="5" xfId="0" applyFont="1" applyFill="1" applyBorder="1"/>
    <xf numFmtId="0" fontId="45" fillId="0" borderId="5" xfId="0" applyFont="1" applyBorder="1" applyAlignment="1"/>
    <xf numFmtId="0" fontId="36" fillId="0" borderId="4" xfId="0" applyNumberFormat="1" applyFont="1" applyFill="1" applyBorder="1" applyAlignment="1">
      <alignment horizontal="left"/>
    </xf>
    <xf numFmtId="0" fontId="34" fillId="0" borderId="5" xfId="0" applyFont="1" applyBorder="1"/>
    <xf numFmtId="0" fontId="45" fillId="0" borderId="0" xfId="0" applyNumberFormat="1" applyFont="1" applyBorder="1" applyAlignment="1">
      <alignment horizontal="center"/>
    </xf>
    <xf numFmtId="0" fontId="45" fillId="0" borderId="5" xfId="0" applyNumberFormat="1" applyFont="1" applyBorder="1" applyAlignment="1">
      <alignment horizontal="center"/>
    </xf>
    <xf numFmtId="0" fontId="34" fillId="0" borderId="0" xfId="0" applyNumberFormat="1" applyFont="1" applyBorder="1" applyAlignment="1">
      <alignment horizontal="left"/>
    </xf>
    <xf numFmtId="0" fontId="36" fillId="0" borderId="4" xfId="0" applyNumberFormat="1" applyFont="1" applyBorder="1" applyAlignment="1">
      <alignment horizontal="center"/>
    </xf>
    <xf numFmtId="0" fontId="41" fillId="0" borderId="0" xfId="0" applyFont="1" applyFill="1" applyAlignment="1">
      <alignment horizontal="center"/>
    </xf>
    <xf numFmtId="0" fontId="39" fillId="0" borderId="0" xfId="0" applyFont="1" applyFill="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34" fillId="0" borderId="3" xfId="0" applyFont="1" applyBorder="1" applyAlignment="1">
      <alignment horizontal="center"/>
    </xf>
    <xf numFmtId="0" fontId="36" fillId="0" borderId="4" xfId="0" applyNumberFormat="1" applyFont="1" applyFill="1" applyBorder="1" applyAlignment="1">
      <alignment horizontal="center"/>
    </xf>
    <xf numFmtId="0" fontId="36" fillId="0" borderId="2" xfId="0" applyFont="1" applyFill="1" applyBorder="1" applyAlignment="1">
      <alignment horizontal="center"/>
    </xf>
    <xf numFmtId="0" fontId="36" fillId="0" borderId="4" xfId="0" applyFont="1" applyBorder="1" applyAlignment="1">
      <alignment horizontal="center"/>
    </xf>
    <xf numFmtId="0" fontId="42" fillId="0" borderId="0" xfId="0" applyFont="1" applyBorder="1" applyAlignment="1">
      <alignment horizontal="center"/>
    </xf>
    <xf numFmtId="0" fontId="34" fillId="0" borderId="0" xfId="0" applyFont="1" applyBorder="1" applyAlignment="1">
      <alignment horizontal="center"/>
    </xf>
    <xf numFmtId="3" fontId="34" fillId="0" borderId="3" xfId="0" applyNumberFormat="1" applyFont="1" applyBorder="1" applyAlignment="1">
      <alignment horizontal="center"/>
    </xf>
    <xf numFmtId="0" fontId="36" fillId="0" borderId="0" xfId="0" applyNumberFormat="1" applyFont="1" applyFill="1" applyBorder="1" applyAlignment="1">
      <alignment horizontal="center"/>
    </xf>
    <xf numFmtId="3" fontId="34" fillId="0" borderId="2" xfId="0" applyNumberFormat="1" applyFont="1" applyBorder="1" applyAlignment="1">
      <alignment horizontal="center"/>
    </xf>
    <xf numFmtId="0" fontId="45" fillId="0" borderId="5" xfId="0" applyFont="1" applyBorder="1" applyAlignment="1">
      <alignment horizontal="center"/>
    </xf>
    <xf numFmtId="0" fontId="36" fillId="0" borderId="4" xfId="0" applyFont="1" applyFill="1" applyBorder="1" applyAlignment="1"/>
    <xf numFmtId="0" fontId="39" fillId="0" borderId="0" xfId="0" applyFont="1" applyFill="1" applyBorder="1" applyAlignment="1">
      <alignment horizontal="center"/>
    </xf>
    <xf numFmtId="0" fontId="39" fillId="0" borderId="2" xfId="0" applyFont="1" applyFill="1" applyBorder="1" applyAlignment="1"/>
    <xf numFmtId="0" fontId="39" fillId="0" borderId="4" xfId="0" applyFont="1" applyFill="1" applyBorder="1" applyAlignment="1"/>
    <xf numFmtId="0" fontId="39" fillId="0" borderId="4" xfId="0" applyFont="1" applyFill="1" applyBorder="1" applyAlignment="1">
      <alignment horizontal="center"/>
    </xf>
    <xf numFmtId="0" fontId="36" fillId="0" borderId="0" xfId="0" applyFont="1" applyFill="1" applyBorder="1" applyAlignment="1">
      <alignment horizontal="center"/>
    </xf>
    <xf numFmtId="0" fontId="39" fillId="0" borderId="0" xfId="0" applyFont="1" applyFill="1" applyAlignment="1">
      <alignment horizontal="left"/>
    </xf>
    <xf numFmtId="0" fontId="48" fillId="0" borderId="0" xfId="0" applyNumberFormat="1" applyFont="1" applyBorder="1" applyAlignment="1">
      <alignment horizontal="center"/>
    </xf>
    <xf numFmtId="0" fontId="48" fillId="0" borderId="0" xfId="0" applyFont="1" applyBorder="1" applyAlignment="1"/>
    <xf numFmtId="0" fontId="34" fillId="0" borderId="0" xfId="0" applyFont="1" applyFill="1"/>
    <xf numFmtId="0" fontId="34" fillId="0" borderId="0" xfId="0" applyFont="1" applyFill="1" applyBorder="1"/>
    <xf numFmtId="10" fontId="40" fillId="0" borderId="0" xfId="0" applyNumberFormat="1" applyFont="1" applyFill="1" applyAlignment="1">
      <alignment horizontal="right"/>
    </xf>
    <xf numFmtId="3" fontId="41" fillId="0" borderId="0" xfId="0" applyNumberFormat="1" applyFont="1" applyBorder="1" applyAlignment="1"/>
    <xf numFmtId="0" fontId="41" fillId="0" borderId="0" xfId="0" applyNumberFormat="1" applyFont="1" applyFill="1" applyBorder="1" applyAlignment="1">
      <alignment horizontal="center"/>
    </xf>
    <xf numFmtId="0" fontId="0" fillId="0" borderId="0" xfId="0" applyAlignment="1">
      <alignment horizontal="center"/>
    </xf>
    <xf numFmtId="0" fontId="52" fillId="0" borderId="0" xfId="0" applyFont="1" applyAlignment="1">
      <alignment horizontal="left"/>
    </xf>
    <xf numFmtId="0" fontId="52" fillId="0" borderId="0" xfId="0" applyFont="1"/>
    <xf numFmtId="0" fontId="53" fillId="0" borderId="0" xfId="0" applyFont="1"/>
    <xf numFmtId="0" fontId="53" fillId="0" borderId="0" xfId="0" applyFont="1" applyBorder="1"/>
    <xf numFmtId="0" fontId="53" fillId="0" borderId="0" xfId="0" applyFont="1" applyFill="1" applyBorder="1"/>
    <xf numFmtId="0" fontId="43" fillId="0" borderId="0" xfId="0" applyFont="1"/>
    <xf numFmtId="0" fontId="43" fillId="0" borderId="0" xfId="0" applyFont="1" applyFill="1"/>
    <xf numFmtId="3" fontId="36" fillId="0" borderId="0" xfId="0" applyNumberFormat="1" applyFont="1" applyFill="1" applyBorder="1" applyAlignment="1">
      <alignment horizontal="right"/>
    </xf>
    <xf numFmtId="0" fontId="42" fillId="0" borderId="0" xfId="0" applyFont="1" applyFill="1"/>
    <xf numFmtId="0" fontId="0" fillId="0" borderId="0" xfId="0" applyBorder="1"/>
    <xf numFmtId="0" fontId="33" fillId="0" borderId="0" xfId="0" applyFont="1" applyAlignment="1">
      <alignment horizontal="left"/>
    </xf>
    <xf numFmtId="0" fontId="42" fillId="0" borderId="0" xfId="0" applyNumberFormat="1" applyFont="1" applyFill="1" applyBorder="1" applyAlignment="1">
      <alignment horizontal="left"/>
    </xf>
    <xf numFmtId="0" fontId="36" fillId="0" borderId="4" xfId="0" applyFont="1" applyFill="1" applyBorder="1" applyAlignment="1">
      <alignment horizontal="center"/>
    </xf>
    <xf numFmtId="0" fontId="53" fillId="0" borderId="7" xfId="0" applyFont="1" applyBorder="1"/>
    <xf numFmtId="0" fontId="53" fillId="0" borderId="8" xfId="0" applyFont="1" applyBorder="1"/>
    <xf numFmtId="0" fontId="53" fillId="0" borderId="9" xfId="0" applyFont="1" applyBorder="1"/>
    <xf numFmtId="0" fontId="47" fillId="3" borderId="0" xfId="0" applyFont="1" applyFill="1" applyBorder="1" applyAlignment="1">
      <alignment horizontal="center"/>
    </xf>
    <xf numFmtId="0" fontId="53" fillId="0" borderId="0" xfId="0" applyFont="1" applyFill="1" applyBorder="1" applyAlignment="1">
      <alignment horizontal="center"/>
    </xf>
    <xf numFmtId="0" fontId="53" fillId="0" borderId="11" xfId="0" applyFont="1" applyBorder="1" applyAlignment="1">
      <alignment horizontal="center"/>
    </xf>
    <xf numFmtId="0" fontId="53" fillId="0" borderId="0" xfId="0" applyFont="1" applyBorder="1" applyAlignment="1">
      <alignment horizontal="center"/>
    </xf>
    <xf numFmtId="164" fontId="53" fillId="0" borderId="7" xfId="1" applyNumberFormat="1" applyFont="1" applyBorder="1" applyAlignment="1">
      <alignment horizontal="center"/>
    </xf>
    <xf numFmtId="0" fontId="53" fillId="0" borderId="7" xfId="0" applyFont="1" applyBorder="1" applyAlignment="1">
      <alignment horizontal="center"/>
    </xf>
    <xf numFmtId="164" fontId="53" fillId="0" borderId="7" xfId="1" applyNumberFormat="1" applyFont="1" applyBorder="1"/>
    <xf numFmtId="164" fontId="53" fillId="0" borderId="0" xfId="1" applyNumberFormat="1" applyFont="1" applyBorder="1"/>
    <xf numFmtId="0" fontId="53" fillId="0" borderId="14" xfId="0" applyFont="1" applyBorder="1" applyAlignment="1">
      <alignment horizontal="center"/>
    </xf>
    <xf numFmtId="164" fontId="53" fillId="0" borderId="0" xfId="0" applyNumberFormat="1" applyFont="1" applyBorder="1"/>
    <xf numFmtId="167" fontId="53" fillId="0" borderId="7" xfId="0" applyNumberFormat="1" applyFont="1" applyBorder="1"/>
    <xf numFmtId="164" fontId="53" fillId="0" borderId="8" xfId="0" applyNumberFormat="1" applyFont="1" applyBorder="1"/>
    <xf numFmtId="164" fontId="56" fillId="0" borderId="14" xfId="0" applyNumberFormat="1" applyFont="1" applyBorder="1"/>
    <xf numFmtId="164" fontId="56" fillId="0" borderId="0" xfId="0" applyNumberFormat="1" applyFont="1" applyBorder="1"/>
    <xf numFmtId="164" fontId="56" fillId="0" borderId="7" xfId="1" applyNumberFormat="1" applyFont="1" applyBorder="1"/>
    <xf numFmtId="164" fontId="56" fillId="0" borderId="15" xfId="0" applyNumberFormat="1" applyFont="1" applyBorder="1"/>
    <xf numFmtId="164" fontId="56" fillId="0" borderId="9" xfId="1" applyNumberFormat="1" applyFont="1" applyBorder="1"/>
    <xf numFmtId="0" fontId="53" fillId="0" borderId="0" xfId="0" applyFont="1" applyAlignment="1">
      <alignment horizontal="center"/>
    </xf>
    <xf numFmtId="164" fontId="53" fillId="0" borderId="0" xfId="1" applyNumberFormat="1" applyFont="1"/>
    <xf numFmtId="167" fontId="53" fillId="0" borderId="0" xfId="5" applyNumberFormat="1" applyFont="1"/>
    <xf numFmtId="167" fontId="53" fillId="0" borderId="14" xfId="5" applyNumberFormat="1" applyFont="1" applyBorder="1"/>
    <xf numFmtId="167" fontId="53" fillId="0" borderId="15" xfId="5" applyNumberFormat="1" applyFont="1" applyBorder="1"/>
    <xf numFmtId="0" fontId="53" fillId="0" borderId="8" xfId="0" applyFont="1" applyFill="1" applyBorder="1"/>
    <xf numFmtId="164" fontId="53" fillId="0" borderId="0" xfId="1" applyNumberFormat="1" applyFont="1" applyFill="1" applyBorder="1"/>
    <xf numFmtId="164" fontId="53" fillId="0" borderId="7" xfId="1" applyNumberFormat="1" applyFont="1" applyFill="1" applyBorder="1"/>
    <xf numFmtId="0" fontId="34"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6" fillId="0" borderId="0" xfId="0" applyNumberFormat="1" applyFont="1" applyAlignment="1">
      <alignment horizontal="center"/>
    </xf>
    <xf numFmtId="0" fontId="0" fillId="0" borderId="0" xfId="0" applyFill="1" applyAlignment="1">
      <alignment wrapText="1"/>
    </xf>
    <xf numFmtId="0" fontId="35" fillId="0" borderId="0" xfId="0" applyFont="1" applyFill="1"/>
    <xf numFmtId="0" fontId="33"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2" fillId="0" borderId="0" xfId="1" applyNumberFormat="1"/>
    <xf numFmtId="172" fontId="32" fillId="0" borderId="0" xfId="13" applyNumberFormat="1"/>
    <xf numFmtId="3" fontId="55" fillId="0" borderId="0" xfId="0" applyNumberFormat="1" applyFont="1"/>
    <xf numFmtId="0" fontId="0" fillId="0" borderId="0" xfId="0" applyFill="1" applyAlignment="1">
      <alignment horizontal="left"/>
    </xf>
    <xf numFmtId="0" fontId="0" fillId="0" borderId="0" xfId="0" applyFill="1" applyAlignment="1"/>
    <xf numFmtId="0" fontId="61" fillId="0" borderId="0" xfId="0" applyFont="1" applyFill="1" applyBorder="1"/>
    <xf numFmtId="0" fontId="34" fillId="0" borderId="3" xfId="0" applyFont="1" applyFill="1" applyBorder="1"/>
    <xf numFmtId="0" fontId="0" fillId="0" borderId="0" xfId="0" applyBorder="1" applyAlignment="1">
      <alignment horizontal="center"/>
    </xf>
    <xf numFmtId="0" fontId="53" fillId="0" borderId="10" xfId="0" applyFont="1" applyFill="1" applyBorder="1"/>
    <xf numFmtId="0" fontId="41" fillId="0" borderId="0" xfId="0" applyFont="1" applyFill="1" applyBorder="1" applyAlignment="1"/>
    <xf numFmtId="0" fontId="36" fillId="0" borderId="0" xfId="0" applyFont="1" applyFill="1" applyAlignment="1">
      <alignment wrapText="1"/>
    </xf>
    <xf numFmtId="3" fontId="34" fillId="0" borderId="3" xfId="0" applyNumberFormat="1" applyFont="1" applyFill="1" applyBorder="1" applyAlignment="1"/>
    <xf numFmtId="0" fontId="68" fillId="0" borderId="0" xfId="0" applyFont="1" applyBorder="1"/>
    <xf numFmtId="164" fontId="56" fillId="0" borderId="8" xfId="0" applyNumberFormat="1" applyFont="1" applyBorder="1"/>
    <xf numFmtId="164" fontId="56" fillId="0" borderId="24" xfId="0" applyNumberFormat="1" applyFont="1" applyBorder="1"/>
    <xf numFmtId="0" fontId="70" fillId="0" borderId="0" xfId="0" applyFont="1" applyFill="1" applyBorder="1" applyAlignment="1">
      <alignment horizontal="left"/>
    </xf>
    <xf numFmtId="0" fontId="34" fillId="0" borderId="2" xfId="0" applyNumberFormat="1" applyFont="1" applyFill="1" applyBorder="1" applyAlignment="1">
      <alignment horizontal="left"/>
    </xf>
    <xf numFmtId="0" fontId="34" fillId="0" borderId="0" xfId="0" applyNumberFormat="1" applyFont="1" applyFill="1" applyAlignment="1">
      <alignment horizontal="left"/>
    </xf>
    <xf numFmtId="0" fontId="71" fillId="0" borderId="0" xfId="0" applyNumberFormat="1" applyFont="1" applyFill="1" applyAlignment="1">
      <alignment horizontal="left"/>
    </xf>
    <xf numFmtId="0" fontId="34" fillId="0" borderId="2" xfId="0" applyFont="1" applyFill="1" applyBorder="1"/>
    <xf numFmtId="0" fontId="34" fillId="0" borderId="0" xfId="0" applyNumberFormat="1" applyFont="1" applyFill="1" applyAlignment="1">
      <alignment horizontal="right"/>
    </xf>
    <xf numFmtId="0" fontId="34" fillId="0" borderId="3" xfId="0" applyNumberFormat="1" applyFont="1" applyBorder="1" applyAlignment="1">
      <alignment horizontal="left"/>
    </xf>
    <xf numFmtId="0" fontId="47" fillId="3" borderId="0" xfId="0" applyFont="1" applyFill="1" applyAlignment="1"/>
    <xf numFmtId="0" fontId="34" fillId="3" borderId="0" xfId="0" applyNumberFormat="1" applyFont="1" applyFill="1" applyAlignment="1">
      <alignment horizontal="left"/>
    </xf>
    <xf numFmtId="0" fontId="72" fillId="0" borderId="8" xfId="0" applyFont="1" applyFill="1" applyBorder="1"/>
    <xf numFmtId="37" fontId="34" fillId="0" borderId="0" xfId="0" applyNumberFormat="1" applyFont="1" applyBorder="1" applyAlignment="1">
      <alignment horizontal="right"/>
    </xf>
    <xf numFmtId="3" fontId="39" fillId="0" borderId="0" xfId="0" applyNumberFormat="1" applyFont="1" applyFill="1" applyBorder="1" applyAlignment="1">
      <alignment horizontal="right"/>
    </xf>
    <xf numFmtId="4" fontId="39" fillId="0" borderId="0" xfId="0" applyNumberFormat="1" applyFont="1" applyFill="1" applyAlignment="1">
      <alignment horizontal="right"/>
    </xf>
    <xf numFmtId="3" fontId="39" fillId="0" borderId="0" xfId="0" applyNumberFormat="1" applyFont="1" applyFill="1" applyAlignment="1">
      <alignment horizontal="right"/>
    </xf>
    <xf numFmtId="0" fontId="34" fillId="0" borderId="3" xfId="0" applyFont="1" applyFill="1" applyBorder="1" applyAlignment="1">
      <alignment horizontal="center"/>
    </xf>
    <xf numFmtId="0" fontId="45" fillId="0" borderId="5" xfId="0" applyNumberFormat="1" applyFont="1" applyFill="1" applyBorder="1" applyAlignment="1"/>
    <xf numFmtId="0" fontId="45" fillId="0" borderId="0" xfId="0" applyNumberFormat="1" applyFont="1" applyFill="1" applyBorder="1" applyAlignment="1"/>
    <xf numFmtId="0" fontId="36" fillId="0" borderId="4" xfId="0" applyFont="1" applyFill="1" applyBorder="1"/>
    <xf numFmtId="0" fontId="36" fillId="0" borderId="2" xfId="0" applyNumberFormat="1" applyFont="1" applyFill="1" applyBorder="1" applyAlignment="1">
      <alignment horizontal="left"/>
    </xf>
    <xf numFmtId="0" fontId="34" fillId="0" borderId="3" xfId="0" applyFont="1" applyBorder="1" applyAlignment="1">
      <alignment horizontal="left"/>
    </xf>
    <xf numFmtId="164" fontId="36" fillId="0" borderId="0" xfId="1" applyNumberFormat="1" applyFont="1" applyFill="1" applyBorder="1"/>
    <xf numFmtId="0" fontId="53" fillId="0" borderId="14" xfId="0" applyFont="1" applyBorder="1"/>
    <xf numFmtId="0" fontId="53" fillId="0" borderId="14" xfId="0" applyFont="1" applyFill="1" applyBorder="1" applyAlignment="1">
      <alignment horizontal="center"/>
    </xf>
    <xf numFmtId="0" fontId="53" fillId="0" borderId="15" xfId="0" applyFont="1" applyBorder="1"/>
    <xf numFmtId="0" fontId="73" fillId="0" borderId="0" xfId="0" applyNumberFormat="1" applyFont="1" applyFill="1" applyBorder="1" applyAlignment="1">
      <alignment horizontal="center"/>
    </xf>
    <xf numFmtId="0" fontId="79" fillId="0" borderId="0" xfId="0" applyFont="1" applyFill="1" applyAlignment="1"/>
    <xf numFmtId="0" fontId="79" fillId="0" borderId="0" xfId="0" applyFont="1"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Alignment="1">
      <alignment horizontal="left"/>
    </xf>
    <xf numFmtId="0" fontId="79" fillId="0" borderId="0" xfId="0" applyFont="1" applyAlignment="1"/>
    <xf numFmtId="0" fontId="79" fillId="0" borderId="0" xfId="0" applyFont="1" applyAlignment="1">
      <alignment horizontal="center"/>
    </xf>
    <xf numFmtId="0" fontId="79" fillId="0" borderId="0" xfId="0" applyFont="1"/>
    <xf numFmtId="37" fontId="45" fillId="0" borderId="0" xfId="0" applyNumberFormat="1" applyFont="1" applyFill="1" applyBorder="1" applyAlignment="1">
      <alignment horizontal="right"/>
    </xf>
    <xf numFmtId="0" fontId="57" fillId="0" borderId="0" xfId="0" applyFont="1" applyFill="1" applyBorder="1" applyAlignment="1">
      <alignment horizontal="center"/>
    </xf>
    <xf numFmtId="0" fontId="53" fillId="0" borderId="24" xfId="0" applyFont="1" applyFill="1" applyBorder="1"/>
    <xf numFmtId="167" fontId="53" fillId="0" borderId="8" xfId="0" applyNumberFormat="1" applyFont="1" applyBorder="1"/>
    <xf numFmtId="167" fontId="53" fillId="0" borderId="24" xfId="0" applyNumberFormat="1" applyFont="1" applyBorder="1"/>
    <xf numFmtId="0" fontId="48" fillId="0" borderId="4" xfId="0" applyFont="1" applyBorder="1" applyAlignment="1"/>
    <xf numFmtId="0" fontId="36" fillId="0" borderId="0" xfId="0" applyNumberFormat="1" applyFont="1" applyFill="1" applyBorder="1" applyAlignment="1">
      <alignment horizontal="left"/>
    </xf>
    <xf numFmtId="0" fontId="34" fillId="0" borderId="0" xfId="0" applyFont="1" applyAlignment="1">
      <alignment horizontal="left"/>
    </xf>
    <xf numFmtId="0" fontId="68" fillId="0" borderId="0" xfId="0" applyFont="1" applyFill="1" applyBorder="1"/>
    <xf numFmtId="0" fontId="69" fillId="0" borderId="0" xfId="0" applyFont="1" applyFill="1" applyBorder="1" applyAlignment="1">
      <alignment horizontal="left"/>
    </xf>
    <xf numFmtId="172" fontId="53" fillId="0" borderId="8" xfId="0" applyNumberFormat="1" applyFont="1" applyBorder="1"/>
    <xf numFmtId="0" fontId="34" fillId="0" borderId="0" xfId="0" applyFont="1" applyFill="1" applyAlignment="1"/>
    <xf numFmtId="0" fontId="40" fillId="0" borderId="0" xfId="0" applyFont="1" applyBorder="1" applyAlignment="1">
      <alignment horizontal="center"/>
    </xf>
    <xf numFmtId="37" fontId="36" fillId="0" borderId="0" xfId="0" applyNumberFormat="1" applyFont="1" applyBorder="1" applyAlignment="1">
      <alignment horizontal="left"/>
    </xf>
    <xf numFmtId="0" fontId="40" fillId="0" borderId="0" xfId="0" applyFont="1" applyFill="1" applyBorder="1" applyAlignment="1">
      <alignment horizontal="center"/>
    </xf>
    <xf numFmtId="0" fontId="42" fillId="0" borderId="0" xfId="0" applyNumberFormat="1" applyFont="1" applyFill="1" applyBorder="1" applyAlignment="1"/>
    <xf numFmtId="0" fontId="36" fillId="0" borderId="7" xfId="0" applyFont="1" applyBorder="1"/>
    <xf numFmtId="0" fontId="36" fillId="0" borderId="8" xfId="0" applyNumberFormat="1" applyFont="1" applyFill="1" applyBorder="1" applyAlignment="1">
      <alignment horizontal="center"/>
    </xf>
    <xf numFmtId="0" fontId="39" fillId="0" borderId="0" xfId="0" applyNumberFormat="1" applyFont="1" applyFill="1" applyBorder="1" applyAlignment="1">
      <alignment horizontal="center"/>
    </xf>
    <xf numFmtId="0" fontId="36" fillId="0" borderId="8" xfId="0" applyFont="1" applyFill="1" applyBorder="1" applyAlignment="1">
      <alignment horizontal="center"/>
    </xf>
    <xf numFmtId="3" fontId="39" fillId="0" borderId="0" xfId="0" applyNumberFormat="1" applyFont="1" applyFill="1" applyBorder="1" applyAlignment="1">
      <alignment horizontal="center"/>
    </xf>
    <xf numFmtId="0" fontId="36" fillId="0" borderId="7" xfId="0" applyFont="1" applyBorder="1" applyAlignment="1"/>
    <xf numFmtId="0" fontId="36" fillId="0" borderId="0" xfId="0" applyNumberFormat="1" applyFont="1" applyFill="1" applyBorder="1" applyAlignment="1">
      <alignment horizontal="right"/>
    </xf>
    <xf numFmtId="0" fontId="39" fillId="0" borderId="0" xfId="0" applyNumberFormat="1" applyFont="1" applyBorder="1" applyAlignment="1">
      <alignment horizontal="center"/>
    </xf>
    <xf numFmtId="0" fontId="36" fillId="0" borderId="7" xfId="0" applyNumberFormat="1" applyFont="1" applyBorder="1" applyAlignment="1"/>
    <xf numFmtId="0" fontId="36" fillId="0" borderId="24" xfId="0" applyNumberFormat="1" applyFont="1" applyFill="1" applyBorder="1" applyAlignment="1">
      <alignment horizontal="center"/>
    </xf>
    <xf numFmtId="0" fontId="39" fillId="0" borderId="1" xfId="0" applyNumberFormat="1" applyFont="1" applyFill="1" applyBorder="1" applyAlignment="1">
      <alignment horizontal="center"/>
    </xf>
    <xf numFmtId="0" fontId="36" fillId="0" borderId="9" xfId="0" applyNumberFormat="1" applyFont="1" applyFill="1" applyBorder="1" applyAlignment="1"/>
    <xf numFmtId="0" fontId="36" fillId="0" borderId="7" xfId="0" applyNumberFormat="1" applyFont="1" applyFill="1" applyBorder="1" applyAlignment="1">
      <alignment horizontal="left"/>
    </xf>
    <xf numFmtId="3" fontId="36" fillId="0" borderId="0" xfId="0" applyNumberFormat="1" applyFont="1" applyFill="1" applyBorder="1" applyAlignment="1"/>
    <xf numFmtId="3" fontId="39" fillId="0" borderId="0" xfId="0" applyNumberFormat="1" applyFont="1" applyBorder="1" applyAlignment="1">
      <alignment horizontal="center"/>
    </xf>
    <xf numFmtId="0" fontId="36" fillId="0" borderId="9" xfId="0" applyNumberFormat="1" applyFont="1" applyFill="1" applyBorder="1" applyAlignment="1">
      <alignment horizontal="left"/>
    </xf>
    <xf numFmtId="3" fontId="36" fillId="0" borderId="0" xfId="0" applyNumberFormat="1" applyFont="1" applyFill="1" applyBorder="1" applyAlignment="1">
      <alignment horizontal="center"/>
    </xf>
    <xf numFmtId="0" fontId="36" fillId="0" borderId="1" xfId="0" applyNumberFormat="1" applyFont="1" applyFill="1" applyBorder="1" applyAlignment="1">
      <alignment horizontal="center"/>
    </xf>
    <xf numFmtId="0" fontId="36" fillId="0" borderId="1" xfId="0" applyFont="1" applyBorder="1"/>
    <xf numFmtId="3" fontId="36" fillId="0" borderId="8" xfId="0" applyNumberFormat="1" applyFont="1" applyFill="1" applyBorder="1" applyAlignment="1">
      <alignment horizontal="right"/>
    </xf>
    <xf numFmtId="0" fontId="36" fillId="0" borderId="0" xfId="0" applyNumberFormat="1" applyFont="1" applyFill="1" applyBorder="1" applyAlignment="1"/>
    <xf numFmtId="0" fontId="36" fillId="0" borderId="1" xfId="0" applyFont="1" applyFill="1" applyBorder="1"/>
    <xf numFmtId="0" fontId="33" fillId="0" borderId="0" xfId="0" applyFont="1" applyBorder="1" applyAlignment="1">
      <alignment horizontal="center"/>
    </xf>
    <xf numFmtId="3" fontId="36" fillId="0" borderId="0" xfId="0" applyNumberFormat="1" applyFont="1" applyBorder="1" applyAlignment="1">
      <alignment horizontal="center"/>
    </xf>
    <xf numFmtId="0" fontId="36" fillId="0" borderId="9" xfId="0" applyNumberFormat="1" applyFont="1" applyFill="1" applyBorder="1" applyAlignment="1">
      <alignment horizontal="center"/>
    </xf>
    <xf numFmtId="3" fontId="36" fillId="0" borderId="0" xfId="0" applyNumberFormat="1" applyFont="1" applyFill="1" applyAlignment="1"/>
    <xf numFmtId="0" fontId="36" fillId="0" borderId="8" xfId="0" applyFont="1" applyBorder="1"/>
    <xf numFmtId="3" fontId="36" fillId="0" borderId="8" xfId="0" applyNumberFormat="1" applyFont="1" applyBorder="1" applyAlignment="1">
      <alignment horizontal="center"/>
    </xf>
    <xf numFmtId="3" fontId="36" fillId="0" borderId="24" xfId="0" applyNumberFormat="1" applyFont="1" applyBorder="1" applyAlignment="1">
      <alignment horizontal="center"/>
    </xf>
    <xf numFmtId="3" fontId="36" fillId="0" borderId="1" xfId="0" applyNumberFormat="1" applyFont="1" applyFill="1" applyBorder="1" applyAlignment="1">
      <alignment horizontal="center"/>
    </xf>
    <xf numFmtId="3" fontId="36" fillId="0" borderId="1" xfId="0" applyNumberFormat="1" applyFont="1" applyBorder="1" applyAlignment="1">
      <alignment horizontal="center"/>
    </xf>
    <xf numFmtId="0" fontId="36" fillId="0" borderId="24" xfId="0" applyFont="1" applyBorder="1"/>
    <xf numFmtId="0" fontId="36" fillId="0" borderId="9" xfId="0" applyFont="1" applyBorder="1"/>
    <xf numFmtId="0" fontId="36" fillId="0" borderId="7" xfId="0" applyFont="1" applyFill="1" applyBorder="1"/>
    <xf numFmtId="0" fontId="36" fillId="0" borderId="1" xfId="0" applyFont="1" applyBorder="1" applyAlignment="1">
      <alignment horizontal="center"/>
    </xf>
    <xf numFmtId="0" fontId="41" fillId="0" borderId="24" xfId="0" applyFont="1" applyFill="1" applyBorder="1" applyAlignment="1">
      <alignment horizontal="left"/>
    </xf>
    <xf numFmtId="0" fontId="36" fillId="0" borderId="1" xfId="0" applyFont="1" applyFill="1" applyBorder="1" applyAlignment="1">
      <alignment horizontal="center"/>
    </xf>
    <xf numFmtId="0" fontId="36" fillId="0" borderId="1" xfId="0" applyFont="1" applyFill="1" applyBorder="1" applyAlignment="1">
      <alignment horizontal="left"/>
    </xf>
    <xf numFmtId="0" fontId="36" fillId="0" borderId="9" xfId="0" applyFont="1" applyFill="1" applyBorder="1" applyAlignment="1">
      <alignment horizontal="center"/>
    </xf>
    <xf numFmtId="0" fontId="42" fillId="0" borderId="8" xfId="0" applyFont="1" applyBorder="1" applyAlignment="1">
      <alignment horizontal="center"/>
    </xf>
    <xf numFmtId="0" fontId="36" fillId="0" borderId="0" xfId="0" applyFont="1" applyFill="1" applyBorder="1" applyAlignment="1">
      <alignment horizontal="right"/>
    </xf>
    <xf numFmtId="0" fontId="40" fillId="0" borderId="0" xfId="0" applyFont="1" applyBorder="1"/>
    <xf numFmtId="0" fontId="40" fillId="0" borderId="1" xfId="0" applyFont="1" applyFill="1" applyBorder="1"/>
    <xf numFmtId="0" fontId="36"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2" fillId="0" borderId="16" xfId="0" applyFont="1" applyFill="1" applyBorder="1"/>
    <xf numFmtId="0" fontId="48" fillId="0" borderId="0" xfId="0" applyFont="1" applyFill="1" applyAlignment="1">
      <alignment horizontal="left"/>
    </xf>
    <xf numFmtId="0" fontId="48" fillId="0" borderId="0" xfId="0" applyFont="1" applyFill="1"/>
    <xf numFmtId="0" fontId="48" fillId="0" borderId="0" xfId="0" applyFont="1" applyFill="1" applyAlignment="1"/>
    <xf numFmtId="0" fontId="44" fillId="0" borderId="0" xfId="8"/>
    <xf numFmtId="0" fontId="44" fillId="0" borderId="0" xfId="8" applyAlignment="1">
      <alignment horizontal="center"/>
    </xf>
    <xf numFmtId="0" fontId="65" fillId="0" borderId="0" xfId="8" applyFont="1"/>
    <xf numFmtId="0" fontId="58" fillId="0" borderId="0" xfId="8" applyFont="1" applyAlignment="1">
      <alignment horizontal="center"/>
    </xf>
    <xf numFmtId="0" fontId="58" fillId="0" borderId="0" xfId="8" applyFont="1"/>
    <xf numFmtId="0" fontId="59" fillId="0" borderId="0" xfId="8" applyFont="1"/>
    <xf numFmtId="0" fontId="58" fillId="0" borderId="0" xfId="8" applyFont="1" applyFill="1" applyAlignment="1">
      <alignment horizontal="center"/>
    </xf>
    <xf numFmtId="0" fontId="58" fillId="0" borderId="0" xfId="8" applyFont="1" applyAlignment="1">
      <alignment horizontal="left"/>
    </xf>
    <xf numFmtId="16" fontId="58" fillId="0" borderId="0" xfId="8" applyNumberFormat="1" applyFont="1" applyAlignment="1">
      <alignment horizontal="center"/>
    </xf>
    <xf numFmtId="0" fontId="44" fillId="0" borderId="0" xfId="8" applyAlignment="1"/>
    <xf numFmtId="164" fontId="58" fillId="0" borderId="0" xfId="2" applyNumberFormat="1" applyFont="1"/>
    <xf numFmtId="0" fontId="66" fillId="0" borderId="0" xfId="8" applyFont="1" applyFill="1" applyAlignment="1">
      <alignment horizontal="left"/>
    </xf>
    <xf numFmtId="164" fontId="58" fillId="0" borderId="0" xfId="8" applyNumberFormat="1" applyFont="1"/>
    <xf numFmtId="43" fontId="58" fillId="0" borderId="0" xfId="8" applyNumberFormat="1" applyFont="1"/>
    <xf numFmtId="167" fontId="58" fillId="0" borderId="0" xfId="8" applyNumberFormat="1" applyFont="1"/>
    <xf numFmtId="167" fontId="58" fillId="0" borderId="0" xfId="6" applyNumberFormat="1" applyFont="1"/>
    <xf numFmtId="0" fontId="58" fillId="0" borderId="0" xfId="8" applyFont="1" applyBorder="1" applyAlignment="1">
      <alignment horizontal="center"/>
    </xf>
    <xf numFmtId="0" fontId="58" fillId="0" borderId="0" xfId="8" applyFont="1" applyBorder="1"/>
    <xf numFmtId="0" fontId="67" fillId="0" borderId="0" xfId="8" applyFont="1" applyBorder="1"/>
    <xf numFmtId="167" fontId="58" fillId="0" borderId="0" xfId="6" applyNumberFormat="1" applyFont="1" applyFill="1" applyAlignment="1">
      <alignment horizontal="left"/>
    </xf>
    <xf numFmtId="167" fontId="58" fillId="0" borderId="0" xfId="6" applyNumberFormat="1" applyFont="1" applyAlignment="1">
      <alignment horizontal="left"/>
    </xf>
    <xf numFmtId="0" fontId="58" fillId="0" borderId="0" xfId="8" applyFont="1" applyFill="1"/>
    <xf numFmtId="0" fontId="58" fillId="0" borderId="0" xfId="6" applyNumberFormat="1" applyFont="1" applyFill="1" applyAlignment="1">
      <alignment horizontal="left"/>
    </xf>
    <xf numFmtId="164" fontId="58" fillId="0" borderId="0" xfId="8" applyNumberFormat="1" applyFont="1" applyFill="1"/>
    <xf numFmtId="0" fontId="58" fillId="0" borderId="0" xfId="8" applyFont="1" applyFill="1" applyAlignment="1">
      <alignment horizontal="left"/>
    </xf>
    <xf numFmtId="0" fontId="49" fillId="0" borderId="0" xfId="8" applyFont="1" applyAlignment="1">
      <alignment horizontal="center"/>
    </xf>
    <xf numFmtId="0" fontId="49" fillId="0" borderId="0" xfId="8" applyFont="1"/>
    <xf numFmtId="0" fontId="44" fillId="0" borderId="0" xfId="8" applyFill="1" applyBorder="1" applyAlignment="1">
      <alignment horizontal="center"/>
    </xf>
    <xf numFmtId="0" fontId="44" fillId="0" borderId="0" xfId="8" applyFill="1" applyBorder="1"/>
    <xf numFmtId="0" fontId="36" fillId="0" borderId="0" xfId="0" applyNumberFormat="1" applyFont="1" applyFill="1" applyAlignment="1"/>
    <xf numFmtId="3" fontId="36" fillId="0" borderId="7" xfId="0" applyNumberFormat="1" applyFont="1" applyFill="1" applyBorder="1" applyAlignment="1">
      <alignment vertical="center" wrapText="1"/>
    </xf>
    <xf numFmtId="0" fontId="86" fillId="0" borderId="0" xfId="0" applyNumberFormat="1" applyFont="1" applyFill="1" applyBorder="1" applyAlignment="1">
      <alignment horizontal="left"/>
    </xf>
    <xf numFmtId="0" fontId="48" fillId="0" borderId="0" xfId="0" applyNumberFormat="1" applyFont="1" applyFill="1"/>
    <xf numFmtId="0" fontId="36" fillId="0" borderId="2" xfId="0" applyNumberFormat="1" applyFont="1" applyFill="1" applyBorder="1" applyAlignment="1"/>
    <xf numFmtId="164" fontId="53" fillId="0" borderId="7" xfId="0" applyNumberFormat="1" applyFont="1" applyBorder="1"/>
    <xf numFmtId="0" fontId="53" fillId="0" borderId="7" xfId="0" applyFont="1" applyFill="1" applyBorder="1" applyAlignment="1">
      <alignment horizontal="left" wrapText="1"/>
    </xf>
    <xf numFmtId="10" fontId="53" fillId="0" borderId="7" xfId="13" applyNumberFormat="1" applyFont="1" applyFill="1" applyBorder="1" applyAlignment="1">
      <alignment horizontal="center"/>
    </xf>
    <xf numFmtId="0" fontId="53" fillId="0" borderId="7" xfId="0" applyFont="1" applyFill="1" applyBorder="1" applyAlignment="1">
      <alignment wrapText="1"/>
    </xf>
    <xf numFmtId="172" fontId="34" fillId="0" borderId="0" xfId="13" applyNumberFormat="1" applyFont="1" applyFill="1" applyAlignment="1"/>
    <xf numFmtId="0" fontId="36" fillId="0" borderId="0" xfId="0" applyFont="1" applyFill="1" applyBorder="1" applyAlignment="1">
      <alignment wrapText="1"/>
    </xf>
    <xf numFmtId="0" fontId="36" fillId="0" borderId="7" xfId="0" applyFont="1" applyFill="1" applyBorder="1" applyAlignment="1">
      <alignment wrapText="1"/>
    </xf>
    <xf numFmtId="164" fontId="0" fillId="0" borderId="0" xfId="1" applyNumberFormat="1" applyFont="1"/>
    <xf numFmtId="0" fontId="32" fillId="0" borderId="0" xfId="0" applyFont="1"/>
    <xf numFmtId="0" fontId="32"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91" fillId="0" borderId="0" xfId="0" applyNumberFormat="1" applyFont="1" applyAlignment="1">
      <alignment horizontal="right"/>
    </xf>
    <xf numFmtId="0" fontId="76" fillId="0" borderId="0" xfId="37"/>
    <xf numFmtId="167" fontId="89" fillId="0" borderId="0" xfId="6" applyNumberFormat="1" applyFont="1" applyFill="1" applyAlignment="1">
      <alignment horizontal="left"/>
    </xf>
    <xf numFmtId="164" fontId="32" fillId="0" borderId="0" xfId="1" applyNumberFormat="1" applyFont="1" applyFill="1"/>
    <xf numFmtId="0" fontId="0" fillId="0" borderId="0" xfId="0" applyAlignment="1">
      <alignment vertical="center"/>
    </xf>
    <xf numFmtId="0" fontId="36" fillId="0" borderId="0" xfId="0" applyNumberFormat="1" applyFont="1" applyFill="1" applyBorder="1" applyAlignment="1">
      <alignment horizontal="left"/>
    </xf>
    <xf numFmtId="0" fontId="32" fillId="0" borderId="36" xfId="0" applyFont="1" applyFill="1" applyBorder="1" applyAlignment="1">
      <alignment horizontal="center"/>
    </xf>
    <xf numFmtId="0" fontId="32" fillId="0" borderId="36" xfId="0" applyFont="1" applyFill="1" applyBorder="1"/>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32" fillId="0" borderId="0" xfId="26"/>
    <xf numFmtId="0" fontId="94" fillId="0" borderId="0" xfId="29" applyFont="1"/>
    <xf numFmtId="0" fontId="75" fillId="0" borderId="0" xfId="0" applyFont="1" applyFill="1"/>
    <xf numFmtId="3" fontId="32" fillId="0" borderId="0" xfId="0" applyNumberFormat="1" applyFont="1"/>
    <xf numFmtId="0" fontId="95" fillId="10" borderId="38" xfId="37" applyFont="1" applyFill="1" applyBorder="1" applyAlignment="1" applyProtection="1">
      <alignment horizontal="center" vertical="center"/>
    </xf>
    <xf numFmtId="0" fontId="36" fillId="0" borderId="0" xfId="0" applyFont="1"/>
    <xf numFmtId="0" fontId="36" fillId="7" borderId="0" xfId="0" applyNumberFormat="1" applyFont="1" applyFill="1" applyAlignment="1">
      <alignment horizontal="center"/>
    </xf>
    <xf numFmtId="164" fontId="32" fillId="0" borderId="0" xfId="1" applyNumberFormat="1" applyFont="1" applyFill="1" applyAlignment="1">
      <alignment vertical="top"/>
    </xf>
    <xf numFmtId="0" fontId="36" fillId="0" borderId="0" xfId="0" applyFont="1"/>
    <xf numFmtId="10" fontId="34" fillId="0" borderId="0" xfId="13" applyNumberFormat="1" applyFont="1" applyAlignment="1"/>
    <xf numFmtId="172" fontId="53" fillId="0" borderId="0" xfId="0" applyNumberFormat="1" applyFont="1" applyBorder="1"/>
    <xf numFmtId="0" fontId="36" fillId="0" borderId="0" xfId="0" applyFont="1"/>
    <xf numFmtId="0" fontId="32" fillId="0" borderId="0" xfId="26" applyFont="1"/>
    <xf numFmtId="0" fontId="32" fillId="0" borderId="41" xfId="26" applyFont="1" applyBorder="1" applyAlignment="1">
      <alignment horizontal="center" wrapText="1"/>
    </xf>
    <xf numFmtId="0" fontId="96" fillId="0" borderId="0" xfId="26" applyFont="1"/>
    <xf numFmtId="0" fontId="89" fillId="0" borderId="0" xfId="8" applyFont="1" applyAlignment="1">
      <alignment horizontal="center"/>
    </xf>
    <xf numFmtId="0" fontId="45" fillId="0" borderId="0" xfId="0" applyFont="1" applyAlignment="1">
      <alignment horizontal="centerContinuous"/>
    </xf>
    <xf numFmtId="0" fontId="48" fillId="0" borderId="0" xfId="0" applyFont="1" applyFill="1" applyBorder="1" applyAlignment="1"/>
    <xf numFmtId="0" fontId="104" fillId="0" borderId="0" xfId="0" applyFont="1" applyFill="1" applyBorder="1" applyAlignment="1"/>
    <xf numFmtId="0" fontId="58" fillId="0" borderId="0" xfId="45" applyFont="1"/>
    <xf numFmtId="0" fontId="53" fillId="0" borderId="0" xfId="0" applyFont="1" applyFill="1" applyBorder="1" applyAlignment="1">
      <alignment horizontal="left" wrapText="1"/>
    </xf>
    <xf numFmtId="0" fontId="55" fillId="0" borderId="0" xfId="0" applyFont="1" applyFill="1"/>
    <xf numFmtId="0" fontId="55" fillId="0" borderId="0" xfId="0" applyFont="1" applyFill="1" applyAlignment="1">
      <alignment horizontal="center"/>
    </xf>
    <xf numFmtId="0" fontId="64" fillId="0" borderId="0" xfId="0" applyFont="1" applyFill="1" applyAlignment="1">
      <alignment horizontal="centerContinuous"/>
    </xf>
    <xf numFmtId="0" fontId="59" fillId="0" borderId="0" xfId="8" applyFont="1" applyFill="1"/>
    <xf numFmtId="0" fontId="44" fillId="0" borderId="0" xfId="8" applyFill="1"/>
    <xf numFmtId="16" fontId="58" fillId="0" borderId="0" xfId="8" applyNumberFormat="1" applyFont="1" applyFill="1" applyAlignment="1">
      <alignment horizontal="center"/>
    </xf>
    <xf numFmtId="0" fontId="45" fillId="0" borderId="0" xfId="8" applyFont="1" applyAlignment="1">
      <alignment horizontal="centerContinuous"/>
    </xf>
    <xf numFmtId="0" fontId="44" fillId="0" borderId="0" xfId="8" applyAlignment="1">
      <alignment horizontal="centerContinuous"/>
    </xf>
    <xf numFmtId="0" fontId="84" fillId="0" borderId="0" xfId="8" applyFont="1" applyAlignment="1">
      <alignment horizontal="centerContinuous"/>
    </xf>
    <xf numFmtId="0" fontId="85" fillId="0" borderId="0" xfId="8" applyFont="1" applyAlignment="1">
      <alignment horizontal="centerContinuous"/>
    </xf>
    <xf numFmtId="0" fontId="34" fillId="0" borderId="0" xfId="26" applyFont="1" applyAlignment="1">
      <alignment horizontal="centerContinuous"/>
    </xf>
    <xf numFmtId="0" fontId="92" fillId="0" borderId="0" xfId="26" applyFont="1" applyAlignment="1">
      <alignment horizontal="centerContinuous"/>
    </xf>
    <xf numFmtId="172" fontId="34" fillId="0" borderId="3" xfId="13" applyNumberFormat="1" applyFont="1" applyFill="1" applyBorder="1" applyAlignment="1"/>
    <xf numFmtId="3" fontId="36" fillId="0" borderId="2" xfId="0" applyNumberFormat="1" applyFont="1" applyFill="1" applyBorder="1" applyAlignment="1"/>
    <xf numFmtId="3" fontId="36" fillId="0" borderId="0" xfId="0" applyNumberFormat="1" applyFont="1" applyFill="1" applyAlignment="1">
      <alignment horizontal="center"/>
    </xf>
    <xf numFmtId="172" fontId="36" fillId="0" borderId="0" xfId="0" applyNumberFormat="1" applyFont="1" applyFill="1" applyAlignment="1">
      <alignment horizontal="right"/>
    </xf>
    <xf numFmtId="10" fontId="36" fillId="0" borderId="0" xfId="0" applyNumberFormat="1" applyFont="1" applyFill="1" applyAlignment="1"/>
    <xf numFmtId="0" fontId="48" fillId="0" borderId="0" xfId="0" applyNumberFormat="1" applyFont="1" applyFill="1" applyAlignment="1">
      <alignment horizontal="left"/>
    </xf>
    <xf numFmtId="0" fontId="48" fillId="0" borderId="0" xfId="0" applyNumberFormat="1" applyFont="1" applyFill="1" applyBorder="1" applyAlignment="1">
      <alignment horizontal="center"/>
    </xf>
    <xf numFmtId="0" fontId="48" fillId="0" borderId="0" xfId="0" applyNumberFormat="1" applyFont="1" applyFill="1" applyAlignment="1">
      <alignment horizontal="center"/>
    </xf>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6" fillId="0" borderId="0" xfId="0" applyFont="1" applyFill="1" applyBorder="1" applyAlignment="1">
      <alignment horizontal="left" wrapText="1"/>
    </xf>
    <xf numFmtId="0" fontId="36" fillId="0" borderId="7" xfId="0" applyFont="1" applyFill="1" applyBorder="1" applyAlignment="1">
      <alignment horizontal="left" wrapText="1"/>
    </xf>
    <xf numFmtId="0" fontId="36" fillId="0" borderId="0" xfId="0" applyFont="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Font="1" applyBorder="1"/>
    <xf numFmtId="3" fontId="36" fillId="0" borderId="0" xfId="37" applyNumberFormat="1" applyFont="1" applyFill="1" applyBorder="1" applyAlignment="1"/>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3" fontId="36" fillId="0" borderId="4" xfId="37" applyNumberFormat="1" applyFont="1" applyFill="1" applyBorder="1" applyAlignment="1"/>
    <xf numFmtId="0" fontId="107" fillId="0" borderId="0" xfId="37" applyNumberFormat="1" applyFont="1" applyFill="1" applyBorder="1" applyAlignment="1">
      <alignment horizontal="center"/>
    </xf>
    <xf numFmtId="164" fontId="32" fillId="0" borderId="0" xfId="48" applyNumberFormat="1" applyFont="1" applyFill="1" applyBorder="1" applyAlignment="1">
      <alignment horizontal="right"/>
    </xf>
    <xf numFmtId="0" fontId="45" fillId="0" borderId="0" xfId="0" applyFont="1" applyFill="1" applyBorder="1" applyAlignment="1"/>
    <xf numFmtId="0" fontId="32" fillId="0" borderId="0" xfId="45" applyAlignment="1">
      <alignment horizontal="center"/>
    </xf>
    <xf numFmtId="0" fontId="58" fillId="0" borderId="0" xfId="45" applyFont="1" applyAlignment="1">
      <alignment horizontal="center"/>
    </xf>
    <xf numFmtId="0" fontId="58" fillId="0" borderId="0" xfId="45" applyFont="1" applyFill="1"/>
    <xf numFmtId="164" fontId="58" fillId="0" borderId="0" xfId="45" applyNumberFormat="1" applyFont="1" applyFill="1"/>
    <xf numFmtId="0" fontId="59" fillId="0" borderId="0" xfId="45" applyFont="1"/>
    <xf numFmtId="0" fontId="32" fillId="0" borderId="0" xfId="45"/>
    <xf numFmtId="0" fontId="32" fillId="0" borderId="0" xfId="45" applyFont="1"/>
    <xf numFmtId="171" fontId="45" fillId="0" borderId="0" xfId="13" applyNumberFormat="1" applyFont="1" applyFill="1" applyBorder="1" applyAlignment="1">
      <alignment horizontal="right"/>
    </xf>
    <xf numFmtId="3" fontId="36" fillId="11" borderId="0" xfId="0" applyNumberFormat="1" applyFont="1" applyFill="1" applyBorder="1" applyAlignment="1">
      <alignment horizontal="center"/>
    </xf>
    <xf numFmtId="167" fontId="58" fillId="11" borderId="0" xfId="6" applyNumberFormat="1" applyFont="1" applyFill="1"/>
    <xf numFmtId="167" fontId="58" fillId="11" borderId="0" xfId="8" applyNumberFormat="1" applyFont="1" applyFill="1"/>
    <xf numFmtId="167" fontId="58" fillId="11" borderId="0" xfId="6" applyNumberFormat="1" applyFont="1" applyFill="1" applyAlignment="1">
      <alignment horizontal="left"/>
    </xf>
    <xf numFmtId="164" fontId="32" fillId="0" borderId="0" xfId="1" applyNumberFormat="1" applyFill="1"/>
    <xf numFmtId="0" fontId="32" fillId="0" borderId="0" xfId="26" applyFont="1" applyAlignment="1">
      <alignment horizontal="centerContinuous"/>
    </xf>
    <xf numFmtId="0" fontId="58" fillId="0" borderId="40" xfId="8" applyFont="1" applyBorder="1" applyAlignment="1">
      <alignment horizontal="center"/>
    </xf>
    <xf numFmtId="0" fontId="58" fillId="0" borderId="20" xfId="8" applyFont="1" applyBorder="1" applyAlignment="1">
      <alignment horizontal="center"/>
    </xf>
    <xf numFmtId="0" fontId="58" fillId="0" borderId="45" xfId="12" applyFont="1" applyBorder="1" applyAlignment="1">
      <alignment horizontal="center"/>
    </xf>
    <xf numFmtId="0" fontId="58" fillId="0" borderId="47" xfId="12" applyFont="1" applyBorder="1" applyAlignment="1">
      <alignment horizontal="center"/>
    </xf>
    <xf numFmtId="0" fontId="58" fillId="0" borderId="18" xfId="8" applyFont="1" applyBorder="1" applyAlignment="1">
      <alignment horizontal="center"/>
    </xf>
    <xf numFmtId="0" fontId="58" fillId="0" borderId="17" xfId="8" applyFont="1" applyBorder="1" applyAlignment="1">
      <alignment horizontal="center"/>
    </xf>
    <xf numFmtId="0" fontId="58" fillId="0" borderId="45" xfId="8" applyFont="1" applyBorder="1" applyAlignment="1">
      <alignment horizontal="center"/>
    </xf>
    <xf numFmtId="0" fontId="58" fillId="0" borderId="47" xfId="8" applyFont="1" applyBorder="1" applyAlignment="1">
      <alignment horizontal="center"/>
    </xf>
    <xf numFmtId="0" fontId="58" fillId="0" borderId="46" xfId="8" applyFont="1" applyBorder="1" applyAlignment="1">
      <alignment horizontal="center"/>
    </xf>
    <xf numFmtId="164" fontId="58" fillId="0" borderId="18" xfId="8" applyNumberFormat="1" applyFont="1" applyBorder="1"/>
    <xf numFmtId="164" fontId="58" fillId="0" borderId="0" xfId="8" applyNumberFormat="1" applyFont="1" applyBorder="1"/>
    <xf numFmtId="0" fontId="32" fillId="0" borderId="0" xfId="0" applyNumberFormat="1" applyFont="1" applyFill="1" applyBorder="1" applyAlignment="1"/>
    <xf numFmtId="0" fontId="32" fillId="0" borderId="23" xfId="26" applyFont="1" applyBorder="1" applyAlignment="1">
      <alignment horizontal="center" wrapText="1"/>
    </xf>
    <xf numFmtId="0" fontId="36" fillId="0" borderId="0" xfId="0" applyFont="1" applyBorder="1" applyAlignment="1">
      <alignment horizontal="center"/>
    </xf>
    <xf numFmtId="37" fontId="48" fillId="0" borderId="0" xfId="0" applyNumberFormat="1" applyFont="1" applyFill="1" applyBorder="1" applyAlignment="1">
      <alignment horizontal="left"/>
    </xf>
    <xf numFmtId="164" fontId="53" fillId="0" borderId="9" xfId="1" applyNumberFormat="1" applyFont="1" applyBorder="1"/>
    <xf numFmtId="43" fontId="32" fillId="0" borderId="0" xfId="26" applyNumberFormat="1" applyFont="1"/>
    <xf numFmtId="0" fontId="33" fillId="0" borderId="0" xfId="26" applyFont="1" applyAlignment="1">
      <alignment horizontal="center" vertical="center"/>
    </xf>
    <xf numFmtId="0" fontId="48" fillId="0" borderId="0" xfId="0" applyFont="1"/>
    <xf numFmtId="0" fontId="48" fillId="0" borderId="0" xfId="0" applyFont="1" applyFill="1" applyAlignment="1">
      <alignment horizontal="center"/>
    </xf>
    <xf numFmtId="37" fontId="109" fillId="0" borderId="0" xfId="45" applyNumberFormat="1" applyFont="1"/>
    <xf numFmtId="37" fontId="32" fillId="0" borderId="0" xfId="45" applyNumberFormat="1" applyFont="1" applyFill="1" applyBorder="1"/>
    <xf numFmtId="37" fontId="35" fillId="0" borderId="0" xfId="45" applyNumberFormat="1" applyFont="1"/>
    <xf numFmtId="0" fontId="32" fillId="0" borderId="0" xfId="57"/>
    <xf numFmtId="0" fontId="32" fillId="0" borderId="0" xfId="57" applyFont="1"/>
    <xf numFmtId="37" fontId="36" fillId="0" borderId="0" xfId="0" applyNumberFormat="1" applyFont="1" applyFill="1" applyAlignment="1">
      <alignment horizontal="center"/>
    </xf>
    <xf numFmtId="37" fontId="36" fillId="0" borderId="0" xfId="0" applyNumberFormat="1" applyFont="1" applyFill="1" applyAlignment="1">
      <alignment horizontal="left"/>
    </xf>
    <xf numFmtId="10" fontId="36" fillId="0" borderId="0" xfId="13" applyNumberFormat="1" applyFont="1" applyFill="1" applyAlignment="1">
      <alignment horizontal="right"/>
    </xf>
    <xf numFmtId="10" fontId="36" fillId="0" borderId="0" xfId="0" applyNumberFormat="1" applyFont="1" applyAlignment="1">
      <alignment horizontal="right"/>
    </xf>
    <xf numFmtId="37" fontId="129" fillId="0" borderId="0" xfId="45" applyNumberFormat="1" applyFont="1"/>
    <xf numFmtId="37" fontId="36" fillId="0" borderId="0" xfId="45" applyNumberFormat="1" applyFont="1"/>
    <xf numFmtId="37" fontId="36" fillId="0" borderId="0" xfId="45" applyNumberFormat="1" applyFont="1" applyFill="1" applyBorder="1" applyAlignment="1"/>
    <xf numFmtId="37" fontId="36" fillId="0" borderId="0" xfId="45" applyNumberFormat="1" applyFont="1" applyFill="1"/>
    <xf numFmtId="37" fontId="131" fillId="0" borderId="0" xfId="45" applyNumberFormat="1" applyFont="1"/>
    <xf numFmtId="37" fontId="130" fillId="0" borderId="0" xfId="45" applyNumberFormat="1" applyFont="1"/>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136" fillId="0" borderId="0" xfId="57" applyFont="1" applyAlignment="1">
      <alignment horizontal="center"/>
    </xf>
    <xf numFmtId="174" fontId="135" fillId="0" borderId="20" xfId="1" quotePrefix="1" applyNumberFormat="1" applyFont="1" applyBorder="1" applyAlignment="1" applyProtection="1">
      <alignment horizontal="center"/>
    </xf>
    <xf numFmtId="0" fontId="116" fillId="0" borderId="0" xfId="57" applyFont="1" applyAlignment="1">
      <alignment horizontal="center"/>
    </xf>
    <xf numFmtId="0" fontId="116" fillId="0" borderId="0" xfId="57" applyFont="1"/>
    <xf numFmtId="0" fontId="116" fillId="0" borderId="0" xfId="57" applyFont="1" applyAlignment="1">
      <alignment horizontal="left" vertical="justify"/>
    </xf>
    <xf numFmtId="174" fontId="135" fillId="0" borderId="0" xfId="1" quotePrefix="1" applyNumberFormat="1" applyFont="1" applyBorder="1" applyAlignment="1" applyProtection="1">
      <alignment horizontal="center"/>
    </xf>
    <xf numFmtId="0" fontId="137" fillId="0" borderId="0" xfId="57" applyFont="1" applyAlignment="1">
      <alignment horizontal="center"/>
    </xf>
    <xf numFmtId="0" fontId="137" fillId="0" borderId="0" xfId="57" applyFont="1"/>
    <xf numFmtId="0" fontId="137" fillId="0" borderId="0" xfId="57" applyFont="1" applyAlignment="1">
      <alignment horizontal="left" vertical="justify"/>
    </xf>
    <xf numFmtId="0" fontId="32" fillId="0" borderId="0" xfId="57" applyAlignment="1">
      <alignment vertical="center"/>
    </xf>
    <xf numFmtId="167" fontId="0" fillId="0" borderId="0" xfId="0" applyNumberFormat="1"/>
    <xf numFmtId="0" fontId="32" fillId="0" borderId="0" xfId="0" applyFont="1" applyAlignment="1">
      <alignment wrapText="1"/>
    </xf>
    <xf numFmtId="0" fontId="0" fillId="0" borderId="0" xfId="0"/>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55" fillId="0" borderId="0" xfId="0" applyFont="1" applyFill="1" applyAlignment="1">
      <alignment horizontal="centerContinuous"/>
    </xf>
    <xf numFmtId="5" fontId="32" fillId="0" borderId="0" xfId="1" applyNumberFormat="1" applyFont="1" applyFill="1"/>
    <xf numFmtId="0" fontId="55" fillId="0" borderId="0" xfId="0" applyFont="1" applyFill="1" applyAlignment="1">
      <alignment horizontal="left" indent="1"/>
    </xf>
    <xf numFmtId="181" fontId="32" fillId="0" borderId="0" xfId="0" applyNumberFormat="1" applyFont="1" applyFill="1"/>
    <xf numFmtId="0" fontId="36" fillId="0" borderId="0" xfId="0" applyNumberFormat="1" applyFont="1" applyFill="1" applyBorder="1" applyAlignment="1">
      <alignment horizontal="left" indent="1"/>
    </xf>
    <xf numFmtId="3" fontId="36" fillId="0" borderId="8" xfId="0" applyNumberFormat="1" applyFont="1" applyFill="1" applyBorder="1"/>
    <xf numFmtId="10" fontId="36" fillId="0" borderId="0" xfId="13" applyNumberFormat="1" applyFont="1" applyFill="1" applyAlignment="1"/>
    <xf numFmtId="168" fontId="36" fillId="0" borderId="0" xfId="0" applyNumberFormat="1" applyFont="1" applyFill="1" applyAlignment="1"/>
    <xf numFmtId="0" fontId="36" fillId="0" borderId="0" xfId="0" applyNumberFormat="1" applyFont="1" applyFill="1"/>
    <xf numFmtId="37" fontId="36" fillId="0" borderId="0" xfId="45" applyNumberFormat="1" applyFont="1" applyFill="1" applyBorder="1"/>
    <xf numFmtId="3" fontId="36" fillId="0" borderId="0" xfId="0" applyNumberFormat="1" applyFont="1" applyBorder="1" applyAlignment="1"/>
    <xf numFmtId="3" fontId="36" fillId="0" borderId="0" xfId="0" applyNumberFormat="1" applyFont="1" applyAlignment="1"/>
    <xf numFmtId="3" fontId="36" fillId="0" borderId="0" xfId="0" quotePrefix="1" applyNumberFormat="1" applyFont="1" applyAlignment="1">
      <alignment horizontal="right"/>
    </xf>
    <xf numFmtId="3" fontId="36" fillId="0" borderId="4" xfId="0" applyNumberFormat="1" applyFont="1" applyFill="1" applyBorder="1" applyAlignment="1"/>
    <xf numFmtId="3" fontId="36" fillId="0" borderId="4" xfId="0" applyNumberFormat="1" applyFont="1" applyBorder="1" applyAlignment="1">
      <alignment horizontal="right"/>
    </xf>
    <xf numFmtId="10" fontId="36" fillId="0" borderId="4" xfId="13" applyNumberFormat="1" applyFont="1" applyFill="1" applyBorder="1" applyAlignment="1"/>
    <xf numFmtId="37" fontId="33" fillId="0" borderId="0" xfId="45" applyNumberFormat="1" applyFont="1" applyBorder="1" applyAlignment="1"/>
    <xf numFmtId="184" fontId="33" fillId="0" borderId="0" xfId="45" applyNumberFormat="1" applyFont="1" applyAlignment="1">
      <alignment horizontal="centerContinuous"/>
    </xf>
    <xf numFmtId="184" fontId="111" fillId="0" borderId="0" xfId="45" applyNumberFormat="1" applyFont="1" applyAlignment="1">
      <alignment horizontal="centerContinuous"/>
    </xf>
    <xf numFmtId="37" fontId="32" fillId="0" borderId="0" xfId="45" applyNumberFormat="1" applyFont="1" applyAlignment="1">
      <alignment horizontal="centerContinuous"/>
    </xf>
    <xf numFmtId="37" fontId="109" fillId="0" borderId="0" xfId="45" applyNumberFormat="1" applyFont="1" applyAlignment="1">
      <alignment horizontal="centerContinuous"/>
    </xf>
    <xf numFmtId="37" fontId="32" fillId="0" borderId="0" xfId="45" applyNumberFormat="1" applyFont="1" applyFill="1" applyBorder="1" applyAlignment="1">
      <alignment horizontal="centerContinuous"/>
    </xf>
    <xf numFmtId="37" fontId="109" fillId="0" borderId="0" xfId="45" applyNumberFormat="1" applyFont="1" applyFill="1" applyBorder="1" applyAlignment="1">
      <alignment horizontal="centerContinuous"/>
    </xf>
    <xf numFmtId="37" fontId="32" fillId="0" borderId="0" xfId="45" applyNumberFormat="1" applyFont="1" applyFill="1" applyBorder="1" applyAlignment="1">
      <alignment horizontal="centerContinuous" vertical="center"/>
    </xf>
    <xf numFmtId="10" fontId="32" fillId="0" borderId="0" xfId="13" applyNumberFormat="1" applyFont="1" applyFill="1" applyBorder="1" applyAlignment="1">
      <alignment horizontal="centerContinuous" vertical="center"/>
    </xf>
    <xf numFmtId="0" fontId="42" fillId="0" borderId="0" xfId="0" applyFont="1" applyFill="1" applyBorder="1" applyAlignment="1">
      <alignment horizontal="center" wrapText="1"/>
    </xf>
    <xf numFmtId="164" fontId="36" fillId="0" borderId="9" xfId="0" applyNumberFormat="1" applyFont="1" applyFill="1" applyBorder="1" applyAlignment="1">
      <alignment horizontal="center" wrapText="1"/>
    </xf>
    <xf numFmtId="0" fontId="36" fillId="0" borderId="9" xfId="0" applyFont="1" applyFill="1" applyBorder="1" applyAlignment="1">
      <alignment horizontal="center" wrapText="1"/>
    </xf>
    <xf numFmtId="0" fontId="36" fillId="0" borderId="0" xfId="0" applyFont="1" applyBorder="1" applyAlignment="1">
      <alignment wrapText="1"/>
    </xf>
    <xf numFmtId="0" fontId="36" fillId="0" borderId="7" xfId="0" applyFont="1" applyBorder="1" applyAlignment="1">
      <alignment wrapText="1"/>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4" fillId="0" borderId="0" xfId="0" applyFont="1" applyFill="1" applyBorder="1" applyAlignment="1"/>
    <xf numFmtId="0" fontId="144" fillId="3" borderId="0" xfId="0" applyFont="1" applyFill="1" applyBorder="1"/>
    <xf numFmtId="0" fontId="145" fillId="3" borderId="0" xfId="0" applyFont="1" applyFill="1" applyBorder="1" applyAlignment="1">
      <alignment horizontal="center" wrapText="1"/>
    </xf>
    <xf numFmtId="0" fontId="34" fillId="0" borderId="0" xfId="0" applyNumberFormat="1" applyFont="1" applyFill="1" applyBorder="1" applyAlignment="1">
      <alignment horizontal="center"/>
    </xf>
    <xf numFmtId="0" fontId="145" fillId="3" borderId="0" xfId="0" applyNumberFormat="1" applyFont="1" applyFill="1" applyBorder="1" applyAlignment="1">
      <alignment horizontal="center"/>
    </xf>
    <xf numFmtId="3" fontId="36" fillId="0" borderId="2" xfId="0" applyNumberFormat="1" applyFont="1" applyBorder="1" applyAlignment="1"/>
    <xf numFmtId="3" fontId="36" fillId="0" borderId="2" xfId="0" applyNumberFormat="1" applyFont="1" applyBorder="1" applyAlignment="1">
      <alignment horizontal="center"/>
    </xf>
    <xf numFmtId="0" fontId="36" fillId="0" borderId="0" xfId="0" applyNumberFormat="1" applyFont="1" applyAlignment="1"/>
    <xf numFmtId="3" fontId="36" fillId="0" borderId="3" xfId="0" applyNumberFormat="1" applyFont="1" applyFill="1" applyBorder="1" applyAlignment="1">
      <alignment horizontal="center"/>
    </xf>
    <xf numFmtId="3" fontId="36" fillId="0" borderId="3" xfId="0" applyNumberFormat="1" applyFont="1" applyFill="1" applyBorder="1" applyAlignment="1"/>
    <xf numFmtId="0" fontId="34" fillId="3" borderId="0" xfId="0" applyNumberFormat="1" applyFont="1" applyFill="1" applyBorder="1" applyAlignment="1">
      <alignment horizontal="center"/>
    </xf>
    <xf numFmtId="0" fontId="36" fillId="0" borderId="4" xfId="0" applyNumberFormat="1" applyFont="1" applyFill="1" applyBorder="1" applyAlignment="1"/>
    <xf numFmtId="172" fontId="36" fillId="0" borderId="0" xfId="13" applyNumberFormat="1" applyFont="1" applyFill="1" applyAlignment="1"/>
    <xf numFmtId="3" fontId="36" fillId="0" borderId="2" xfId="0" applyNumberFormat="1" applyFont="1" applyFill="1" applyBorder="1" applyAlignment="1">
      <alignment horizontal="center"/>
    </xf>
    <xf numFmtId="168" fontId="36" fillId="0" borderId="0" xfId="0" applyNumberFormat="1" applyFont="1" applyAlignment="1">
      <alignment horizontal="center"/>
    </xf>
    <xf numFmtId="172" fontId="36" fillId="0" borderId="0" xfId="13" applyNumberFormat="1" applyFont="1" applyFill="1" applyBorder="1" applyAlignment="1"/>
    <xf numFmtId="3" fontId="39" fillId="0" borderId="0" xfId="0" applyNumberFormat="1" applyFont="1" applyAlignment="1">
      <alignment horizontal="right"/>
    </xf>
    <xf numFmtId="3" fontId="39" fillId="0" borderId="4" xfId="0" applyNumberFormat="1" applyFont="1" applyBorder="1" applyAlignment="1">
      <alignment horizontal="right"/>
    </xf>
    <xf numFmtId="0" fontId="34" fillId="0" borderId="2" xfId="0" applyNumberFormat="1" applyFont="1" applyBorder="1" applyAlignment="1">
      <alignment horizontal="center"/>
    </xf>
    <xf numFmtId="3" fontId="88" fillId="0" borderId="2" xfId="0" applyNumberFormat="1" applyFont="1" applyBorder="1" applyAlignment="1">
      <alignment horizontal="right"/>
    </xf>
    <xf numFmtId="3" fontId="36" fillId="0" borderId="0" xfId="0" applyNumberFormat="1" applyFont="1" applyFill="1" applyAlignment="1">
      <alignment horizontal="right"/>
    </xf>
    <xf numFmtId="0" fontId="34" fillId="0" borderId="2" xfId="0" applyFont="1" applyBorder="1" applyAlignment="1">
      <alignment horizontal="left"/>
    </xf>
    <xf numFmtId="0" fontId="34" fillId="0" borderId="2" xfId="0" applyFont="1" applyBorder="1" applyAlignment="1">
      <alignment horizontal="center"/>
    </xf>
    <xf numFmtId="0" fontId="34" fillId="0" borderId="2" xfId="0" applyFont="1" applyBorder="1"/>
    <xf numFmtId="0" fontId="34" fillId="0" borderId="0" xfId="0" applyFont="1" applyBorder="1" applyAlignment="1">
      <alignment horizontal="left"/>
    </xf>
    <xf numFmtId="0" fontId="34" fillId="0" borderId="0" xfId="0" applyFont="1" applyBorder="1"/>
    <xf numFmtId="0" fontId="34" fillId="5" borderId="0" xfId="0" applyFont="1" applyFill="1"/>
    <xf numFmtId="0" fontId="34" fillId="3" borderId="0" xfId="0" applyNumberFormat="1" applyFont="1" applyFill="1" applyAlignment="1">
      <alignment horizontal="center"/>
    </xf>
    <xf numFmtId="3" fontId="39" fillId="0" borderId="4" xfId="0" applyNumberFormat="1" applyFont="1" applyFill="1" applyBorder="1" applyAlignment="1">
      <alignment horizontal="right"/>
    </xf>
    <xf numFmtId="172" fontId="36" fillId="0" borderId="4" xfId="0" applyNumberFormat="1" applyFont="1" applyFill="1" applyBorder="1" applyAlignment="1">
      <alignment horizontal="right"/>
    </xf>
    <xf numFmtId="0" fontId="34" fillId="0" borderId="3" xfId="0" applyNumberFormat="1" applyFont="1" applyBorder="1" applyAlignment="1">
      <alignment horizontal="center"/>
    </xf>
    <xf numFmtId="0" fontId="34" fillId="0" borderId="3" xfId="0" applyFont="1" applyBorder="1" applyAlignment="1">
      <alignment horizontal="right"/>
    </xf>
    <xf numFmtId="3" fontId="36" fillId="0" borderId="0" xfId="0" applyNumberFormat="1" applyFont="1" applyAlignment="1">
      <alignment horizontal="left"/>
    </xf>
    <xf numFmtId="0" fontId="36" fillId="0" borderId="4" xfId="0" applyNumberFormat="1" applyFont="1" applyBorder="1" applyAlignment="1">
      <alignment horizontal="left"/>
    </xf>
    <xf numFmtId="0" fontId="36" fillId="0" borderId="4" xfId="0" applyNumberFormat="1" applyFont="1" applyBorder="1" applyAlignment="1"/>
    <xf numFmtId="166" fontId="36" fillId="0" borderId="0" xfId="0" applyNumberFormat="1" applyFont="1" applyAlignment="1"/>
    <xf numFmtId="169" fontId="36" fillId="0" borderId="0" xfId="0" applyNumberFormat="1" applyFont="1" applyAlignment="1">
      <alignment horizontal="center"/>
    </xf>
    <xf numFmtId="170" fontId="36" fillId="0" borderId="0" xfId="0" applyNumberFormat="1" applyFont="1" applyAlignment="1"/>
    <xf numFmtId="168" fontId="36" fillId="0" borderId="0" xfId="0" applyNumberFormat="1" applyFont="1" applyFill="1"/>
    <xf numFmtId="168" fontId="36" fillId="0" borderId="0" xfId="0" applyNumberFormat="1" applyFont="1" applyAlignment="1">
      <alignment horizontal="left"/>
    </xf>
    <xf numFmtId="10" fontId="36" fillId="0" borderId="0" xfId="0" applyNumberFormat="1" applyFont="1" applyFill="1" applyAlignment="1">
      <alignment horizontal="right"/>
    </xf>
    <xf numFmtId="0" fontId="36" fillId="0" borderId="0" xfId="0" applyNumberFormat="1" applyFont="1" applyBorder="1" applyAlignment="1"/>
    <xf numFmtId="169" fontId="36" fillId="0" borderId="0" xfId="0" applyNumberFormat="1" applyFont="1" applyBorder="1" applyAlignment="1">
      <alignment horizontal="center"/>
    </xf>
    <xf numFmtId="10" fontId="36" fillId="0" borderId="0" xfId="13" applyNumberFormat="1" applyFont="1" applyFill="1" applyBorder="1" applyAlignment="1"/>
    <xf numFmtId="3" fontId="39" fillId="0" borderId="0" xfId="0" applyNumberFormat="1" applyFont="1" applyBorder="1" applyAlignment="1">
      <alignment horizontal="right"/>
    </xf>
    <xf numFmtId="168" fontId="36" fillId="0" borderId="0" xfId="0" applyNumberFormat="1" applyFont="1" applyFill="1" applyAlignment="1">
      <alignment horizontal="left"/>
    </xf>
    <xf numFmtId="169" fontId="36" fillId="0" borderId="0" xfId="0" applyNumberFormat="1" applyFont="1" applyAlignment="1"/>
    <xf numFmtId="168" fontId="36" fillId="0" borderId="0" xfId="0" applyNumberFormat="1" applyFont="1" applyBorder="1" applyAlignment="1">
      <alignment horizontal="left"/>
    </xf>
    <xf numFmtId="0" fontId="45" fillId="0" borderId="5" xfId="0" applyFont="1" applyFill="1" applyBorder="1" applyAlignment="1"/>
    <xf numFmtId="3" fontId="45" fillId="0" borderId="5" xfId="0" applyNumberFormat="1" applyFont="1" applyBorder="1" applyAlignment="1">
      <alignment horizontal="center"/>
    </xf>
    <xf numFmtId="3" fontId="45" fillId="0" borderId="0" xfId="0" applyNumberFormat="1" applyFont="1" applyBorder="1" applyAlignment="1">
      <alignment horizontal="center"/>
    </xf>
    <xf numFmtId="0" fontId="45" fillId="0" borderId="4" xfId="0" applyFont="1" applyFill="1" applyBorder="1" applyAlignment="1"/>
    <xf numFmtId="3" fontId="45" fillId="0" borderId="0" xfId="0" applyNumberFormat="1" applyFont="1" applyFill="1" applyBorder="1" applyAlignment="1">
      <alignment horizontal="center"/>
    </xf>
    <xf numFmtId="10" fontId="36" fillId="0" borderId="0" xfId="13" applyNumberFormat="1" applyFont="1" applyFill="1" applyBorder="1"/>
    <xf numFmtId="3" fontId="45" fillId="0" borderId="4" xfId="0" applyNumberFormat="1" applyFont="1" applyBorder="1" applyAlignment="1">
      <alignment horizontal="center"/>
    </xf>
    <xf numFmtId="0" fontId="146" fillId="0" borderId="0" xfId="0" applyFont="1" applyFill="1" applyAlignment="1"/>
    <xf numFmtId="37" fontId="36" fillId="0" borderId="0" xfId="0" applyNumberFormat="1" applyFont="1" applyFill="1" applyBorder="1" applyAlignment="1">
      <alignment horizontal="left"/>
    </xf>
    <xf numFmtId="10" fontId="48" fillId="0" borderId="0" xfId="13" applyNumberFormat="1" applyFont="1" applyFill="1" applyBorder="1" applyAlignment="1">
      <alignment horizontal="left"/>
    </xf>
    <xf numFmtId="0" fontId="48" fillId="0" borderId="0" xfId="0" quotePrefix="1" applyNumberFormat="1" applyFont="1" applyFill="1" applyAlignment="1">
      <alignment horizontal="left"/>
    </xf>
    <xf numFmtId="0" fontId="78" fillId="0" borderId="0" xfId="0" applyNumberFormat="1" applyFont="1" applyFill="1" applyAlignment="1">
      <alignment horizontal="center"/>
    </xf>
    <xf numFmtId="0" fontId="78" fillId="0" borderId="0" xfId="0" applyFont="1" applyFill="1" applyAlignment="1">
      <alignment horizontal="left"/>
    </xf>
    <xf numFmtId="37" fontId="36" fillId="0" borderId="0" xfId="45" applyNumberFormat="1" applyFont="1" applyFill="1" applyAlignment="1">
      <alignment vertical="center"/>
    </xf>
    <xf numFmtId="37" fontId="131" fillId="0" borderId="0" xfId="45" applyNumberFormat="1" applyFont="1" applyFill="1" applyAlignment="1">
      <alignment vertical="center"/>
    </xf>
    <xf numFmtId="0" fontId="78" fillId="0" borderId="1" xfId="0" applyFont="1" applyFill="1" applyBorder="1" applyAlignment="1">
      <alignment horizontal="left"/>
    </xf>
    <xf numFmtId="0" fontId="48" fillId="0" borderId="1" xfId="0" applyFont="1" applyFill="1" applyBorder="1" applyAlignment="1"/>
    <xf numFmtId="0" fontId="48" fillId="0" borderId="1" xfId="0" applyFont="1" applyBorder="1"/>
    <xf numFmtId="0" fontId="48" fillId="0" borderId="1" xfId="0" applyFont="1" applyFill="1" applyBorder="1" applyAlignment="1">
      <alignment horizontal="center"/>
    </xf>
    <xf numFmtId="0" fontId="48" fillId="0" borderId="1" xfId="0" applyFont="1" applyFill="1" applyBorder="1"/>
    <xf numFmtId="164" fontId="32" fillId="0" borderId="0" xfId="1" applyNumberFormat="1" applyFill="1" applyAlignment="1"/>
    <xf numFmtId="10" fontId="0" fillId="0" borderId="4" xfId="13" applyNumberFormat="1" applyFont="1" applyFill="1" applyBorder="1"/>
    <xf numFmtId="164" fontId="32" fillId="0" borderId="0" xfId="1" applyNumberFormat="1" applyFill="1" applyBorder="1" applyAlignment="1">
      <alignment wrapText="1"/>
    </xf>
    <xf numFmtId="0" fontId="143" fillId="36" borderId="0" xfId="1" applyNumberFormat="1" applyFont="1" applyFill="1" applyAlignment="1">
      <alignment horizontal="center"/>
    </xf>
    <xf numFmtId="0" fontId="32" fillId="0" borderId="0" xfId="0" applyFont="1" applyFill="1" applyAlignment="1">
      <alignment horizontal="left" wrapText="1"/>
    </xf>
    <xf numFmtId="164" fontId="148" fillId="36" borderId="0" xfId="1" applyNumberFormat="1" applyFont="1" applyFill="1" applyBorder="1" applyAlignment="1"/>
    <xf numFmtId="164" fontId="0" fillId="0" borderId="1" xfId="1" applyNumberFormat="1" applyFont="1" applyFill="1" applyBorder="1" applyAlignment="1"/>
    <xf numFmtId="164" fontId="36" fillId="0" borderId="0" xfId="1" applyNumberFormat="1" applyFont="1" applyFill="1" applyBorder="1" applyAlignment="1">
      <alignment horizontal="center"/>
    </xf>
    <xf numFmtId="3" fontId="36" fillId="0" borderId="24" xfId="0" applyNumberFormat="1" applyFont="1" applyFill="1" applyBorder="1" applyAlignment="1">
      <alignment horizontal="center"/>
    </xf>
    <xf numFmtId="37" fontId="34" fillId="0" borderId="0" xfId="45" applyNumberFormat="1" applyFont="1"/>
    <xf numFmtId="37" fontId="36" fillId="0" borderId="39" xfId="45" applyNumberFormat="1" applyFont="1" applyFill="1" applyBorder="1"/>
    <xf numFmtId="37" fontId="36" fillId="0" borderId="39" xfId="45" applyNumberFormat="1" applyFont="1" applyBorder="1"/>
    <xf numFmtId="0" fontId="36" fillId="0" borderId="39" xfId="0" applyFont="1" applyBorder="1"/>
    <xf numFmtId="37" fontId="36" fillId="0" borderId="39" xfId="45" applyNumberFormat="1" applyFont="1" applyFill="1" applyBorder="1" applyAlignment="1"/>
    <xf numFmtId="37" fontId="34" fillId="0" borderId="39" xfId="45" applyNumberFormat="1" applyFont="1" applyFill="1" applyBorder="1"/>
    <xf numFmtId="37" fontId="34" fillId="0" borderId="39" xfId="45" applyNumberFormat="1" applyFont="1" applyBorder="1" applyAlignment="1">
      <alignment horizontal="left" indent="1"/>
    </xf>
    <xf numFmtId="0" fontId="36" fillId="0" borderId="0" xfId="0" quotePrefix="1" applyNumberFormat="1" applyFont="1" applyFill="1" applyBorder="1" applyAlignment="1">
      <alignment wrapText="1"/>
    </xf>
    <xf numFmtId="0" fontId="36" fillId="0" borderId="0" xfId="0" quotePrefix="1" applyNumberFormat="1" applyFont="1" applyAlignment="1">
      <alignment wrapText="1"/>
    </xf>
    <xf numFmtId="0" fontId="34" fillId="0" borderId="1" xfId="0" applyNumberFormat="1" applyFont="1" applyFill="1" applyBorder="1" applyAlignment="1"/>
    <xf numFmtId="0" fontId="36" fillId="0" borderId="1" xfId="0" applyFont="1" applyBorder="1" applyAlignment="1"/>
    <xf numFmtId="3" fontId="36" fillId="0" borderId="1" xfId="0" applyNumberFormat="1" applyFont="1" applyFill="1" applyBorder="1" applyAlignment="1"/>
    <xf numFmtId="3" fontId="36" fillId="0" borderId="1" xfId="0" applyNumberFormat="1" applyFont="1" applyBorder="1" applyAlignment="1"/>
    <xf numFmtId="3" fontId="34" fillId="0" borderId="1" xfId="0" applyNumberFormat="1" applyFont="1" applyFill="1" applyBorder="1" applyAlignment="1"/>
    <xf numFmtId="0" fontId="36" fillId="0" borderId="39" xfId="0" applyNumberFormat="1" applyFont="1" applyFill="1" applyBorder="1" applyAlignment="1">
      <alignment horizontal="left"/>
    </xf>
    <xf numFmtId="0" fontId="36" fillId="0" borderId="39" xfId="0" applyFont="1" applyFill="1" applyBorder="1" applyAlignment="1"/>
    <xf numFmtId="0" fontId="36" fillId="0" borderId="39" xfId="0" applyFont="1" applyFill="1" applyBorder="1" applyAlignment="1">
      <alignment horizontal="center"/>
    </xf>
    <xf numFmtId="3" fontId="36" fillId="0" borderId="39" xfId="0" applyNumberFormat="1" applyFont="1" applyFill="1" applyBorder="1" applyAlignment="1"/>
    <xf numFmtId="3" fontId="36" fillId="0" borderId="0" xfId="0" applyNumberFormat="1" applyFont="1" applyBorder="1" applyAlignment="1">
      <alignment horizontal="left"/>
    </xf>
    <xf numFmtId="10" fontId="36" fillId="0" borderId="0" xfId="0" applyNumberFormat="1" applyFont="1" applyFill="1" applyBorder="1" applyAlignment="1">
      <alignment horizontal="center"/>
    </xf>
    <xf numFmtId="10" fontId="36" fillId="0" borderId="0" xfId="0" applyNumberFormat="1" applyFont="1" applyFill="1" applyBorder="1" applyAlignment="1"/>
    <xf numFmtId="3" fontId="36" fillId="0" borderId="4" xfId="0" applyNumberFormat="1" applyFont="1" applyBorder="1" applyAlignment="1">
      <alignment horizontal="left"/>
    </xf>
    <xf numFmtId="10" fontId="36" fillId="0" borderId="4" xfId="0" applyNumberFormat="1" applyFont="1" applyFill="1" applyBorder="1" applyAlignment="1">
      <alignment horizontal="center"/>
    </xf>
    <xf numFmtId="0" fontId="34" fillId="0" borderId="0" xfId="0" applyNumberFormat="1" applyFont="1" applyBorder="1" applyAlignment="1">
      <alignment horizontal="left" indent="1"/>
    </xf>
    <xf numFmtId="184" fontId="34" fillId="0" borderId="0" xfId="45" applyNumberFormat="1" applyFont="1" applyAlignment="1">
      <alignment horizontal="centerContinuous"/>
    </xf>
    <xf numFmtId="0" fontId="32" fillId="0" borderId="0" xfId="57" applyFont="1" applyAlignment="1">
      <alignment horizontal="center"/>
    </xf>
    <xf numFmtId="174" fontId="155" fillId="0" borderId="0" xfId="1" quotePrefix="1" applyNumberFormat="1" applyFont="1" applyBorder="1" applyAlignment="1" applyProtection="1">
      <alignment horizontal="center"/>
    </xf>
    <xf numFmtId="0" fontId="82" fillId="0" borderId="0" xfId="57" applyFont="1" applyAlignment="1">
      <alignment horizontal="center"/>
    </xf>
    <xf numFmtId="0" fontId="32" fillId="0" borderId="0" xfId="57" applyFont="1" applyAlignment="1">
      <alignment horizontal="left" vertical="justify"/>
    </xf>
    <xf numFmtId="0" fontId="33" fillId="0" borderId="0" xfId="57" applyFont="1" applyAlignment="1">
      <alignment horizontal="left" vertical="justify"/>
    </xf>
    <xf numFmtId="0" fontId="33" fillId="0" borderId="0" xfId="57" applyFont="1"/>
    <xf numFmtId="0" fontId="33" fillId="0" borderId="0" xfId="57" applyFont="1" applyAlignment="1">
      <alignment horizontal="center"/>
    </xf>
    <xf numFmtId="0" fontId="83" fillId="0" borderId="0" xfId="57" applyFont="1" applyAlignment="1">
      <alignment horizontal="left"/>
    </xf>
    <xf numFmtId="0" fontId="33" fillId="0" borderId="0" xfId="57" applyFont="1" applyBorder="1" applyAlignment="1">
      <alignment horizontal="left"/>
    </xf>
    <xf numFmtId="0" fontId="33" fillId="0" borderId="0" xfId="57" applyFont="1" applyBorder="1" applyAlignment="1">
      <alignment horizontal="center"/>
    </xf>
    <xf numFmtId="0" fontId="33" fillId="0" borderId="0" xfId="57" applyFont="1" applyBorder="1" applyAlignment="1">
      <alignment horizontal="left" vertical="justify"/>
    </xf>
    <xf numFmtId="0" fontId="33" fillId="0" borderId="4" xfId="57" applyFont="1" applyBorder="1" applyAlignment="1">
      <alignment wrapText="1"/>
    </xf>
    <xf numFmtId="0" fontId="33" fillId="0" borderId="4" xfId="57" applyFont="1" applyBorder="1" applyAlignment="1">
      <alignment horizontal="center" wrapText="1"/>
    </xf>
    <xf numFmtId="0" fontId="33" fillId="0" borderId="4" xfId="57" applyFont="1" applyFill="1" applyBorder="1" applyAlignment="1">
      <alignment horizontal="center"/>
    </xf>
    <xf numFmtId="174" fontId="32" fillId="0" borderId="0" xfId="1" applyNumberFormat="1" applyFont="1" applyFill="1" applyAlignment="1">
      <alignment horizontal="right" vertical="center"/>
    </xf>
    <xf numFmtId="0" fontId="32" fillId="0" borderId="0" xfId="57" applyFont="1" applyAlignment="1">
      <alignment vertical="center"/>
    </xf>
    <xf numFmtId="0" fontId="32" fillId="0" borderId="0" xfId="57" applyFont="1" applyFill="1" applyBorder="1" applyAlignment="1">
      <alignment vertical="center"/>
    </xf>
    <xf numFmtId="174" fontId="32" fillId="0" borderId="0" xfId="57" applyNumberFormat="1" applyFont="1" applyFill="1" applyBorder="1" applyAlignment="1">
      <alignment vertical="center"/>
    </xf>
    <xf numFmtId="168" fontId="32" fillId="0" borderId="0" xfId="13" applyNumberFormat="1" applyFont="1"/>
    <xf numFmtId="186" fontId="32" fillId="0" borderId="0" xfId="1" applyNumberFormat="1" applyFont="1" applyFill="1" applyAlignment="1">
      <alignment horizontal="right" vertical="center"/>
    </xf>
    <xf numFmtId="0" fontId="33" fillId="0" borderId="4" xfId="57" applyFont="1" applyFill="1" applyBorder="1" applyAlignment="1">
      <alignment horizontal="center" wrapText="1"/>
    </xf>
    <xf numFmtId="0" fontId="33" fillId="0" borderId="4" xfId="57" applyFont="1" applyBorder="1" applyAlignment="1">
      <alignment horizontal="centerContinuous"/>
    </xf>
    <xf numFmtId="37" fontId="36" fillId="0" borderId="0" xfId="0" applyNumberFormat="1" applyFont="1" applyFill="1"/>
    <xf numFmtId="37" fontId="36" fillId="0" borderId="2" xfId="0" applyNumberFormat="1" applyFont="1" applyFill="1" applyBorder="1" applyAlignment="1"/>
    <xf numFmtId="0" fontId="145" fillId="3" borderId="0" xfId="0" applyFont="1" applyFill="1" applyBorder="1" applyAlignment="1">
      <alignment horizontal="left"/>
    </xf>
    <xf numFmtId="37" fontId="36" fillId="0" borderId="0" xfId="0" applyNumberFormat="1" applyFont="1" applyFill="1" applyAlignment="1"/>
    <xf numFmtId="37" fontId="34" fillId="0" borderId="0" xfId="0" applyNumberFormat="1" applyFont="1" applyFill="1" applyAlignment="1"/>
    <xf numFmtId="37" fontId="36" fillId="0" borderId="0" xfId="0" applyNumberFormat="1" applyFont="1" applyFill="1" applyBorder="1" applyAlignment="1"/>
    <xf numFmtId="37" fontId="34" fillId="0" borderId="3" xfId="0" applyNumberFormat="1" applyFont="1" applyFill="1" applyBorder="1"/>
    <xf numFmtId="37" fontId="36" fillId="0" borderId="4" xfId="0" applyNumberFormat="1" applyFont="1" applyFill="1" applyBorder="1" applyAlignment="1"/>
    <xf numFmtId="37" fontId="36" fillId="0" borderId="0" xfId="0" applyNumberFormat="1" applyFont="1" applyFill="1" applyBorder="1" applyAlignment="1">
      <alignment horizontal="right"/>
    </xf>
    <xf numFmtId="37" fontId="36" fillId="0" borderId="0" xfId="0" applyNumberFormat="1" applyFont="1"/>
    <xf numFmtId="37" fontId="34" fillId="0" borderId="0" xfId="0" applyNumberFormat="1" applyFont="1" applyFill="1" applyAlignment="1">
      <alignment horizontal="right"/>
    </xf>
    <xf numFmtId="37" fontId="34" fillId="0" borderId="0" xfId="0" applyNumberFormat="1" applyFont="1" applyFill="1" applyBorder="1" applyAlignment="1"/>
    <xf numFmtId="37" fontId="36" fillId="0" borderId="0" xfId="0" applyNumberFormat="1" applyFont="1" applyFill="1" applyAlignment="1">
      <alignment horizontal="right"/>
    </xf>
    <xf numFmtId="37" fontId="36" fillId="0" borderId="2" xfId="0" applyNumberFormat="1" applyFont="1" applyFill="1" applyBorder="1" applyAlignment="1">
      <alignment horizontal="right"/>
    </xf>
    <xf numFmtId="37" fontId="34" fillId="0" borderId="2" xfId="0" applyNumberFormat="1" applyFont="1" applyFill="1" applyBorder="1"/>
    <xf numFmtId="37" fontId="34" fillId="0" borderId="2" xfId="0" applyNumberFormat="1" applyFont="1" applyFill="1" applyBorder="1" applyAlignment="1">
      <alignment horizontal="right"/>
    </xf>
    <xf numFmtId="37" fontId="34" fillId="0" borderId="0" xfId="0" applyNumberFormat="1" applyFont="1" applyFill="1" applyBorder="1" applyAlignment="1">
      <alignment horizontal="right"/>
    </xf>
    <xf numFmtId="37" fontId="36" fillId="0" borderId="0" xfId="0" applyNumberFormat="1" applyFont="1" applyAlignment="1">
      <alignment horizontal="right"/>
    </xf>
    <xf numFmtId="37" fontId="34" fillId="0" borderId="3" xfId="0" applyNumberFormat="1" applyFont="1" applyBorder="1"/>
    <xf numFmtId="37" fontId="34" fillId="0" borderId="2" xfId="0" applyNumberFormat="1" applyFont="1" applyFill="1" applyBorder="1" applyAlignment="1"/>
    <xf numFmtId="37" fontId="34" fillId="0" borderId="0" xfId="13" applyNumberFormat="1" applyFont="1" applyFill="1" applyAlignment="1"/>
    <xf numFmtId="37" fontId="39" fillId="0" borderId="0" xfId="0" applyNumberFormat="1" applyFont="1" applyFill="1" applyAlignment="1">
      <alignment horizontal="right"/>
    </xf>
    <xf numFmtId="37" fontId="34" fillId="0" borderId="3" xfId="0" applyNumberFormat="1" applyFont="1" applyFill="1" applyBorder="1" applyAlignment="1"/>
    <xf numFmtId="37" fontId="34" fillId="0" borderId="0" xfId="13" applyNumberFormat="1" applyFont="1" applyAlignment="1"/>
    <xf numFmtId="37" fontId="36" fillId="3" borderId="0" xfId="0" applyNumberFormat="1" applyFont="1" applyFill="1" applyBorder="1" applyAlignment="1">
      <alignment horizontal="center" wrapText="1"/>
    </xf>
    <xf numFmtId="37" fontId="39" fillId="0" borderId="0" xfId="0" applyNumberFormat="1" applyFont="1" applyAlignment="1">
      <alignment horizontal="right"/>
    </xf>
    <xf numFmtId="37" fontId="34" fillId="0" borderId="3" xfId="0" applyNumberFormat="1" applyFont="1" applyBorder="1" applyAlignment="1">
      <alignment horizontal="right"/>
    </xf>
    <xf numFmtId="37" fontId="0" fillId="0" borderId="0" xfId="0" applyNumberFormat="1"/>
    <xf numFmtId="37" fontId="34" fillId="0" borderId="3" xfId="0" applyNumberFormat="1" applyFont="1" applyBorder="1" applyAlignment="1"/>
    <xf numFmtId="37" fontId="40" fillId="0" borderId="0" xfId="0" applyNumberFormat="1" applyFont="1" applyFill="1" applyAlignment="1">
      <alignment horizontal="right"/>
    </xf>
    <xf numFmtId="37" fontId="34" fillId="0" borderId="0" xfId="1" applyNumberFormat="1" applyFont="1" applyFill="1" applyAlignment="1"/>
    <xf numFmtId="37" fontId="36" fillId="0" borderId="0" xfId="0" applyNumberFormat="1" applyFont="1" applyBorder="1" applyAlignment="1">
      <alignment horizontal="right"/>
    </xf>
    <xf numFmtId="37" fontId="34" fillId="0" borderId="3" xfId="1" applyNumberFormat="1" applyFont="1" applyFill="1" applyBorder="1" applyAlignment="1">
      <alignment horizontal="right"/>
    </xf>
    <xf numFmtId="37" fontId="36" fillId="0" borderId="2" xfId="0" applyNumberFormat="1" applyFont="1" applyBorder="1"/>
    <xf numFmtId="37" fontId="45" fillId="0" borderId="0" xfId="0" applyNumberFormat="1" applyFont="1" applyBorder="1"/>
    <xf numFmtId="37" fontId="45" fillId="0" borderId="0" xfId="0" applyNumberFormat="1" applyFont="1" applyFill="1" applyBorder="1"/>
    <xf numFmtId="37" fontId="36" fillId="0" borderId="0" xfId="0" applyNumberFormat="1" applyFont="1" applyFill="1" applyBorder="1"/>
    <xf numFmtId="37" fontId="36" fillId="0" borderId="4" xfId="0" applyNumberFormat="1" applyFont="1" applyFill="1" applyBorder="1"/>
    <xf numFmtId="37" fontId="34" fillId="0" borderId="0" xfId="0" applyNumberFormat="1" applyFont="1" applyFill="1" applyBorder="1"/>
    <xf numFmtId="37" fontId="34" fillId="0" borderId="0" xfId="5" applyNumberFormat="1" applyFont="1" applyBorder="1" applyAlignment="1">
      <alignment horizontal="right"/>
    </xf>
    <xf numFmtId="0" fontId="33" fillId="0" borderId="13" xfId="26" applyFont="1" applyBorder="1" applyAlignment="1">
      <alignment horizontal="center"/>
    </xf>
    <xf numFmtId="0" fontId="32" fillId="0" borderId="32" xfId="26" applyFont="1" applyBorder="1" applyAlignment="1">
      <alignment horizontal="center" wrapText="1"/>
    </xf>
    <xf numFmtId="0" fontId="32" fillId="0" borderId="42" xfId="26" applyFont="1" applyBorder="1" applyAlignment="1">
      <alignment horizontal="center" wrapText="1"/>
    </xf>
    <xf numFmtId="0" fontId="32" fillId="0" borderId="41" xfId="26" applyFont="1" applyBorder="1" applyAlignment="1">
      <alignment horizontal="center"/>
    </xf>
    <xf numFmtId="0" fontId="32" fillId="0" borderId="43" xfId="26" applyFont="1" applyBorder="1" applyAlignment="1">
      <alignment horizontal="center"/>
    </xf>
    <xf numFmtId="0" fontId="32" fillId="0" borderId="42" xfId="26" applyFont="1" applyBorder="1" applyAlignment="1">
      <alignment horizontal="center"/>
    </xf>
    <xf numFmtId="0" fontId="32" fillId="0" borderId="33" xfId="26" applyFont="1" applyFill="1" applyBorder="1" applyAlignment="1">
      <alignment vertical="top" wrapText="1"/>
    </xf>
    <xf numFmtId="0" fontId="32" fillId="0" borderId="0" xfId="26" applyFont="1" applyBorder="1"/>
    <xf numFmtId="0" fontId="32" fillId="0" borderId="5" xfId="26" applyFont="1" applyBorder="1" applyAlignment="1">
      <alignment vertical="top"/>
    </xf>
    <xf numFmtId="0" fontId="32" fillId="0" borderId="44" xfId="26" applyFont="1" applyBorder="1"/>
    <xf numFmtId="0" fontId="32" fillId="0" borderId="20" xfId="26" applyFont="1" applyBorder="1"/>
    <xf numFmtId="0" fontId="32" fillId="0" borderId="64" xfId="26" applyFont="1" applyBorder="1"/>
    <xf numFmtId="0" fontId="32" fillId="0" borderId="0" xfId="26" applyFont="1" applyFill="1" applyBorder="1"/>
    <xf numFmtId="0" fontId="45" fillId="0" borderId="0" xfId="0" applyFont="1" applyFill="1" applyAlignment="1">
      <alignment horizontal="centerContinuous"/>
    </xf>
    <xf numFmtId="0" fontId="157" fillId="0" borderId="0" xfId="0" applyFont="1" applyFill="1" applyBorder="1"/>
    <xf numFmtId="0" fontId="91" fillId="0" borderId="0" xfId="0" applyFont="1" applyFill="1" applyBorder="1"/>
    <xf numFmtId="164" fontId="33" fillId="0" borderId="0" xfId="1" applyNumberFormat="1" applyFont="1" applyBorder="1"/>
    <xf numFmtId="0" fontId="32" fillId="0" borderId="0" xfId="0" applyFont="1" applyAlignment="1">
      <alignment horizontal="centerContinuous"/>
    </xf>
    <xf numFmtId="0" fontId="33" fillId="0" borderId="4" xfId="57" applyFont="1" applyBorder="1" applyAlignment="1">
      <alignment horizontal="left" wrapText="1"/>
    </xf>
    <xf numFmtId="0" fontId="32" fillId="0" borderId="0" xfId="57" applyFont="1" applyAlignment="1">
      <alignment horizontal="centerContinuous"/>
    </xf>
    <xf numFmtId="174" fontId="155" fillId="0" borderId="0" xfId="1" quotePrefix="1" applyNumberFormat="1" applyFont="1" applyBorder="1" applyAlignment="1" applyProtection="1">
      <alignment horizontal="centerContinuous"/>
    </xf>
    <xf numFmtId="0" fontId="82" fillId="0" borderId="0" xfId="57" applyFont="1" applyAlignment="1">
      <alignment horizontal="centerContinuous"/>
    </xf>
    <xf numFmtId="0" fontId="32" fillId="0" borderId="4" xfId="57" applyFont="1" applyBorder="1" applyAlignment="1">
      <alignment horizontal="centerContinuous"/>
    </xf>
    <xf numFmtId="37" fontId="34" fillId="0" borderId="39" xfId="1" applyNumberFormat="1" applyFont="1" applyFill="1" applyBorder="1" applyAlignment="1">
      <alignment horizontal="right"/>
    </xf>
    <xf numFmtId="37" fontId="36" fillId="3" borderId="0" xfId="0" applyNumberFormat="1" applyFont="1" applyFill="1" applyBorder="1"/>
    <xf numFmtId="37" fontId="33" fillId="0" borderId="41" xfId="45" applyNumberFormat="1" applyFont="1" applyFill="1" applyBorder="1" applyAlignment="1">
      <alignment horizontal="center" wrapText="1"/>
    </xf>
    <xf numFmtId="37" fontId="32" fillId="0" borderId="29" xfId="45" applyNumberFormat="1" applyFont="1" applyBorder="1" applyAlignment="1">
      <alignment horizontal="center" vertical="center"/>
    </xf>
    <xf numFmtId="37" fontId="32" fillId="0" borderId="44" xfId="45" applyNumberFormat="1" applyFont="1" applyBorder="1" applyAlignment="1">
      <alignment horizontal="center" vertical="center"/>
    </xf>
    <xf numFmtId="37" fontId="32" fillId="0" borderId="48" xfId="45" applyNumberFormat="1" applyFont="1" applyBorder="1" applyAlignment="1">
      <alignment horizontal="center" vertical="center"/>
    </xf>
    <xf numFmtId="0" fontId="145" fillId="3" borderId="0" xfId="0" applyFont="1" applyFill="1" applyAlignment="1">
      <alignment horizontal="left"/>
    </xf>
    <xf numFmtId="37" fontId="33" fillId="0" borderId="62" xfId="45" applyNumberFormat="1" applyFont="1" applyFill="1" applyBorder="1" applyAlignment="1">
      <alignment horizontal="center" wrapText="1"/>
    </xf>
    <xf numFmtId="37" fontId="32" fillId="0" borderId="67" xfId="45" applyNumberFormat="1" applyFont="1" applyBorder="1" applyAlignment="1">
      <alignment horizontal="center" vertical="center"/>
    </xf>
    <xf numFmtId="37" fontId="32" fillId="0" borderId="17" xfId="45" applyNumberFormat="1" applyFont="1" applyBorder="1" applyAlignment="1">
      <alignment horizontal="center" vertical="center"/>
    </xf>
    <xf numFmtId="37" fontId="32" fillId="0" borderId="17" xfId="45" applyNumberFormat="1" applyFont="1" applyBorder="1" applyAlignment="1">
      <alignment horizontal="center" vertical="center" wrapText="1"/>
    </xf>
    <xf numFmtId="37" fontId="160" fillId="0" borderId="0" xfId="45" applyNumberFormat="1" applyFont="1" applyFill="1"/>
    <xf numFmtId="0" fontId="45" fillId="0" borderId="5" xfId="0" applyNumberFormat="1" applyFont="1" applyFill="1" applyBorder="1" applyAlignment="1">
      <alignment horizontal="left"/>
    </xf>
    <xf numFmtId="0" fontId="45" fillId="0" borderId="5" xfId="0" applyNumberFormat="1" applyFont="1" applyFill="1" applyBorder="1" applyAlignment="1">
      <alignment horizontal="center"/>
    </xf>
    <xf numFmtId="37" fontId="101" fillId="11" borderId="64" xfId="45" applyNumberFormat="1" applyFont="1" applyFill="1" applyBorder="1"/>
    <xf numFmtId="10" fontId="142" fillId="0" borderId="0" xfId="13" applyNumberFormat="1" applyFont="1" applyFill="1"/>
    <xf numFmtId="164" fontId="32" fillId="11" borderId="0" xfId="1" applyNumberFormat="1" applyFont="1" applyFill="1"/>
    <xf numFmtId="171" fontId="36" fillId="11" borderId="0" xfId="13" applyNumberFormat="1" applyFont="1" applyFill="1" applyAlignment="1">
      <alignment horizontal="right"/>
    </xf>
    <xf numFmtId="37" fontId="36" fillId="0" borderId="0" xfId="1" applyNumberFormat="1" applyFont="1" applyAlignment="1"/>
    <xf numFmtId="37" fontId="36" fillId="0" borderId="0" xfId="2" applyNumberFormat="1" applyFont="1" applyFill="1" applyAlignment="1"/>
    <xf numFmtId="37" fontId="36" fillId="0" borderId="0" xfId="1" applyNumberFormat="1" applyFont="1" applyFill="1" applyAlignment="1"/>
    <xf numFmtId="172" fontId="36" fillId="0" borderId="0" xfId="13" applyNumberFormat="1" applyFont="1" applyAlignment="1"/>
    <xf numFmtId="190" fontId="32" fillId="0" borderId="0" xfId="0" applyNumberFormat="1" applyFont="1" applyFill="1"/>
    <xf numFmtId="37" fontId="101" fillId="11" borderId="64" xfId="1" applyNumberFormat="1" applyFont="1" applyFill="1" applyBorder="1" applyAlignment="1">
      <alignment vertical="center"/>
    </xf>
    <xf numFmtId="0" fontId="32" fillId="0" borderId="0" xfId="0" applyFont="1" applyFill="1" applyAlignment="1">
      <alignment horizontal="centerContinuous"/>
    </xf>
    <xf numFmtId="0" fontId="64" fillId="0" borderId="4" xfId="0" applyFont="1" applyFill="1" applyBorder="1"/>
    <xf numFmtId="37" fontId="32" fillId="0" borderId="23" xfId="45" applyNumberFormat="1" applyFont="1" applyBorder="1" applyAlignment="1">
      <alignment horizontal="center" wrapText="1"/>
    </xf>
    <xf numFmtId="37" fontId="32" fillId="0" borderId="6" xfId="45" applyNumberFormat="1" applyFont="1" applyBorder="1" applyAlignment="1">
      <alignment horizontal="centerContinuous" vertical="center"/>
    </xf>
    <xf numFmtId="37" fontId="33" fillId="0" borderId="5" xfId="45" applyNumberFormat="1" applyFont="1" applyBorder="1" applyAlignment="1">
      <alignment horizontal="centerContinuous"/>
    </xf>
    <xf numFmtId="37" fontId="32" fillId="0" borderId="5" xfId="45" applyNumberFormat="1" applyFont="1" applyBorder="1" applyAlignment="1">
      <alignment horizontal="centerContinuous"/>
    </xf>
    <xf numFmtId="37" fontId="109" fillId="0" borderId="5" xfId="45" applyNumberFormat="1" applyFont="1" applyBorder="1" applyAlignment="1">
      <alignment horizontal="centerContinuous"/>
    </xf>
    <xf numFmtId="37" fontId="32" fillId="0" borderId="5" xfId="45" applyNumberFormat="1" applyFont="1" applyFill="1" applyBorder="1" applyAlignment="1">
      <alignment horizontal="centerContinuous"/>
    </xf>
    <xf numFmtId="37" fontId="32" fillId="0" borderId="32" xfId="45" applyNumberFormat="1" applyFont="1" applyFill="1" applyBorder="1" applyAlignment="1">
      <alignment horizontal="centerContinuous"/>
    </xf>
    <xf numFmtId="0" fontId="32" fillId="11" borderId="0" xfId="57" applyFont="1" applyFill="1" applyAlignment="1">
      <alignment horizontal="left" vertical="center"/>
    </xf>
    <xf numFmtId="0" fontId="32" fillId="11" borderId="0" xfId="57" applyFont="1" applyFill="1" applyAlignment="1">
      <alignment vertical="center" wrapText="1"/>
    </xf>
    <xf numFmtId="0" fontId="32" fillId="11" borderId="0" xfId="57" applyFont="1" applyFill="1" applyAlignment="1">
      <alignment horizontal="center" vertical="center" wrapText="1"/>
    </xf>
    <xf numFmtId="0" fontId="32" fillId="11" borderId="0" xfId="57" applyFont="1" applyFill="1" applyAlignment="1">
      <alignment horizontal="center" vertical="center"/>
    </xf>
    <xf numFmtId="0" fontId="32" fillId="11" borderId="0" xfId="57" applyFont="1" applyFill="1" applyAlignment="1">
      <alignment vertical="center"/>
    </xf>
    <xf numFmtId="0" fontId="32" fillId="11" borderId="0" xfId="57" applyFont="1" applyFill="1"/>
    <xf numFmtId="0" fontId="32" fillId="0" borderId="0" xfId="57" applyFont="1" applyFill="1" applyBorder="1" applyAlignment="1">
      <alignment horizontal="left" vertical="center"/>
    </xf>
    <xf numFmtId="0" fontId="32" fillId="0" borderId="0" xfId="57" applyFont="1" applyFill="1" applyBorder="1" applyAlignment="1">
      <alignment horizontal="center" vertical="center"/>
    </xf>
    <xf numFmtId="174" fontId="32" fillId="0" borderId="0" xfId="1" applyNumberFormat="1" applyFont="1" applyFill="1" applyBorder="1" applyAlignment="1">
      <alignment vertical="center"/>
    </xf>
    <xf numFmtId="10" fontId="101" fillId="0" borderId="12" xfId="26" applyNumberFormat="1" applyFont="1" applyBorder="1" applyAlignment="1">
      <alignment horizontal="right" vertical="top"/>
    </xf>
    <xf numFmtId="0" fontId="101" fillId="0" borderId="11" xfId="26" applyFont="1" applyBorder="1" applyAlignment="1">
      <alignment vertical="top"/>
    </xf>
    <xf numFmtId="0" fontId="32" fillId="0" borderId="29" xfId="26" applyFont="1" applyFill="1" applyBorder="1" applyAlignment="1">
      <alignment horizontal="right" vertical="top"/>
    </xf>
    <xf numFmtId="0" fontId="32" fillId="0" borderId="30" xfId="26" applyFont="1" applyFill="1" applyBorder="1" applyAlignment="1">
      <alignment horizontal="right" vertical="top"/>
    </xf>
    <xf numFmtId="10" fontId="101" fillId="0" borderId="12" xfId="26" applyNumberFormat="1" applyFont="1" applyFill="1" applyBorder="1" applyAlignment="1">
      <alignment horizontal="right" vertical="top"/>
    </xf>
    <xf numFmtId="0" fontId="101" fillId="0" borderId="11" xfId="26" applyFont="1" applyFill="1" applyBorder="1" applyAlignment="1">
      <alignment vertical="top"/>
    </xf>
    <xf numFmtId="0" fontId="32" fillId="0" borderId="44" xfId="26" applyFont="1" applyFill="1" applyBorder="1" applyAlignment="1">
      <alignment horizontal="right" vertical="top"/>
    </xf>
    <xf numFmtId="0" fontId="32" fillId="0" borderId="20" xfId="26" applyFont="1" applyFill="1" applyBorder="1" applyAlignment="1">
      <alignment horizontal="right" vertical="top"/>
    </xf>
    <xf numFmtId="0" fontId="32" fillId="0" borderId="64" xfId="26" applyFont="1" applyFill="1" applyBorder="1" applyAlignment="1">
      <alignment vertical="top" wrapText="1"/>
    </xf>
    <xf numFmtId="10" fontId="101" fillId="0" borderId="44" xfId="26" applyNumberFormat="1" applyFont="1" applyFill="1" applyBorder="1" applyAlignment="1">
      <alignment horizontal="right" vertical="top"/>
    </xf>
    <xf numFmtId="0" fontId="32" fillId="0" borderId="48" xfId="26" applyFont="1" applyFill="1" applyBorder="1" applyAlignment="1">
      <alignment horizontal="right" vertical="top"/>
    </xf>
    <xf numFmtId="0" fontId="32" fillId="0" borderId="65" xfId="26" applyFont="1" applyFill="1" applyBorder="1" applyAlignment="1">
      <alignment horizontal="right" vertical="top"/>
    </xf>
    <xf numFmtId="0" fontId="32" fillId="0" borderId="66" xfId="26" applyFont="1" applyFill="1" applyBorder="1" applyAlignment="1">
      <alignment vertical="top" wrapText="1"/>
    </xf>
    <xf numFmtId="0" fontId="58" fillId="0" borderId="0" xfId="8" applyFont="1" applyAlignment="1">
      <alignment wrapText="1"/>
    </xf>
    <xf numFmtId="0" fontId="60" fillId="0" borderId="0" xfId="8" applyFont="1" applyAlignment="1">
      <alignment horizontal="center"/>
    </xf>
    <xf numFmtId="0" fontId="60" fillId="0" borderId="0" xfId="8" applyFont="1" applyAlignment="1"/>
    <xf numFmtId="0" fontId="33" fillId="0" borderId="0" xfId="8" applyFont="1" applyAlignment="1">
      <alignment horizontal="left"/>
    </xf>
    <xf numFmtId="164" fontId="58" fillId="11" borderId="0" xfId="1" applyNumberFormat="1" applyFont="1" applyFill="1" applyBorder="1" applyAlignment="1">
      <alignment horizontal="center"/>
    </xf>
    <xf numFmtId="164" fontId="58" fillId="11" borderId="20" xfId="1" applyNumberFormat="1" applyFont="1" applyFill="1" applyBorder="1" applyAlignment="1">
      <alignment horizontal="center"/>
    </xf>
    <xf numFmtId="164" fontId="58" fillId="0" borderId="39" xfId="8" applyNumberFormat="1" applyFont="1" applyBorder="1"/>
    <xf numFmtId="44" fontId="32" fillId="11" borderId="0" xfId="5" applyFont="1" applyFill="1"/>
    <xf numFmtId="164" fontId="58" fillId="0" borderId="18" xfId="8" applyNumberFormat="1" applyFont="1" applyFill="1" applyBorder="1"/>
    <xf numFmtId="164" fontId="58" fillId="0" borderId="0" xfId="8" applyNumberFormat="1" applyFont="1" applyFill="1" applyBorder="1"/>
    <xf numFmtId="37" fontId="32" fillId="0" borderId="67" xfId="45" applyNumberFormat="1" applyFont="1" applyFill="1" applyBorder="1" applyAlignment="1">
      <alignment horizontal="center" vertical="center"/>
    </xf>
    <xf numFmtId="37" fontId="32" fillId="0" borderId="17" xfId="45" applyNumberFormat="1" applyFont="1" applyFill="1" applyBorder="1" applyAlignment="1">
      <alignment horizontal="center" vertical="center"/>
    </xf>
    <xf numFmtId="0" fontId="40" fillId="0" borderId="0" xfId="37" applyFont="1" applyFill="1" applyBorder="1" applyAlignment="1">
      <alignment horizontal="left"/>
    </xf>
    <xf numFmtId="0" fontId="36" fillId="0" borderId="0" xfId="37" applyFont="1"/>
    <xf numFmtId="0" fontId="36" fillId="0" borderId="0" xfId="37" applyNumberFormat="1" applyFont="1" applyFill="1" applyBorder="1" applyAlignment="1"/>
    <xf numFmtId="0" fontId="71" fillId="0" borderId="0" xfId="37" applyFont="1" applyBorder="1" applyAlignment="1">
      <alignment horizontal="left"/>
    </xf>
    <xf numFmtId="0" fontId="36" fillId="0" borderId="0" xfId="37" applyFont="1" applyBorder="1" applyAlignment="1"/>
    <xf numFmtId="0" fontId="36" fillId="0" borderId="0" xfId="37" applyFont="1" applyBorder="1" applyAlignment="1">
      <alignment horizontal="center"/>
    </xf>
    <xf numFmtId="0" fontId="36" fillId="0" borderId="7" xfId="37" applyFont="1" applyBorder="1" applyAlignment="1">
      <alignment horizontal="right"/>
    </xf>
    <xf numFmtId="0" fontId="40" fillId="0" borderId="8" xfId="37" applyFont="1" applyFill="1" applyBorder="1" applyAlignment="1"/>
    <xf numFmtId="0" fontId="36" fillId="0" borderId="0" xfId="37" applyFont="1" applyFill="1" applyBorder="1" applyAlignment="1">
      <alignment horizontal="center" wrapText="1"/>
    </xf>
    <xf numFmtId="0" fontId="36" fillId="0" borderId="7" xfId="37" applyFont="1" applyFill="1" applyBorder="1" applyAlignment="1">
      <alignment horizontal="center" wrapText="1"/>
    </xf>
    <xf numFmtId="0" fontId="36" fillId="0" borderId="0" xfId="37" applyFont="1" applyBorder="1"/>
    <xf numFmtId="3" fontId="36" fillId="0" borderId="8" xfId="37" applyNumberFormat="1" applyFont="1" applyFill="1" applyBorder="1" applyAlignment="1">
      <alignment horizontal="right"/>
    </xf>
    <xf numFmtId="0" fontId="36" fillId="0" borderId="0" xfId="37" applyFont="1" applyBorder="1" applyAlignment="1">
      <alignment horizontal="left"/>
    </xf>
    <xf numFmtId="0" fontId="36" fillId="0" borderId="8" xfId="37" applyFont="1" applyFill="1" applyBorder="1" applyAlignment="1">
      <alignment horizontal="right"/>
    </xf>
    <xf numFmtId="0" fontId="36" fillId="0" borderId="0" xfId="37" applyNumberFormat="1" applyFont="1" applyBorder="1" applyAlignment="1">
      <alignment horizontal="center"/>
    </xf>
    <xf numFmtId="0" fontId="36" fillId="0" borderId="0" xfId="37" applyNumberFormat="1" applyFont="1" applyFill="1" applyBorder="1" applyAlignment="1">
      <alignment horizontal="left"/>
    </xf>
    <xf numFmtId="0" fontId="36" fillId="0" borderId="8" xfId="37" applyFont="1" applyFill="1" applyBorder="1" applyAlignment="1"/>
    <xf numFmtId="0" fontId="36" fillId="0" borderId="7" xfId="37" applyFont="1" applyBorder="1" applyAlignment="1"/>
    <xf numFmtId="0" fontId="36" fillId="0" borderId="4" xfId="37" applyNumberFormat="1" applyFont="1" applyFill="1" applyBorder="1" applyAlignment="1">
      <alignment horizontal="left"/>
    </xf>
    <xf numFmtId="164" fontId="36" fillId="0" borderId="8" xfId="37" applyNumberFormat="1" applyFont="1" applyFill="1" applyBorder="1" applyAlignment="1"/>
    <xf numFmtId="0" fontId="34" fillId="0" borderId="0" xfId="37" applyNumberFormat="1" applyFont="1" applyFill="1" applyBorder="1" applyAlignment="1">
      <alignment horizontal="left"/>
    </xf>
    <xf numFmtId="3" fontId="39" fillId="0" borderId="0" xfId="37" applyNumberFormat="1" applyFont="1" applyFill="1" applyBorder="1" applyAlignment="1">
      <alignment horizontal="center"/>
    </xf>
    <xf numFmtId="164" fontId="36" fillId="0" borderId="8" xfId="37" applyNumberFormat="1" applyFont="1" applyFill="1" applyBorder="1" applyAlignment="1">
      <alignment horizontal="right"/>
    </xf>
    <xf numFmtId="0" fontId="39" fillId="0" borderId="0" xfId="37" applyNumberFormat="1" applyFont="1" applyFill="1" applyBorder="1" applyAlignment="1">
      <alignment horizontal="center"/>
    </xf>
    <xf numFmtId="0" fontId="36" fillId="0" borderId="7" xfId="37" applyNumberFormat="1" applyFont="1" applyFill="1" applyBorder="1" applyAlignment="1">
      <alignment horizontal="left"/>
    </xf>
    <xf numFmtId="0" fontId="36" fillId="0" borderId="0" xfId="37" applyNumberFormat="1" applyFont="1" applyFill="1" applyBorder="1" applyAlignment="1">
      <alignment horizontal="center"/>
    </xf>
    <xf numFmtId="0" fontId="39" fillId="0" borderId="0" xfId="37" applyFont="1" applyBorder="1" applyAlignment="1">
      <alignment horizontal="center"/>
    </xf>
    <xf numFmtId="3" fontId="39" fillId="0" borderId="0" xfId="37" applyNumberFormat="1" applyFont="1" applyBorder="1" applyAlignment="1">
      <alignment horizontal="center"/>
    </xf>
    <xf numFmtId="0" fontId="36" fillId="0" borderId="0" xfId="37" applyFont="1" applyFill="1" applyBorder="1" applyAlignment="1">
      <alignment horizontal="left"/>
    </xf>
    <xf numFmtId="0" fontId="36" fillId="0" borderId="0" xfId="37" applyFont="1" applyFill="1" applyBorder="1" applyAlignment="1"/>
    <xf numFmtId="0" fontId="71" fillId="0" borderId="0" xfId="37" applyFont="1" applyFill="1" applyBorder="1" applyAlignment="1">
      <alignment horizontal="left"/>
    </xf>
    <xf numFmtId="0" fontId="36" fillId="0" borderId="0" xfId="37" applyFont="1" applyFill="1" applyBorder="1" applyAlignment="1">
      <alignment horizontal="center"/>
    </xf>
    <xf numFmtId="0" fontId="36" fillId="0" borderId="0" xfId="37" applyFont="1" applyFill="1" applyBorder="1" applyAlignment="1">
      <alignment horizontal="right"/>
    </xf>
    <xf numFmtId="1" fontId="39" fillId="0" borderId="0" xfId="37" applyNumberFormat="1" applyFont="1" applyFill="1" applyBorder="1" applyAlignment="1">
      <alignment horizontal="center"/>
    </xf>
    <xf numFmtId="164" fontId="36" fillId="0" borderId="0" xfId="48" applyNumberFormat="1" applyFont="1" applyFill="1" applyBorder="1" applyAlignment="1">
      <alignment horizontal="right"/>
    </xf>
    <xf numFmtId="164" fontId="36" fillId="0" borderId="8" xfId="48" applyNumberFormat="1" applyFont="1" applyFill="1" applyBorder="1" applyAlignment="1">
      <alignment horizontal="right"/>
    </xf>
    <xf numFmtId="0" fontId="71" fillId="0" borderId="0" xfId="37" applyNumberFormat="1" applyFont="1" applyFill="1" applyBorder="1" applyAlignment="1">
      <alignment horizontal="left"/>
    </xf>
    <xf numFmtId="0" fontId="36" fillId="0" borderId="24" xfId="37" applyNumberFormat="1" applyFont="1" applyFill="1" applyBorder="1" applyAlignment="1">
      <alignment horizontal="center"/>
    </xf>
    <xf numFmtId="0" fontId="36" fillId="0" borderId="1" xfId="37" applyNumberFormat="1" applyFont="1" applyBorder="1" applyAlignment="1">
      <alignment horizontal="center"/>
    </xf>
    <xf numFmtId="0" fontId="36" fillId="0" borderId="1" xfId="37" applyNumberFormat="1" applyFont="1" applyFill="1" applyBorder="1" applyAlignment="1">
      <alignment horizontal="left"/>
    </xf>
    <xf numFmtId="0" fontId="36" fillId="0" borderId="1" xfId="37" applyFont="1" applyBorder="1" applyAlignment="1"/>
    <xf numFmtId="0" fontId="39" fillId="0" borderId="1" xfId="37" applyNumberFormat="1" applyFont="1" applyFill="1" applyBorder="1" applyAlignment="1">
      <alignment horizontal="center"/>
    </xf>
    <xf numFmtId="0" fontId="36" fillId="0" borderId="9" xfId="37" applyNumberFormat="1" applyFont="1" applyFill="1" applyBorder="1" applyAlignment="1">
      <alignment horizontal="left"/>
    </xf>
    <xf numFmtId="164" fontId="36" fillId="0" borderId="24" xfId="48" applyNumberFormat="1" applyFont="1" applyFill="1" applyBorder="1" applyAlignment="1">
      <alignment horizontal="right"/>
    </xf>
    <xf numFmtId="0" fontId="36" fillId="0" borderId="1" xfId="37" applyFont="1" applyBorder="1" applyAlignment="1">
      <alignment horizontal="center"/>
    </xf>
    <xf numFmtId="0" fontId="36" fillId="0" borderId="1" xfId="37" applyFont="1" applyFill="1" applyBorder="1" applyAlignment="1">
      <alignment horizontal="center" wrapText="1"/>
    </xf>
    <xf numFmtId="0" fontId="36" fillId="0" borderId="9" xfId="37" applyFont="1" applyFill="1" applyBorder="1" applyAlignment="1">
      <alignment horizontal="center" wrapText="1"/>
    </xf>
    <xf numFmtId="3" fontId="36" fillId="0" borderId="0" xfId="37" applyNumberFormat="1" applyFont="1" applyBorder="1" applyAlignment="1">
      <alignment horizontal="right"/>
    </xf>
    <xf numFmtId="0" fontId="36" fillId="0" borderId="8" xfId="37" applyNumberFormat="1" applyFont="1" applyFill="1" applyBorder="1" applyAlignment="1">
      <alignment horizontal="center"/>
    </xf>
    <xf numFmtId="164" fontId="36" fillId="0" borderId="0" xfId="37" applyNumberFormat="1" applyFont="1" applyBorder="1" applyAlignment="1">
      <alignment horizontal="center"/>
    </xf>
    <xf numFmtId="164" fontId="36" fillId="0" borderId="1" xfId="48" applyNumberFormat="1" applyFont="1" applyFill="1" applyBorder="1" applyAlignment="1">
      <alignment horizontal="right"/>
    </xf>
    <xf numFmtId="37" fontId="142" fillId="11" borderId="0" xfId="0" applyNumberFormat="1" applyFont="1" applyFill="1" applyAlignment="1">
      <alignment horizontal="right"/>
    </xf>
    <xf numFmtId="0" fontId="34" fillId="0" borderId="8" xfId="0" applyFont="1" applyFill="1" applyBorder="1" applyAlignment="1">
      <alignment horizontal="center"/>
    </xf>
    <xf numFmtId="0" fontId="34" fillId="0" borderId="0" xfId="0" applyFont="1" applyFill="1" applyBorder="1" applyAlignment="1">
      <alignment horizontal="center"/>
    </xf>
    <xf numFmtId="164" fontId="34" fillId="0" borderId="8" xfId="1" applyNumberFormat="1" applyFont="1" applyFill="1" applyBorder="1" applyAlignment="1">
      <alignment horizontal="center"/>
    </xf>
    <xf numFmtId="164" fontId="34" fillId="0" borderId="0" xfId="1" applyNumberFormat="1" applyFont="1" applyFill="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Border="1" applyAlignment="1">
      <alignment wrapText="1"/>
    </xf>
    <xf numFmtId="0" fontId="36" fillId="0" borderId="7" xfId="0" applyFont="1" applyBorder="1" applyAlignment="1">
      <alignment wrapText="1"/>
    </xf>
    <xf numFmtId="37" fontId="36" fillId="0" borderId="39" xfId="45" applyNumberFormat="1" applyFont="1" applyFill="1" applyBorder="1" applyAlignment="1">
      <alignment wrapText="1"/>
    </xf>
    <xf numFmtId="0" fontId="33" fillId="0" borderId="0" xfId="0" applyFont="1" applyFill="1" applyAlignment="1">
      <alignment horizontal="centerContinuous"/>
    </xf>
    <xf numFmtId="0" fontId="34" fillId="0" borderId="39" xfId="37" applyNumberFormat="1" applyFont="1" applyFill="1" applyBorder="1" applyAlignment="1">
      <alignment horizontal="left"/>
    </xf>
    <xf numFmtId="0" fontId="142" fillId="0" borderId="0" xfId="37" applyFont="1" applyBorder="1" applyAlignment="1">
      <alignment horizontal="center"/>
    </xf>
    <xf numFmtId="0" fontId="36" fillId="0" borderId="39" xfId="0" applyFont="1" applyBorder="1" applyAlignment="1">
      <alignment horizontal="center"/>
    </xf>
    <xf numFmtId="0" fontId="39" fillId="0" borderId="39" xfId="0" applyFont="1" applyFill="1" applyBorder="1" applyAlignment="1">
      <alignment horizontal="center"/>
    </xf>
    <xf numFmtId="10" fontId="101" fillId="11" borderId="29" xfId="26" applyNumberFormat="1" applyFont="1" applyFill="1" applyBorder="1" applyAlignment="1">
      <alignment horizontal="right" vertical="top"/>
    </xf>
    <xf numFmtId="10" fontId="101" fillId="11" borderId="44" xfId="26" applyNumberFormat="1" applyFont="1" applyFill="1" applyBorder="1" applyAlignment="1">
      <alignment horizontal="right" vertical="top"/>
    </xf>
    <xf numFmtId="10" fontId="101" fillId="11" borderId="48" xfId="26" applyNumberFormat="1" applyFont="1" applyFill="1" applyBorder="1" applyAlignment="1">
      <alignment horizontal="right" vertical="top"/>
    </xf>
    <xf numFmtId="168" fontId="101" fillId="0" borderId="0" xfId="13" applyNumberFormat="1" applyFont="1" applyFill="1"/>
    <xf numFmtId="168" fontId="102" fillId="0" borderId="0" xfId="13" applyNumberFormat="1" applyFont="1" applyFill="1"/>
    <xf numFmtId="164" fontId="101" fillId="11" borderId="0" xfId="1" applyNumberFormat="1" applyFont="1" applyFill="1" applyBorder="1"/>
    <xf numFmtId="0" fontId="33" fillId="0" borderId="0" xfId="57" applyFont="1" applyFill="1" applyAlignment="1">
      <alignment horizontal="left" vertical="justify"/>
    </xf>
    <xf numFmtId="0" fontId="32" fillId="0" borderId="0" xfId="57" applyFont="1" applyFill="1" applyAlignment="1">
      <alignment vertical="center"/>
    </xf>
    <xf numFmtId="0" fontId="32" fillId="0" borderId="0" xfId="57" applyFont="1" applyFill="1" applyAlignment="1">
      <alignment horizontal="centerContinuous"/>
    </xf>
    <xf numFmtId="0" fontId="32" fillId="0" borderId="0" xfId="57" applyFont="1" applyFill="1" applyAlignment="1">
      <alignment horizontal="center"/>
    </xf>
    <xf numFmtId="0" fontId="33" fillId="0" borderId="0" xfId="57" applyFont="1" applyFill="1" applyAlignment="1">
      <alignment horizontal="center"/>
    </xf>
    <xf numFmtId="0" fontId="33" fillId="0" borderId="0" xfId="57" applyFont="1" applyFill="1" applyBorder="1" applyAlignment="1">
      <alignment horizontal="center"/>
    </xf>
    <xf numFmtId="0" fontId="32" fillId="0" borderId="0" xfId="57" applyFont="1" applyFill="1" applyAlignment="1">
      <alignment horizontal="center" vertical="center"/>
    </xf>
    <xf numFmtId="0" fontId="32" fillId="0" borderId="0" xfId="57" applyFont="1" applyFill="1"/>
    <xf numFmtId="0" fontId="33" fillId="0" borderId="0" xfId="57" quotePrefix="1" applyFont="1" applyFill="1" applyAlignment="1">
      <alignment horizontal="center"/>
    </xf>
    <xf numFmtId="0" fontId="32" fillId="0" borderId="0" xfId="57" applyFont="1" applyFill="1" applyAlignment="1">
      <alignment horizontal="center" vertical="center" wrapText="1"/>
    </xf>
    <xf numFmtId="3" fontId="36" fillId="0" borderId="75" xfId="0" applyNumberFormat="1" applyFont="1" applyFill="1" applyBorder="1" applyAlignment="1">
      <alignment horizontal="center"/>
    </xf>
    <xf numFmtId="0" fontId="39" fillId="0" borderId="0" xfId="0" applyFont="1" applyFill="1" applyBorder="1" applyAlignment="1"/>
    <xf numFmtId="0" fontId="36" fillId="0" borderId="75" xfId="0" applyNumberFormat="1" applyFont="1" applyFill="1" applyBorder="1" applyAlignment="1">
      <alignment horizontal="right"/>
    </xf>
    <xf numFmtId="0" fontId="36" fillId="0" borderId="75" xfId="0" applyNumberFormat="1" applyFont="1" applyBorder="1" applyAlignment="1">
      <alignment horizontal="left"/>
    </xf>
    <xf numFmtId="0" fontId="39" fillId="0" borderId="75" xfId="0" applyFont="1" applyFill="1" applyBorder="1" applyAlignment="1"/>
    <xf numFmtId="0" fontId="39" fillId="0" borderId="75" xfId="0" applyNumberFormat="1" applyFont="1" applyBorder="1" applyAlignment="1">
      <alignment horizontal="center"/>
    </xf>
    <xf numFmtId="0" fontId="36" fillId="0" borderId="75" xfId="0" applyNumberFormat="1" applyFont="1" applyFill="1" applyBorder="1" applyAlignment="1">
      <alignment horizontal="left"/>
    </xf>
    <xf numFmtId="164" fontId="36" fillId="0" borderId="75" xfId="0" applyNumberFormat="1" applyFont="1" applyFill="1" applyBorder="1" applyAlignment="1">
      <alignment horizontal="center" wrapText="1"/>
    </xf>
    <xf numFmtId="168" fontId="36" fillId="0" borderId="0" xfId="13" applyNumberFormat="1" applyFont="1" applyFill="1" applyBorder="1" applyAlignment="1">
      <alignment horizontal="left"/>
    </xf>
    <xf numFmtId="0" fontId="36" fillId="0" borderId="75" xfId="0" applyFont="1" applyFill="1" applyBorder="1" applyAlignment="1"/>
    <xf numFmtId="164" fontId="36" fillId="0" borderId="75" xfId="1" applyNumberFormat="1" applyFont="1" applyFill="1" applyBorder="1" applyAlignment="1">
      <alignment horizontal="center" wrapText="1"/>
    </xf>
    <xf numFmtId="164" fontId="36" fillId="0" borderId="75" xfId="1" applyNumberFormat="1" applyFont="1" applyFill="1" applyBorder="1" applyAlignment="1">
      <alignment horizontal="center"/>
    </xf>
    <xf numFmtId="164" fontId="36" fillId="0" borderId="75" xfId="0" applyNumberFormat="1" applyFont="1" applyFill="1" applyBorder="1" applyAlignment="1">
      <alignment horizontal="center"/>
    </xf>
    <xf numFmtId="0" fontId="36" fillId="0" borderId="75" xfId="0" applyNumberFormat="1" applyFont="1" applyBorder="1" applyAlignment="1">
      <alignment horizontal="center"/>
    </xf>
    <xf numFmtId="0" fontId="36" fillId="0" borderId="75" xfId="0" applyNumberFormat="1" applyFont="1" applyFill="1" applyBorder="1" applyAlignment="1">
      <alignment horizontal="center"/>
    </xf>
    <xf numFmtId="164" fontId="36" fillId="0" borderId="75" xfId="48" applyNumberFormat="1" applyFont="1" applyFill="1" applyBorder="1" applyAlignment="1">
      <alignment horizontal="right"/>
    </xf>
    <xf numFmtId="0" fontId="36" fillId="0" borderId="75" xfId="37" applyFont="1" applyFill="1" applyBorder="1" applyAlignment="1">
      <alignment horizontal="center" wrapText="1"/>
    </xf>
    <xf numFmtId="0" fontId="36" fillId="11" borderId="0" xfId="0" applyFont="1" applyFill="1" applyBorder="1" applyAlignment="1"/>
    <xf numFmtId="0" fontId="36" fillId="0" borderId="7" xfId="0" applyFont="1" applyFill="1" applyBorder="1" applyAlignment="1"/>
    <xf numFmtId="0" fontId="39" fillId="0" borderId="75" xfId="0" applyNumberFormat="1" applyFont="1" applyFill="1" applyBorder="1" applyAlignment="1">
      <alignment horizontal="center"/>
    </xf>
    <xf numFmtId="0" fontId="36" fillId="0" borderId="70" xfId="0" applyFont="1" applyBorder="1"/>
    <xf numFmtId="0" fontId="156" fillId="0" borderId="0" xfId="0" applyNumberFormat="1" applyFont="1" applyFill="1" applyBorder="1" applyAlignment="1">
      <alignment horizontal="left"/>
    </xf>
    <xf numFmtId="0" fontId="36" fillId="0" borderId="75" xfId="0" applyFont="1" applyFill="1" applyBorder="1" applyAlignment="1">
      <alignment horizontal="center" wrapText="1"/>
    </xf>
    <xf numFmtId="164" fontId="36" fillId="0" borderId="75" xfId="1" applyNumberFormat="1" applyFont="1" applyFill="1" applyBorder="1" applyAlignment="1"/>
    <xf numFmtId="0" fontId="36" fillId="0" borderId="11" xfId="37" applyNumberFormat="1" applyFont="1" applyBorder="1" applyAlignment="1">
      <alignment horizontal="center"/>
    </xf>
    <xf numFmtId="0" fontId="36" fillId="0" borderId="75" xfId="37" applyNumberFormat="1" applyFont="1" applyBorder="1" applyAlignment="1">
      <alignment horizontal="center"/>
    </xf>
    <xf numFmtId="164" fontId="36" fillId="0" borderId="75" xfId="0" applyNumberFormat="1" applyFont="1" applyBorder="1"/>
    <xf numFmtId="0" fontId="36" fillId="0" borderId="11" xfId="37" applyFont="1" applyBorder="1" applyAlignment="1"/>
    <xf numFmtId="0" fontId="36" fillId="0" borderId="11" xfId="37" applyFont="1" applyBorder="1" applyAlignment="1">
      <alignment horizontal="center"/>
    </xf>
    <xf numFmtId="0" fontId="36" fillId="0" borderId="11" xfId="37" applyFont="1" applyFill="1" applyBorder="1" applyAlignment="1">
      <alignment horizontal="center" wrapText="1"/>
    </xf>
    <xf numFmtId="0" fontId="36" fillId="0" borderId="75" xfId="37" applyNumberFormat="1" applyFont="1" applyFill="1" applyBorder="1" applyAlignment="1">
      <alignment horizontal="left"/>
    </xf>
    <xf numFmtId="0" fontId="36" fillId="0" borderId="75" xfId="37" applyFont="1" applyBorder="1" applyAlignment="1"/>
    <xf numFmtId="0" fontId="39" fillId="0" borderId="75" xfId="37" applyNumberFormat="1" applyFont="1" applyFill="1" applyBorder="1" applyAlignment="1">
      <alignment horizontal="center"/>
    </xf>
    <xf numFmtId="0" fontId="36" fillId="0" borderId="75" xfId="0" applyFont="1" applyFill="1" applyBorder="1" applyAlignment="1">
      <alignment horizontal="center"/>
    </xf>
    <xf numFmtId="3" fontId="36" fillId="0" borderId="7" xfId="0" applyNumberFormat="1" applyFont="1" applyFill="1" applyBorder="1" applyAlignment="1"/>
    <xf numFmtId="0" fontId="36" fillId="0" borderId="75" xfId="37" applyFont="1" applyBorder="1" applyAlignment="1">
      <alignment horizontal="center"/>
    </xf>
    <xf numFmtId="0" fontId="36" fillId="0" borderId="11" xfId="37" applyNumberFormat="1" applyFont="1" applyFill="1" applyBorder="1" applyAlignment="1">
      <alignment horizontal="center"/>
    </xf>
    <xf numFmtId="0" fontId="36" fillId="0" borderId="75" xfId="0" applyFont="1" applyBorder="1"/>
    <xf numFmtId="0" fontId="156" fillId="0" borderId="0" xfId="37" applyFont="1" applyFill="1" applyBorder="1" applyAlignment="1">
      <alignment horizontal="left"/>
    </xf>
    <xf numFmtId="0" fontId="36" fillId="0" borderId="11" xfId="37" applyNumberFormat="1" applyFont="1" applyFill="1" applyBorder="1" applyAlignment="1">
      <alignment horizontal="left"/>
    </xf>
    <xf numFmtId="0" fontId="39" fillId="0" borderId="11" xfId="37" applyNumberFormat="1" applyFont="1" applyFill="1" applyBorder="1" applyAlignment="1">
      <alignment horizontal="center"/>
    </xf>
    <xf numFmtId="164" fontId="36" fillId="0" borderId="11" xfId="48" applyNumberFormat="1" applyFont="1" applyFill="1" applyBorder="1" applyAlignment="1">
      <alignment horizontal="right"/>
    </xf>
    <xf numFmtId="0" fontId="36" fillId="0" borderId="75" xfId="0" applyFont="1" applyFill="1" applyBorder="1"/>
    <xf numFmtId="0" fontId="156" fillId="0" borderId="0" xfId="0" applyFont="1" applyFill="1" applyBorder="1" applyAlignment="1">
      <alignment horizontal="left"/>
    </xf>
    <xf numFmtId="3" fontId="36" fillId="0" borderId="0" xfId="0" applyNumberFormat="1" applyFont="1" applyFill="1" applyBorder="1"/>
    <xf numFmtId="0" fontId="32" fillId="0" borderId="0" xfId="37" applyFont="1"/>
    <xf numFmtId="37" fontId="32" fillId="0" borderId="0" xfId="45" applyNumberFormat="1" applyFont="1"/>
    <xf numFmtId="164" fontId="36" fillId="0" borderId="9" xfId="1" applyNumberFormat="1" applyFont="1" applyFill="1" applyBorder="1" applyAlignment="1">
      <alignment horizontal="center" wrapText="1"/>
    </xf>
    <xf numFmtId="0" fontId="36" fillId="0" borderId="0" xfId="0" applyNumberFormat="1" applyFont="1" applyFill="1" applyBorder="1" applyAlignment="1">
      <alignment horizontal="center"/>
    </xf>
    <xf numFmtId="172" fontId="32" fillId="0" borderId="0" xfId="13" applyNumberFormat="1" applyAlignment="1"/>
    <xf numFmtId="0" fontId="157" fillId="0" borderId="0" xfId="0" applyFont="1" applyFill="1"/>
    <xf numFmtId="37" fontId="36" fillId="0" borderId="0" xfId="45" applyNumberFormat="1" applyFont="1" applyFill="1" applyBorder="1" applyAlignment="1">
      <alignment wrapText="1"/>
    </xf>
    <xf numFmtId="0" fontId="48" fillId="0" borderId="0" xfId="0" applyNumberFormat="1" applyFont="1" applyFill="1" applyBorder="1"/>
    <xf numFmtId="164" fontId="142" fillId="11" borderId="0" xfId="1" applyNumberFormat="1" applyFont="1" applyFill="1" applyBorder="1" applyAlignment="1"/>
    <xf numFmtId="0" fontId="56" fillId="0" borderId="23" xfId="0" applyFont="1" applyBorder="1" applyAlignment="1">
      <alignment horizontal="center"/>
    </xf>
    <xf numFmtId="164" fontId="56" fillId="0" borderId="5" xfId="1" applyNumberFormat="1" applyFont="1" applyBorder="1" applyAlignment="1">
      <alignment horizontal="center"/>
    </xf>
    <xf numFmtId="0" fontId="56" fillId="0" borderId="23" xfId="0" applyFont="1" applyFill="1" applyBorder="1" applyAlignment="1">
      <alignment horizontal="center"/>
    </xf>
    <xf numFmtId="0" fontId="56" fillId="0" borderId="6" xfId="0" applyFont="1" applyFill="1" applyBorder="1" applyAlignment="1">
      <alignment horizontal="center" wrapText="1"/>
    </xf>
    <xf numFmtId="0" fontId="56" fillId="0" borderId="32" xfId="0" applyFont="1" applyFill="1" applyBorder="1" applyAlignment="1">
      <alignment horizontal="center" wrapText="1"/>
    </xf>
    <xf numFmtId="0" fontId="53" fillId="0" borderId="23" xfId="0" applyFont="1" applyBorder="1"/>
    <xf numFmtId="0" fontId="53" fillId="0" borderId="0" xfId="0" applyFont="1" applyBorder="1" applyAlignment="1">
      <alignment horizontal="center" wrapText="1"/>
    </xf>
    <xf numFmtId="10" fontId="53" fillId="0" borderId="0" xfId="13" applyNumberFormat="1" applyFont="1" applyFill="1" applyBorder="1" applyAlignment="1">
      <alignment horizontal="left"/>
    </xf>
    <xf numFmtId="164" fontId="53" fillId="0" borderId="0" xfId="0" applyNumberFormat="1" applyFont="1" applyFill="1" applyBorder="1"/>
    <xf numFmtId="0" fontId="53" fillId="0" borderId="75" xfId="0" applyFont="1" applyFill="1" applyBorder="1"/>
    <xf numFmtId="0" fontId="43" fillId="0" borderId="0" xfId="0" applyNumberFormat="1" applyFont="1" applyFill="1"/>
    <xf numFmtId="0" fontId="32" fillId="0" borderId="0" xfId="0" applyNumberFormat="1" applyFont="1" applyFill="1"/>
    <xf numFmtId="3" fontId="36" fillId="0" borderId="39" xfId="37" applyNumberFormat="1" applyFont="1" applyFill="1" applyBorder="1" applyAlignment="1"/>
    <xf numFmtId="3" fontId="42" fillId="0" borderId="75" xfId="0" applyNumberFormat="1" applyFont="1" applyFill="1" applyBorder="1" applyAlignment="1">
      <alignment horizontal="center"/>
    </xf>
    <xf numFmtId="37" fontId="34" fillId="0" borderId="0" xfId="1" applyNumberFormat="1" applyFont="1" applyFill="1"/>
    <xf numFmtId="37" fontId="36" fillId="0" borderId="4" xfId="0" applyNumberFormat="1" applyFont="1" applyFill="1" applyBorder="1" applyAlignment="1">
      <alignment horizontal="right"/>
    </xf>
    <xf numFmtId="0" fontId="36" fillId="11" borderId="4" xfId="0" applyNumberFormat="1" applyFont="1" applyFill="1" applyBorder="1" applyAlignment="1">
      <alignment horizontal="left"/>
    </xf>
    <xf numFmtId="0" fontId="144" fillId="37" borderId="78" xfId="0" applyFont="1" applyFill="1" applyBorder="1" applyAlignment="1">
      <alignment horizontal="center" wrapText="1"/>
    </xf>
    <xf numFmtId="0" fontId="144" fillId="37" borderId="79" xfId="0" applyFont="1" applyFill="1" applyBorder="1" applyAlignment="1">
      <alignment horizontal="center" wrapText="1"/>
    </xf>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7" xfId="0" applyNumberFormat="1" applyFont="1" applyFill="1" applyBorder="1" applyAlignment="1"/>
    <xf numFmtId="0" fontId="144" fillId="37" borderId="78" xfId="37" applyFont="1" applyFill="1" applyBorder="1" applyAlignment="1">
      <alignment horizontal="center" wrapText="1"/>
    </xf>
    <xf numFmtId="0" fontId="144" fillId="37" borderId="79" xfId="37" applyFont="1" applyFill="1" applyBorder="1" applyAlignment="1">
      <alignment horizontal="center" wrapText="1"/>
    </xf>
    <xf numFmtId="0" fontId="144" fillId="37" borderId="79" xfId="37" applyFont="1" applyFill="1" applyBorder="1" applyAlignment="1"/>
    <xf numFmtId="0" fontId="144" fillId="37" borderId="80" xfId="37" applyFont="1" applyFill="1" applyBorder="1" applyAlignment="1"/>
    <xf numFmtId="0" fontId="148" fillId="37" borderId="79" xfId="0" applyFont="1" applyFill="1" applyBorder="1" applyAlignment="1"/>
    <xf numFmtId="0" fontId="148" fillId="37" borderId="80" xfId="0" applyFont="1" applyFill="1" applyBorder="1" applyAlignment="1"/>
    <xf numFmtId="0" fontId="42" fillId="0" borderId="39" xfId="0" applyFont="1" applyFill="1" applyBorder="1" applyAlignment="1"/>
    <xf numFmtId="0" fontId="42" fillId="0" borderId="69" xfId="0" applyFont="1" applyFill="1" applyBorder="1" applyAlignment="1"/>
    <xf numFmtId="0" fontId="33" fillId="7" borderId="0" xfId="0" applyFont="1" applyFill="1" applyAlignment="1">
      <alignment horizontal="left"/>
    </xf>
    <xf numFmtId="37" fontId="101" fillId="11" borderId="66" xfId="1" applyNumberFormat="1" applyFont="1" applyFill="1" applyBorder="1" applyAlignment="1">
      <alignment vertical="center"/>
    </xf>
    <xf numFmtId="0" fontId="144" fillId="37" borderId="79" xfId="0" applyFont="1" applyFill="1" applyBorder="1" applyAlignment="1"/>
    <xf numFmtId="0" fontId="144" fillId="37" borderId="80" xfId="0" applyFont="1" applyFill="1" applyBorder="1" applyAlignment="1"/>
    <xf numFmtId="0" fontId="32" fillId="11" borderId="19" xfId="11" applyFont="1" applyFill="1" applyBorder="1" applyAlignment="1">
      <alignment horizontal="left" vertical="top"/>
    </xf>
    <xf numFmtId="0" fontId="32" fillId="0" borderId="39" xfId="0" applyFont="1" applyFill="1" applyBorder="1"/>
    <xf numFmtId="0" fontId="163" fillId="11" borderId="18" xfId="8" applyFont="1" applyFill="1" applyBorder="1" applyAlignment="1">
      <alignment horizontal="center"/>
    </xf>
    <xf numFmtId="0" fontId="163" fillId="11" borderId="0" xfId="8" applyFont="1" applyFill="1" applyBorder="1" applyAlignment="1">
      <alignment horizontal="center"/>
    </xf>
    <xf numFmtId="0" fontId="163" fillId="11" borderId="17" xfId="8" applyFont="1" applyFill="1" applyBorder="1" applyAlignment="1">
      <alignment horizontal="center"/>
    </xf>
    <xf numFmtId="0" fontId="163" fillId="11" borderId="20" xfId="8" applyFont="1" applyFill="1" applyBorder="1" applyAlignment="1">
      <alignment horizontal="center"/>
    </xf>
    <xf numFmtId="0" fontId="163" fillId="0" borderId="0" xfId="8" applyFont="1" applyAlignment="1">
      <alignment horizontal="center"/>
    </xf>
    <xf numFmtId="49" fontId="102" fillId="0" borderId="65" xfId="57" applyNumberFormat="1" applyFont="1" applyFill="1" applyBorder="1" applyAlignment="1">
      <alignment vertical="center"/>
    </xf>
    <xf numFmtId="37" fontId="32" fillId="0" borderId="68" xfId="45" quotePrefix="1" applyNumberFormat="1" applyFont="1" applyFill="1" applyBorder="1" applyAlignment="1">
      <alignment horizontal="center" vertical="center"/>
    </xf>
    <xf numFmtId="37" fontId="32" fillId="0" borderId="68" xfId="45" quotePrefix="1" applyNumberFormat="1" applyFont="1" applyFill="1" applyBorder="1" applyAlignment="1">
      <alignment horizontal="center" vertical="center" wrapText="1"/>
    </xf>
    <xf numFmtId="37" fontId="32" fillId="0" borderId="17" xfId="45" quotePrefix="1" applyNumberFormat="1" applyFont="1" applyFill="1" applyBorder="1" applyAlignment="1">
      <alignment horizontal="center" vertical="center"/>
    </xf>
    <xf numFmtId="3" fontId="36" fillId="0" borderId="8" xfId="0" applyNumberFormat="1" applyFont="1" applyFill="1" applyBorder="1" applyAlignment="1">
      <alignment horizontal="center"/>
    </xf>
    <xf numFmtId="37" fontId="32" fillId="0" borderId="17" xfId="45" quotePrefix="1" applyNumberFormat="1" applyFont="1" applyFill="1" applyBorder="1" applyAlignment="1">
      <alignment horizontal="center" vertical="center" wrapText="1"/>
    </xf>
    <xf numFmtId="43" fontId="58" fillId="0" borderId="0" xfId="8" applyNumberFormat="1" applyFont="1" applyFill="1"/>
    <xf numFmtId="0" fontId="58" fillId="0" borderId="0" xfId="8" applyNumberFormat="1" applyFont="1" applyFill="1"/>
    <xf numFmtId="3" fontId="36" fillId="0" borderId="0" xfId="0" applyNumberFormat="1" applyFont="1" applyFill="1" applyBorder="1" applyAlignment="1">
      <alignment horizontal="center" wrapText="1"/>
    </xf>
    <xf numFmtId="0" fontId="39" fillId="0" borderId="75" xfId="0" applyFont="1" applyFill="1" applyBorder="1" applyAlignment="1">
      <alignment horizontal="center"/>
    </xf>
    <xf numFmtId="0" fontId="36" fillId="0" borderId="47" xfId="0" applyFont="1" applyFill="1" applyBorder="1"/>
    <xf numFmtId="0" fontId="34" fillId="0" borderId="47" xfId="0" applyFont="1" applyFill="1" applyBorder="1" applyAlignment="1">
      <alignment horizontal="left" indent="1"/>
    </xf>
    <xf numFmtId="0" fontId="36" fillId="11" borderId="0" xfId="0" applyFont="1" applyFill="1" applyBorder="1" applyAlignment="1">
      <alignment horizontal="left" indent="1"/>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7" xfId="0" applyFont="1" applyBorder="1" applyAlignment="1">
      <alignment horizontal="left"/>
    </xf>
    <xf numFmtId="0" fontId="39" fillId="0" borderId="47" xfId="0" applyFont="1" applyFill="1" applyBorder="1" applyAlignment="1">
      <alignment horizontal="center"/>
    </xf>
    <xf numFmtId="0" fontId="36" fillId="0" borderId="47" xfId="0" applyFont="1" applyFill="1" applyBorder="1" applyAlignment="1"/>
    <xf numFmtId="0" fontId="142" fillId="11" borderId="7" xfId="0" applyNumberFormat="1" applyFont="1" applyFill="1" applyBorder="1" applyAlignment="1"/>
    <xf numFmtId="0" fontId="142" fillId="11" borderId="7" xfId="0" applyFont="1" applyFill="1" applyBorder="1" applyAlignment="1"/>
    <xf numFmtId="10" fontId="36" fillId="0" borderId="0" xfId="13" applyNumberFormat="1" applyFont="1" applyFill="1" applyBorder="1" applyAlignment="1">
      <alignment horizontal="center"/>
    </xf>
    <xf numFmtId="164" fontId="60" fillId="0" borderId="36" xfId="8" applyNumberFormat="1" applyFont="1" applyFill="1" applyBorder="1"/>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0" fontId="107" fillId="0" borderId="0" xfId="37" applyNumberFormat="1" applyFont="1" applyFill="1" applyBorder="1" applyAlignment="1">
      <alignment horizontal="center"/>
    </xf>
    <xf numFmtId="0" fontId="32" fillId="0" borderId="0" xfId="37" applyNumberFormat="1" applyFont="1" applyFill="1" applyBorder="1" applyAlignment="1">
      <alignment horizontal="center"/>
    </xf>
    <xf numFmtId="37" fontId="34" fillId="0" borderId="39" xfId="45" applyNumberFormat="1" applyFont="1" applyFill="1" applyBorder="1"/>
    <xf numFmtId="49" fontId="102" fillId="0" borderId="20" xfId="57" applyNumberFormat="1" applyFont="1" applyFill="1" applyBorder="1" applyAlignment="1">
      <alignment vertical="center"/>
    </xf>
    <xf numFmtId="164" fontId="36" fillId="0" borderId="75" xfId="1" applyNumberFormat="1" applyFont="1" applyFill="1" applyBorder="1" applyAlignment="1"/>
    <xf numFmtId="0" fontId="101" fillId="0" borderId="0" xfId="0" applyFont="1" applyFill="1"/>
    <xf numFmtId="0" fontId="36" fillId="0" borderId="49" xfId="0" applyNumberFormat="1" applyFont="1" applyFill="1" applyBorder="1" applyAlignment="1">
      <alignment horizontal="left"/>
    </xf>
    <xf numFmtId="3" fontId="36" fillId="0" borderId="49" xfId="0" applyNumberFormat="1" applyFont="1" applyFill="1" applyBorder="1" applyAlignment="1"/>
    <xf numFmtId="0" fontId="36" fillId="0" borderId="4" xfId="0" applyFont="1" applyBorder="1"/>
    <xf numFmtId="37" fontId="142" fillId="11" borderId="0" xfId="1" applyNumberFormat="1" applyFont="1" applyFill="1" applyBorder="1" applyAlignment="1"/>
    <xf numFmtId="3" fontId="48" fillId="0" borderId="5" xfId="0" applyNumberFormat="1" applyFont="1" applyFill="1" applyBorder="1" applyAlignment="1"/>
    <xf numFmtId="3" fontId="48" fillId="0" borderId="5" xfId="0" applyNumberFormat="1" applyFont="1" applyBorder="1" applyAlignment="1"/>
    <xf numFmtId="0" fontId="48" fillId="0" borderId="5" xfId="0" applyNumberFormat="1" applyFont="1" applyFill="1" applyBorder="1" applyAlignment="1"/>
    <xf numFmtId="3" fontId="36" fillId="0" borderId="3" xfId="0" applyNumberFormat="1" applyFont="1" applyBorder="1" applyAlignment="1"/>
    <xf numFmtId="0" fontId="36" fillId="0" borderId="3" xfId="0" applyFont="1" applyFill="1" applyBorder="1" applyAlignment="1">
      <alignment horizontal="left"/>
    </xf>
    <xf numFmtId="0" fontId="36" fillId="0" borderId="39" xfId="0" applyNumberFormat="1" applyFont="1" applyBorder="1" applyAlignment="1"/>
    <xf numFmtId="0" fontId="36" fillId="0" borderId="49" xfId="0" applyNumberFormat="1" applyFont="1" applyFill="1" applyBorder="1" applyAlignment="1"/>
    <xf numFmtId="0" fontId="34" fillId="0" borderId="82" xfId="0" applyNumberFormat="1" applyFont="1" applyFill="1" applyBorder="1" applyAlignment="1"/>
    <xf numFmtId="0" fontId="142" fillId="11" borderId="7" xfId="0" applyNumberFormat="1" applyFont="1" applyFill="1" applyBorder="1" applyAlignment="1">
      <alignment horizontal="left"/>
    </xf>
    <xf numFmtId="3" fontId="142" fillId="11" borderId="7" xfId="0" applyNumberFormat="1" applyFont="1" applyFill="1" applyBorder="1" applyAlignment="1">
      <alignment horizontal="left"/>
    </xf>
    <xf numFmtId="0" fontId="36" fillId="0" borderId="47" xfId="0" applyFont="1" applyFill="1" applyBorder="1" applyAlignment="1">
      <alignment horizontal="left" indent="1"/>
    </xf>
    <xf numFmtId="0" fontId="58" fillId="0" borderId="0" xfId="2" applyNumberFormat="1" applyFont="1" applyFill="1"/>
    <xf numFmtId="164" fontId="60" fillId="0" borderId="38" xfId="8" applyNumberFormat="1" applyFont="1" applyFill="1" applyBorder="1"/>
    <xf numFmtId="0" fontId="144" fillId="37" borderId="79" xfId="0" applyFont="1" applyFill="1" applyBorder="1" applyAlignment="1"/>
    <xf numFmtId="165" fontId="32" fillId="0" borderId="0" xfId="22" applyFont="1"/>
    <xf numFmtId="165" fontId="32" fillId="0" borderId="0" xfId="22" applyFont="1" applyFill="1"/>
    <xf numFmtId="165" fontId="32" fillId="0" borderId="0" xfId="22" applyFont="1" applyAlignment="1">
      <alignment horizontal="center"/>
    </xf>
    <xf numFmtId="0" fontId="165" fillId="0" borderId="0" xfId="45" applyFont="1" applyAlignment="1"/>
    <xf numFmtId="44" fontId="32" fillId="0" borderId="0" xfId="472" applyFont="1" applyFill="1"/>
    <xf numFmtId="0" fontId="98" fillId="0" borderId="0" xfId="45" applyFont="1" applyFill="1"/>
    <xf numFmtId="0" fontId="32" fillId="0" borderId="0" xfId="45" applyFont="1" applyFill="1"/>
    <xf numFmtId="44" fontId="32" fillId="0" borderId="0" xfId="472" applyFont="1"/>
    <xf numFmtId="0" fontId="98" fillId="0" borderId="0" xfId="45" applyFont="1"/>
    <xf numFmtId="5" fontId="32" fillId="0" borderId="39" xfId="1" applyNumberFormat="1" applyFont="1" applyFill="1" applyBorder="1"/>
    <xf numFmtId="0" fontId="55" fillId="0" borderId="39" xfId="0" applyFont="1" applyFill="1" applyBorder="1"/>
    <xf numFmtId="0" fontId="36" fillId="0" borderId="82" xfId="0" applyFont="1" applyBorder="1"/>
    <xf numFmtId="37" fontId="36" fillId="0" borderId="0" xfId="37" applyNumberFormat="1" applyFont="1" applyBorder="1" applyAlignment="1">
      <alignment horizontal="center"/>
    </xf>
    <xf numFmtId="0" fontId="36" fillId="0" borderId="39" xfId="0" applyFont="1" applyFill="1" applyBorder="1"/>
    <xf numFmtId="37" fontId="36" fillId="0" borderId="39" xfId="37" applyNumberFormat="1" applyFont="1" applyBorder="1" applyAlignment="1">
      <alignment horizontal="center"/>
    </xf>
    <xf numFmtId="3" fontId="36" fillId="11" borderId="0" xfId="37" applyNumberFormat="1" applyFont="1" applyFill="1" applyBorder="1" applyAlignment="1">
      <alignment horizontal="center"/>
    </xf>
    <xf numFmtId="3" fontId="36" fillId="11" borderId="39" xfId="37" applyNumberFormat="1" applyFont="1" applyFill="1" applyBorder="1" applyAlignment="1">
      <alignment horizontal="center"/>
    </xf>
    <xf numFmtId="0" fontId="36" fillId="11" borderId="0" xfId="37" applyFont="1" applyFill="1" applyBorder="1" applyAlignment="1"/>
    <xf numFmtId="3" fontId="36" fillId="11" borderId="7" xfId="0" applyNumberFormat="1" applyFont="1" applyFill="1" applyBorder="1" applyAlignment="1"/>
    <xf numFmtId="0" fontId="32" fillId="11" borderId="0" xfId="37" applyFont="1" applyFill="1"/>
    <xf numFmtId="3" fontId="36" fillId="11" borderId="82" xfId="0" applyNumberFormat="1" applyFont="1" applyFill="1" applyBorder="1" applyAlignment="1"/>
    <xf numFmtId="37" fontId="34" fillId="0" borderId="36" xfId="48" applyNumberFormat="1" applyFont="1" applyFill="1" applyBorder="1" applyAlignment="1">
      <alignment horizontal="center"/>
    </xf>
    <xf numFmtId="37" fontId="34" fillId="11" borderId="0" xfId="0" applyNumberFormat="1" applyFont="1" applyFill="1" applyBorder="1" applyAlignment="1">
      <alignment horizontal="center"/>
    </xf>
    <xf numFmtId="164" fontId="142" fillId="11" borderId="0" xfId="0" applyNumberFormat="1" applyFont="1" applyFill="1" applyBorder="1" applyAlignment="1"/>
    <xf numFmtId="168" fontId="42" fillId="0" borderId="0" xfId="0" applyNumberFormat="1" applyFont="1" applyFill="1" applyBorder="1" applyAlignment="1">
      <alignment horizontal="left"/>
    </xf>
    <xf numFmtId="0" fontId="36" fillId="0" borderId="24" xfId="0" applyFont="1" applyFill="1" applyBorder="1"/>
    <xf numFmtId="37" fontId="32" fillId="0" borderId="26" xfId="45" applyNumberFormat="1" applyFont="1" applyBorder="1"/>
    <xf numFmtId="37" fontId="32" fillId="0" borderId="31" xfId="45" applyNumberFormat="1" applyFont="1" applyBorder="1"/>
    <xf numFmtId="37" fontId="32" fillId="0" borderId="22" xfId="45" applyNumberFormat="1" applyFont="1" applyBorder="1"/>
    <xf numFmtId="37" fontId="33" fillId="0" borderId="41" xfId="45" applyNumberFormat="1" applyFont="1" applyBorder="1"/>
    <xf numFmtId="37" fontId="33" fillId="0" borderId="43" xfId="45" applyNumberFormat="1" applyFont="1" applyBorder="1"/>
    <xf numFmtId="37" fontId="101" fillId="11" borderId="22" xfId="45" applyNumberFormat="1" applyFont="1" applyFill="1" applyBorder="1"/>
    <xf numFmtId="37" fontId="101" fillId="11" borderId="35" xfId="45" applyNumberFormat="1" applyFont="1" applyFill="1" applyBorder="1"/>
    <xf numFmtId="37" fontId="33" fillId="0" borderId="43" xfId="45" applyNumberFormat="1" applyFont="1" applyBorder="1" applyAlignment="1">
      <alignment horizontal="center"/>
    </xf>
    <xf numFmtId="37" fontId="33" fillId="0" borderId="43" xfId="45" applyNumberFormat="1" applyFont="1" applyBorder="1" applyAlignment="1">
      <alignment horizontal="center" wrapText="1"/>
    </xf>
    <xf numFmtId="37" fontId="33" fillId="0" borderId="42" xfId="45" applyNumberFormat="1" applyFont="1" applyBorder="1" applyAlignment="1">
      <alignment horizontal="center"/>
    </xf>
    <xf numFmtId="0" fontId="33" fillId="11" borderId="4" xfId="57" applyFont="1" applyFill="1" applyBorder="1" applyAlignment="1"/>
    <xf numFmtId="188" fontId="33" fillId="11" borderId="4" xfId="57" quotePrefix="1" applyNumberFormat="1" applyFont="1" applyFill="1" applyBorder="1" applyAlignment="1" applyProtection="1">
      <alignment horizontal="center" wrapText="1"/>
    </xf>
    <xf numFmtId="187" fontId="33" fillId="11" borderId="4" xfId="57" quotePrefix="1" applyNumberFormat="1" applyFont="1" applyFill="1" applyBorder="1" applyAlignment="1">
      <alignment horizontal="center" wrapText="1"/>
    </xf>
    <xf numFmtId="0" fontId="83" fillId="11" borderId="4" xfId="57" applyFont="1" applyFill="1" applyBorder="1" applyAlignment="1">
      <alignment horizontal="center"/>
    </xf>
    <xf numFmtId="165" fontId="32" fillId="0" borderId="0" xfId="22" applyFont="1" applyFill="1" applyAlignment="1">
      <alignment horizontal="center"/>
    </xf>
    <xf numFmtId="0" fontId="164" fillId="0" borderId="75" xfId="45" applyFont="1" applyFill="1" applyBorder="1" applyAlignment="1">
      <alignment horizontal="center"/>
    </xf>
    <xf numFmtId="0" fontId="164" fillId="0" borderId="75" xfId="45" applyFont="1" applyFill="1" applyBorder="1" applyAlignment="1"/>
    <xf numFmtId="165" fontId="32" fillId="0" borderId="75" xfId="22" applyFont="1" applyFill="1" applyBorder="1" applyAlignment="1">
      <alignment horizontal="center"/>
    </xf>
    <xf numFmtId="0" fontId="98" fillId="0" borderId="0" xfId="45" applyFont="1" applyFill="1" applyAlignment="1">
      <alignment horizontal="center"/>
    </xf>
    <xf numFmtId="0" fontId="98" fillId="0" borderId="0" xfId="45" applyFont="1" applyFill="1" applyAlignment="1"/>
    <xf numFmtId="0" fontId="32" fillId="0" borderId="0" xfId="45" applyFont="1" applyFill="1" applyAlignment="1"/>
    <xf numFmtId="0" fontId="165" fillId="0" borderId="0" xfId="45" applyFont="1" applyFill="1" applyAlignment="1"/>
    <xf numFmtId="0" fontId="32" fillId="0" borderId="39" xfId="45" applyFont="1" applyFill="1" applyBorder="1"/>
    <xf numFmtId="0" fontId="98" fillId="0" borderId="0" xfId="45" applyFont="1" applyFill="1" applyBorder="1"/>
    <xf numFmtId="165" fontId="32" fillId="0" borderId="0" xfId="22" applyFont="1" applyFill="1" applyBorder="1"/>
    <xf numFmtId="0" fontId="98" fillId="0" borderId="0" xfId="45" applyFont="1" applyFill="1" applyBorder="1" applyAlignment="1"/>
    <xf numFmtId="0" fontId="32" fillId="0" borderId="0" xfId="45" applyFont="1" applyFill="1" applyBorder="1"/>
    <xf numFmtId="0" fontId="32" fillId="0" borderId="0" xfId="45" applyFont="1" applyFill="1" applyBorder="1" applyAlignment="1"/>
    <xf numFmtId="2" fontId="53" fillId="11" borderId="8" xfId="0" applyNumberFormat="1" applyFont="1" applyFill="1" applyBorder="1" applyAlignment="1">
      <alignment horizontal="center"/>
    </xf>
    <xf numFmtId="0" fontId="53" fillId="11" borderId="8" xfId="0" applyFont="1" applyFill="1" applyBorder="1" applyAlignment="1">
      <alignment horizontal="center"/>
    </xf>
    <xf numFmtId="164" fontId="53" fillId="11" borderId="8" xfId="1" applyNumberFormat="1" applyFont="1" applyFill="1" applyBorder="1"/>
    <xf numFmtId="0" fontId="35" fillId="0" borderId="0" xfId="0" applyFont="1" applyFill="1" applyAlignment="1">
      <alignment horizontal="left"/>
    </xf>
    <xf numFmtId="0" fontId="36" fillId="0" borderId="0" xfId="0" applyNumberFormat="1" applyFont="1" applyBorder="1" applyAlignment="1">
      <alignment horizontal="centerContinuous"/>
    </xf>
    <xf numFmtId="0" fontId="36" fillId="0" borderId="0" xfId="0" applyFont="1" applyAlignment="1">
      <alignment horizontal="centerContinuous"/>
    </xf>
    <xf numFmtId="0" fontId="36" fillId="0" borderId="0" xfId="0" applyFont="1" applyBorder="1" applyAlignment="1">
      <alignment horizontal="centerContinuous"/>
    </xf>
    <xf numFmtId="0" fontId="40" fillId="0" borderId="0" xfId="0" applyFont="1" applyBorder="1" applyAlignment="1">
      <alignment horizontal="centerContinuous"/>
    </xf>
    <xf numFmtId="165" fontId="64" fillId="0" borderId="0" xfId="22" applyFont="1" applyFill="1" applyAlignment="1">
      <alignment horizontal="center"/>
    </xf>
    <xf numFmtId="165" fontId="32" fillId="0" borderId="75" xfId="22" applyFont="1" applyFill="1" applyBorder="1"/>
    <xf numFmtId="0" fontId="98" fillId="0" borderId="75" xfId="45" applyFont="1" applyFill="1" applyBorder="1"/>
    <xf numFmtId="0" fontId="32" fillId="0" borderId="75" xfId="45" applyFont="1" applyFill="1" applyBorder="1" applyAlignment="1"/>
    <xf numFmtId="165" fontId="32" fillId="0" borderId="11" xfId="22" applyFont="1" applyFill="1" applyBorder="1"/>
    <xf numFmtId="0" fontId="32" fillId="0" borderId="11" xfId="45" applyFont="1" applyFill="1" applyBorder="1"/>
    <xf numFmtId="0" fontId="32" fillId="0" borderId="11" xfId="45" applyFont="1" applyFill="1" applyBorder="1" applyAlignment="1"/>
    <xf numFmtId="0" fontId="98" fillId="0" borderId="11" xfId="45" applyFont="1" applyFill="1" applyBorder="1"/>
    <xf numFmtId="37" fontId="32" fillId="0" borderId="0" xfId="1" applyNumberFormat="1" applyFont="1" applyFill="1" applyAlignment="1"/>
    <xf numFmtId="0" fontId="36" fillId="0" borderId="39" xfId="0" applyNumberFormat="1" applyFont="1" applyFill="1" applyBorder="1" applyAlignment="1">
      <alignment horizontal="left" indent="2"/>
    </xf>
    <xf numFmtId="3" fontId="36" fillId="0" borderId="39" xfId="0" applyNumberFormat="1" applyFont="1" applyFill="1" applyBorder="1" applyAlignment="1">
      <alignment horizontal="center"/>
    </xf>
    <xf numFmtId="0" fontId="145" fillId="3" borderId="0" xfId="0" applyFont="1" applyFill="1"/>
    <xf numFmtId="0" fontId="47" fillId="0" borderId="0" xfId="0" applyFont="1" applyFill="1"/>
    <xf numFmtId="10" fontId="36" fillId="0" borderId="0" xfId="13" applyNumberFormat="1" applyFont="1" applyFill="1" applyAlignment="1">
      <alignment horizontal="center"/>
    </xf>
    <xf numFmtId="3" fontId="36" fillId="0" borderId="0" xfId="0" applyNumberFormat="1" applyFont="1" applyFill="1" applyAlignment="1">
      <alignment horizontal="left"/>
    </xf>
    <xf numFmtId="0" fontId="145" fillId="3" borderId="0" xfId="0" applyNumberFormat="1" applyFont="1" applyFill="1" applyAlignment="1">
      <alignment horizontal="left"/>
    </xf>
    <xf numFmtId="0" fontId="47" fillId="3" borderId="0" xfId="0" applyFont="1" applyFill="1" applyAlignment="1">
      <alignment horizontal="left"/>
    </xf>
    <xf numFmtId="10" fontId="36" fillId="0" borderId="0" xfId="0" applyNumberFormat="1" applyFont="1" applyFill="1"/>
    <xf numFmtId="170" fontId="36" fillId="0" borderId="0" xfId="0" applyNumberFormat="1" applyFont="1" applyFill="1" applyAlignment="1"/>
    <xf numFmtId="3" fontId="36" fillId="0" borderId="4" xfId="0" applyNumberFormat="1" applyFont="1" applyFill="1" applyBorder="1" applyAlignment="1">
      <alignment horizontal="center"/>
    </xf>
    <xf numFmtId="3" fontId="36" fillId="0" borderId="4" xfId="0" applyNumberFormat="1" applyFont="1" applyBorder="1"/>
    <xf numFmtId="169" fontId="36" fillId="0" borderId="4" xfId="0" applyNumberFormat="1" applyFont="1" applyBorder="1" applyAlignment="1">
      <alignment horizontal="center"/>
    </xf>
    <xf numFmtId="3" fontId="39" fillId="0" borderId="2" xfId="0" applyNumberFormat="1" applyFont="1" applyBorder="1" applyAlignment="1">
      <alignment horizontal="right"/>
    </xf>
    <xf numFmtId="3" fontId="41" fillId="0" borderId="0" xfId="0" applyNumberFormat="1" applyFont="1" applyBorder="1" applyAlignment="1">
      <alignment horizontal="right"/>
    </xf>
    <xf numFmtId="3" fontId="40" fillId="0" borderId="0" xfId="0" applyNumberFormat="1" applyFont="1" applyBorder="1" applyAlignment="1">
      <alignment horizontal="right"/>
    </xf>
    <xf numFmtId="165" fontId="64" fillId="0" borderId="0" xfId="22" applyFont="1" applyFill="1" applyAlignment="1">
      <alignment horizontal="centerContinuous"/>
    </xf>
    <xf numFmtId="0" fontId="92" fillId="0" borderId="75" xfId="0" applyFont="1" applyFill="1" applyBorder="1" applyAlignment="1">
      <alignment vertical="center"/>
    </xf>
    <xf numFmtId="37" fontId="36" fillId="0" borderId="0" xfId="45" applyNumberFormat="1" applyFont="1" applyFill="1" applyBorder="1" applyAlignment="1">
      <alignment horizontal="centerContinuous" vertical="center"/>
    </xf>
    <xf numFmtId="37" fontId="45" fillId="0" borderId="32" xfId="0" applyNumberFormat="1" applyFont="1" applyBorder="1"/>
    <xf numFmtId="37" fontId="45" fillId="0" borderId="32" xfId="0" applyNumberFormat="1" applyFont="1" applyFill="1" applyBorder="1"/>
    <xf numFmtId="37" fontId="45" fillId="0" borderId="32" xfId="5" applyNumberFormat="1" applyFont="1" applyFill="1" applyBorder="1" applyAlignment="1"/>
    <xf numFmtId="0" fontId="48" fillId="0" borderId="0" xfId="0" applyNumberFormat="1" applyFont="1" applyFill="1" applyAlignment="1">
      <alignment wrapText="1"/>
    </xf>
    <xf numFmtId="0" fontId="48" fillId="0" borderId="0" xfId="0" applyNumberFormat="1" applyFont="1" applyFill="1" applyAlignment="1"/>
    <xf numFmtId="0" fontId="142" fillId="0" borderId="7" xfId="0" applyNumberFormat="1" applyFont="1" applyFill="1" applyBorder="1" applyAlignment="1">
      <alignment horizontal="center"/>
    </xf>
    <xf numFmtId="37" fontId="34" fillId="0" borderId="38" xfId="0" applyNumberFormat="1" applyFont="1" applyBorder="1" applyAlignment="1">
      <alignment horizontal="center"/>
    </xf>
    <xf numFmtId="37" fontId="34" fillId="0" borderId="0" xfId="0" applyNumberFormat="1" applyFont="1" applyFill="1"/>
    <xf numFmtId="0" fontId="33" fillId="0" borderId="0" xfId="0" applyFont="1" applyBorder="1" applyAlignment="1">
      <alignment horizontal="center" vertical="center"/>
    </xf>
    <xf numFmtId="0" fontId="33" fillId="0" borderId="7" xfId="0" applyFont="1" applyBorder="1" applyAlignment="1">
      <alignment horizontal="center"/>
    </xf>
    <xf numFmtId="0" fontId="32" fillId="0" borderId="36" xfId="0" applyFont="1" applyBorder="1" applyAlignment="1">
      <alignment horizontal="center"/>
    </xf>
    <xf numFmtId="10" fontId="159" fillId="11" borderId="16" xfId="13" applyNumberFormat="1" applyFont="1" applyFill="1" applyBorder="1"/>
    <xf numFmtId="38" fontId="159" fillId="11" borderId="36" xfId="0" applyNumberFormat="1" applyFont="1" applyFill="1" applyBorder="1"/>
    <xf numFmtId="0" fontId="32" fillId="39" borderId="36" xfId="0" applyFont="1" applyFill="1" applyBorder="1"/>
    <xf numFmtId="0" fontId="167" fillId="0" borderId="0" xfId="0" applyFont="1" applyFill="1"/>
    <xf numFmtId="0" fontId="168" fillId="0" borderId="0" xfId="0" applyFont="1" applyBorder="1" applyAlignment="1">
      <alignment horizontal="left"/>
    </xf>
    <xf numFmtId="0" fontId="0" fillId="39" borderId="37" xfId="13" applyNumberFormat="1" applyFont="1" applyFill="1" applyBorder="1" applyAlignment="1">
      <alignment horizontal="center"/>
    </xf>
    <xf numFmtId="0" fontId="0" fillId="39" borderId="36" xfId="0" applyFill="1" applyBorder="1" applyAlignment="1">
      <alignment horizontal="left"/>
    </xf>
    <xf numFmtId="0" fontId="101" fillId="39" borderId="38" xfId="0" applyFont="1" applyFill="1" applyBorder="1"/>
    <xf numFmtId="0" fontId="32" fillId="39" borderId="36" xfId="0" applyFont="1" applyFill="1" applyBorder="1" applyAlignment="1">
      <alignment horizontal="center"/>
    </xf>
    <xf numFmtId="37" fontId="36" fillId="41" borderId="0" xfId="0" applyNumberFormat="1" applyFont="1" applyFill="1" applyAlignment="1"/>
    <xf numFmtId="10" fontId="36" fillId="41" borderId="0" xfId="13" applyNumberFormat="1" applyFont="1" applyFill="1" applyAlignment="1"/>
    <xf numFmtId="10" fontId="142" fillId="41" borderId="0" xfId="13" applyNumberFormat="1" applyFont="1" applyFill="1" applyAlignment="1"/>
    <xf numFmtId="10" fontId="36" fillId="41" borderId="0" xfId="13" applyNumberFormat="1" applyFont="1" applyFill="1" applyBorder="1" applyAlignment="1">
      <alignment horizontal="center"/>
    </xf>
    <xf numFmtId="164" fontId="58" fillId="41" borderId="18" xfId="2" applyNumberFormat="1" applyFont="1" applyFill="1" applyBorder="1"/>
    <xf numFmtId="164" fontId="58" fillId="41" borderId="21" xfId="2" applyNumberFormat="1" applyFont="1" applyFill="1" applyBorder="1"/>
    <xf numFmtId="38" fontId="53" fillId="41" borderId="8" xfId="0" applyNumberFormat="1" applyFont="1" applyFill="1" applyBorder="1" applyAlignment="1">
      <alignment horizontal="center"/>
    </xf>
    <xf numFmtId="38" fontId="159" fillId="39" borderId="36" xfId="0" applyNumberFormat="1" applyFont="1" applyFill="1" applyBorder="1"/>
    <xf numFmtId="10" fontId="159" fillId="39" borderId="36" xfId="13" applyNumberFormat="1" applyFont="1" applyFill="1" applyBorder="1"/>
    <xf numFmtId="37" fontId="0" fillId="39" borderId="22" xfId="0" applyNumberFormat="1" applyFill="1" applyBorder="1"/>
    <xf numFmtId="37" fontId="36" fillId="41" borderId="0" xfId="0" applyNumberFormat="1" applyFont="1" applyFill="1" applyBorder="1" applyAlignment="1">
      <alignment horizontal="center"/>
    </xf>
    <xf numFmtId="0" fontId="143" fillId="38" borderId="23" xfId="0" applyFont="1" applyFill="1" applyBorder="1" applyAlignment="1">
      <alignment horizontal="center" wrapText="1"/>
    </xf>
    <xf numFmtId="0" fontId="34" fillId="0" borderId="39" xfId="0" applyFont="1" applyBorder="1" applyAlignment="1">
      <alignment horizontal="left" indent="1"/>
    </xf>
    <xf numFmtId="37" fontId="36" fillId="41" borderId="0" xfId="48" applyNumberFormat="1" applyFont="1" applyFill="1" applyBorder="1" applyAlignment="1">
      <alignment horizontal="center"/>
    </xf>
    <xf numFmtId="3" fontId="36" fillId="11" borderId="99" xfId="0" applyNumberFormat="1" applyFont="1" applyFill="1" applyBorder="1" applyAlignment="1"/>
    <xf numFmtId="0" fontId="34" fillId="0" borderId="98" xfId="0" applyNumberFormat="1" applyFont="1" applyFill="1" applyBorder="1" applyAlignment="1"/>
    <xf numFmtId="0" fontId="36" fillId="0" borderId="98" xfId="0" applyFont="1" applyFill="1" applyBorder="1" applyAlignment="1">
      <alignment horizontal="center"/>
    </xf>
    <xf numFmtId="164" fontId="33" fillId="0" borderId="0" xfId="1" applyNumberFormat="1" applyFont="1" applyFill="1" applyBorder="1"/>
    <xf numFmtId="0" fontId="143" fillId="38" borderId="23" xfId="0" applyFont="1" applyFill="1" applyBorder="1" applyAlignment="1">
      <alignment horizontal="center"/>
    </xf>
    <xf numFmtId="0" fontId="34" fillId="0" borderId="98" xfId="0" applyFont="1" applyBorder="1" applyAlignment="1">
      <alignment horizontal="left" indent="1"/>
    </xf>
    <xf numFmtId="0" fontId="34" fillId="0" borderId="98" xfId="0" applyFont="1" applyBorder="1" applyAlignment="1"/>
    <xf numFmtId="37" fontId="34" fillId="0" borderId="70" xfId="0" applyNumberFormat="1" applyFont="1" applyFill="1" applyBorder="1" applyAlignment="1">
      <alignment horizontal="right"/>
    </xf>
    <xf numFmtId="0" fontId="36" fillId="0" borderId="98" xfId="0" applyFont="1" applyBorder="1"/>
    <xf numFmtId="0" fontId="163" fillId="0" borderId="0" xfId="8" applyFont="1" applyFill="1" applyAlignment="1">
      <alignment horizontal="center"/>
    </xf>
    <xf numFmtId="0" fontId="101" fillId="39" borderId="36" xfId="0" applyFont="1" applyFill="1" applyBorder="1" applyAlignment="1">
      <alignment horizontal="left"/>
    </xf>
    <xf numFmtId="3" fontId="142" fillId="0" borderId="7" xfId="0" applyNumberFormat="1" applyFont="1" applyFill="1" applyBorder="1" applyAlignment="1">
      <alignment horizontal="left"/>
    </xf>
    <xf numFmtId="0" fontId="142" fillId="0" borderId="0" xfId="0" applyNumberFormat="1" applyFont="1" applyFill="1" applyBorder="1" applyAlignment="1"/>
    <xf numFmtId="0" fontId="142" fillId="0" borderId="0" xfId="0" applyFont="1" applyAlignment="1"/>
    <xf numFmtId="0" fontId="142" fillId="11" borderId="49" xfId="0" applyNumberFormat="1" applyFont="1" applyFill="1" applyBorder="1" applyAlignment="1"/>
    <xf numFmtId="0" fontId="36" fillId="0" borderId="98" xfId="0" applyNumberFormat="1" applyFont="1" applyFill="1" applyBorder="1" applyAlignment="1">
      <alignment horizontal="left" indent="1"/>
    </xf>
    <xf numFmtId="0" fontId="36" fillId="0" borderId="82" xfId="0" applyNumberFormat="1" applyFont="1" applyFill="1" applyBorder="1" applyAlignment="1">
      <alignment horizontal="left" indent="1"/>
    </xf>
    <xf numFmtId="37" fontId="36" fillId="11" borderId="0" xfId="0" applyNumberFormat="1" applyFont="1" applyFill="1" applyBorder="1" applyAlignment="1">
      <alignment horizontal="center"/>
    </xf>
    <xf numFmtId="37" fontId="142" fillId="11" borderId="0" xfId="0" applyNumberFormat="1" applyFont="1" applyFill="1" applyBorder="1" applyAlignment="1"/>
    <xf numFmtId="37" fontId="34" fillId="0" borderId="100" xfId="0" applyNumberFormat="1" applyFont="1" applyFill="1" applyBorder="1" applyAlignment="1">
      <alignment horizontal="right"/>
    </xf>
    <xf numFmtId="37" fontId="36" fillId="0" borderId="0" xfId="0" applyNumberFormat="1" applyFont="1" applyFill="1" applyBorder="1" applyAlignment="1">
      <alignment horizontal="center"/>
    </xf>
    <xf numFmtId="37" fontId="142" fillId="11" borderId="101" xfId="0" applyNumberFormat="1" applyFont="1" applyFill="1" applyBorder="1" applyAlignment="1"/>
    <xf numFmtId="37" fontId="36" fillId="41" borderId="8" xfId="1" applyNumberFormat="1" applyFont="1" applyFill="1" applyBorder="1"/>
    <xf numFmtId="37" fontId="36" fillId="41" borderId="0" xfId="1" applyNumberFormat="1" applyFont="1" applyFill="1" applyBorder="1" applyAlignment="1"/>
    <xf numFmtId="37" fontId="156" fillId="11" borderId="36" xfId="1" applyNumberFormat="1" applyFont="1" applyFill="1" applyBorder="1" applyAlignment="1"/>
    <xf numFmtId="37" fontId="36" fillId="11" borderId="0" xfId="1" applyNumberFormat="1" applyFont="1" applyFill="1" applyBorder="1" applyAlignment="1"/>
    <xf numFmtId="37" fontId="36" fillId="11" borderId="0" xfId="0" applyNumberFormat="1" applyFont="1" applyFill="1" applyBorder="1" applyAlignment="1"/>
    <xf numFmtId="37" fontId="34" fillId="0" borderId="70" xfId="48" applyNumberFormat="1" applyFont="1" applyFill="1" applyBorder="1" applyAlignment="1">
      <alignment horizontal="right"/>
    </xf>
    <xf numFmtId="37" fontId="36" fillId="0" borderId="8" xfId="0" applyNumberFormat="1" applyFont="1" applyBorder="1"/>
    <xf numFmtId="37" fontId="142" fillId="11" borderId="0" xfId="0" applyNumberFormat="1" applyFont="1" applyFill="1" applyBorder="1" applyAlignment="1">
      <alignment horizontal="right"/>
    </xf>
    <xf numFmtId="37" fontId="36" fillId="0" borderId="77" xfId="0" applyNumberFormat="1" applyFont="1" applyBorder="1"/>
    <xf numFmtId="37" fontId="36" fillId="0" borderId="70" xfId="0" applyNumberFormat="1" applyFont="1" applyBorder="1"/>
    <xf numFmtId="37" fontId="34" fillId="0" borderId="76" xfId="0" applyNumberFormat="1" applyFont="1" applyFill="1" applyBorder="1" applyAlignment="1">
      <alignment horizontal="right"/>
    </xf>
    <xf numFmtId="37" fontId="36" fillId="0" borderId="8" xfId="0" applyNumberFormat="1" applyFont="1" applyFill="1" applyBorder="1" applyAlignment="1">
      <alignment horizontal="right"/>
    </xf>
    <xf numFmtId="37" fontId="142" fillId="41" borderId="0" xfId="0" applyNumberFormat="1" applyFont="1" applyFill="1" applyBorder="1" applyAlignment="1">
      <alignment horizontal="right"/>
    </xf>
    <xf numFmtId="37" fontId="36" fillId="11" borderId="0" xfId="0" applyNumberFormat="1" applyFont="1" applyFill="1" applyBorder="1" applyAlignment="1">
      <alignment horizontal="right"/>
    </xf>
    <xf numFmtId="37" fontId="34" fillId="0" borderId="39" xfId="0" applyNumberFormat="1" applyFont="1" applyFill="1" applyBorder="1"/>
    <xf numFmtId="37" fontId="36" fillId="41" borderId="4" xfId="0" applyNumberFormat="1" applyFont="1" applyFill="1" applyBorder="1" applyAlignment="1">
      <alignment horizontal="right"/>
    </xf>
    <xf numFmtId="37" fontId="34" fillId="0" borderId="0" xfId="0" applyNumberFormat="1" applyFont="1"/>
    <xf numFmtId="37" fontId="36" fillId="0" borderId="39" xfId="0" applyNumberFormat="1" applyFont="1" applyBorder="1"/>
    <xf numFmtId="37" fontId="34" fillId="0" borderId="0" xfId="0" applyNumberFormat="1" applyFont="1" applyBorder="1" applyAlignment="1">
      <alignment horizontal="center"/>
    </xf>
    <xf numFmtId="37" fontId="36" fillId="41" borderId="0" xfId="48" applyNumberFormat="1" applyFont="1" applyFill="1" applyBorder="1" applyAlignment="1">
      <alignment horizontal="right"/>
    </xf>
    <xf numFmtId="37" fontId="36" fillId="0" borderId="0" xfId="48" applyNumberFormat="1" applyFont="1" applyFill="1" applyBorder="1" applyAlignment="1">
      <alignment horizontal="right"/>
    </xf>
    <xf numFmtId="37" fontId="36" fillId="0" borderId="7" xfId="48" applyNumberFormat="1" applyFont="1" applyFill="1" applyBorder="1" applyAlignment="1">
      <alignment horizontal="right"/>
    </xf>
    <xf numFmtId="37" fontId="36" fillId="0" borderId="7" xfId="37" applyNumberFormat="1" applyFont="1" applyFill="1" applyBorder="1" applyAlignment="1">
      <alignment horizontal="left"/>
    </xf>
    <xf numFmtId="37" fontId="36" fillId="0" borderId="7" xfId="37" applyNumberFormat="1" applyFont="1" applyBorder="1" applyAlignment="1">
      <alignment horizontal="right"/>
    </xf>
    <xf numFmtId="37" fontId="36" fillId="0" borderId="7" xfId="37" applyNumberFormat="1" applyFont="1" applyBorder="1" applyAlignment="1">
      <alignment horizontal="left"/>
    </xf>
    <xf numFmtId="37" fontId="36" fillId="0" borderId="7" xfId="48" applyNumberFormat="1" applyFont="1" applyBorder="1" applyAlignment="1">
      <alignment horizontal="right"/>
    </xf>
    <xf numFmtId="37" fontId="36" fillId="0" borderId="7" xfId="37" applyNumberFormat="1" applyFont="1" applyFill="1" applyBorder="1" applyAlignment="1"/>
    <xf numFmtId="37" fontId="36" fillId="0" borderId="0" xfId="37" applyNumberFormat="1" applyFont="1" applyBorder="1" applyAlignment="1">
      <alignment horizontal="right"/>
    </xf>
    <xf numFmtId="37" fontId="142" fillId="11" borderId="7" xfId="48" applyNumberFormat="1" applyFont="1" applyFill="1" applyBorder="1" applyAlignment="1">
      <alignment horizontal="right"/>
    </xf>
    <xf numFmtId="37" fontId="34" fillId="0" borderId="47" xfId="1" applyNumberFormat="1" applyFont="1" applyFill="1" applyBorder="1" applyAlignment="1"/>
    <xf numFmtId="0" fontId="33" fillId="0" borderId="0" xfId="0" applyFont="1" applyBorder="1" applyAlignment="1">
      <alignment vertical="center"/>
    </xf>
    <xf numFmtId="0" fontId="169" fillId="0" borderId="38" xfId="37" applyFont="1" applyFill="1" applyBorder="1" applyAlignment="1" applyProtection="1">
      <alignment horizontal="right" vertical="center" wrapText="1"/>
    </xf>
    <xf numFmtId="0" fontId="169" fillId="0" borderId="38" xfId="37" applyFont="1" applyFill="1" applyBorder="1" applyAlignment="1" applyProtection="1">
      <alignment vertical="center" wrapText="1"/>
    </xf>
    <xf numFmtId="0" fontId="169" fillId="7" borderId="38" xfId="37" applyFont="1" applyFill="1" applyBorder="1" applyAlignment="1" applyProtection="1">
      <alignment horizontal="right" vertical="center" wrapText="1"/>
    </xf>
    <xf numFmtId="0" fontId="169" fillId="7" borderId="38" xfId="37" applyFont="1" applyFill="1" applyBorder="1" applyAlignment="1" applyProtection="1">
      <alignment vertical="center" wrapText="1"/>
    </xf>
    <xf numFmtId="0" fontId="145" fillId="37" borderId="79" xfId="0" applyFont="1" applyFill="1" applyBorder="1" applyAlignment="1">
      <alignment horizontal="center" wrapText="1"/>
    </xf>
    <xf numFmtId="43" fontId="53" fillId="0" borderId="8" xfId="1" applyNumberFormat="1" applyFont="1" applyFill="1" applyBorder="1"/>
    <xf numFmtId="0" fontId="56" fillId="0" borderId="6" xfId="0" applyFont="1" applyBorder="1" applyAlignment="1">
      <alignment horizontal="center" wrapText="1"/>
    </xf>
    <xf numFmtId="0" fontId="56" fillId="0" borderId="5" xfId="0" applyFont="1" applyBorder="1" applyAlignment="1">
      <alignment horizontal="center"/>
    </xf>
    <xf numFmtId="0" fontId="56" fillId="0" borderId="32" xfId="0" applyFont="1" applyBorder="1" applyAlignment="1">
      <alignment horizontal="center"/>
    </xf>
    <xf numFmtId="164" fontId="58" fillId="11" borderId="18" xfId="8" applyNumberFormat="1" applyFont="1" applyFill="1" applyBorder="1" applyAlignment="1">
      <alignment horizontal="center"/>
    </xf>
    <xf numFmtId="0" fontId="58" fillId="0" borderId="102" xfId="8" applyFont="1" applyBorder="1" applyAlignment="1">
      <alignment horizontal="center"/>
    </xf>
    <xf numFmtId="0" fontId="58" fillId="0" borderId="81" xfId="8" applyFont="1" applyBorder="1" applyAlignment="1">
      <alignment horizontal="center"/>
    </xf>
    <xf numFmtId="0" fontId="59" fillId="0" borderId="0" xfId="8" applyFont="1" applyBorder="1"/>
    <xf numFmtId="0" fontId="59" fillId="0" borderId="18" xfId="8" applyFont="1" applyBorder="1" applyAlignment="1">
      <alignment horizontal="left" indent="1"/>
    </xf>
    <xf numFmtId="0" fontId="59" fillId="0" borderId="104" xfId="8" applyFont="1" applyBorder="1"/>
    <xf numFmtId="164" fontId="59" fillId="0" borderId="105" xfId="8" applyNumberFormat="1" applyFont="1" applyBorder="1"/>
    <xf numFmtId="0" fontId="59" fillId="0" borderId="102" xfId="8" applyFont="1" applyBorder="1"/>
    <xf numFmtId="0" fontId="59" fillId="0" borderId="76" xfId="0" applyFont="1" applyBorder="1"/>
    <xf numFmtId="0" fontId="59" fillId="0" borderId="76" xfId="8" applyFont="1" applyBorder="1"/>
    <xf numFmtId="164" fontId="59" fillId="0" borderId="17" xfId="1" applyNumberFormat="1" applyFont="1" applyBorder="1"/>
    <xf numFmtId="0" fontId="59" fillId="0" borderId="4" xfId="8" applyFont="1" applyBorder="1"/>
    <xf numFmtId="0" fontId="59" fillId="0" borderId="102" xfId="0" applyFont="1" applyBorder="1"/>
    <xf numFmtId="0" fontId="59" fillId="0" borderId="81" xfId="8" applyFont="1" applyBorder="1"/>
    <xf numFmtId="164" fontId="59" fillId="0" borderId="19" xfId="1" applyNumberFormat="1" applyFont="1" applyBorder="1"/>
    <xf numFmtId="0" fontId="59" fillId="0" borderId="21" xfId="8" applyFont="1" applyBorder="1" applyAlignment="1">
      <alignment horizontal="left" indent="1"/>
    </xf>
    <xf numFmtId="0" fontId="59" fillId="0" borderId="0" xfId="8" applyFont="1" applyBorder="1" applyAlignment="1">
      <alignment horizontal="center"/>
    </xf>
    <xf numFmtId="0" fontId="59" fillId="0" borderId="4" xfId="8" applyFont="1" applyBorder="1" applyAlignment="1">
      <alignment horizontal="center"/>
    </xf>
    <xf numFmtId="0" fontId="59" fillId="0" borderId="103" xfId="0" applyFont="1" applyBorder="1"/>
    <xf numFmtId="0" fontId="170" fillId="11" borderId="81" xfId="0" applyFont="1" applyFill="1" applyBorder="1"/>
    <xf numFmtId="0" fontId="58" fillId="0" borderId="18" xfId="8" applyFont="1" applyFill="1" applyBorder="1" applyAlignment="1">
      <alignment horizontal="center"/>
    </xf>
    <xf numFmtId="0" fontId="58" fillId="0" borderId="17" xfId="8" applyFont="1" applyFill="1" applyBorder="1" applyAlignment="1">
      <alignment horizontal="center"/>
    </xf>
    <xf numFmtId="43" fontId="58" fillId="0" borderId="18" xfId="2" applyNumberFormat="1" applyFont="1" applyFill="1" applyBorder="1"/>
    <xf numFmtId="164" fontId="58" fillId="0" borderId="17" xfId="2" applyNumberFormat="1" applyFont="1" applyFill="1" applyBorder="1"/>
    <xf numFmtId="164" fontId="58" fillId="0" borderId="18" xfId="2" applyNumberFormat="1" applyFont="1" applyFill="1" applyBorder="1"/>
    <xf numFmtId="164" fontId="58" fillId="0" borderId="21" xfId="2" applyNumberFormat="1" applyFont="1" applyFill="1" applyBorder="1"/>
    <xf numFmtId="164" fontId="58" fillId="0" borderId="19" xfId="2" applyNumberFormat="1" applyFont="1" applyFill="1" applyBorder="1"/>
    <xf numFmtId="164" fontId="58" fillId="0" borderId="39" xfId="8" applyNumberFormat="1" applyFont="1" applyFill="1" applyBorder="1"/>
    <xf numFmtId="164" fontId="58" fillId="0" borderId="39" xfId="2" applyNumberFormat="1" applyFont="1" applyFill="1" applyBorder="1"/>
    <xf numFmtId="164" fontId="56" fillId="0" borderId="75" xfId="0" applyNumberFormat="1" applyFont="1" applyBorder="1"/>
    <xf numFmtId="164" fontId="53" fillId="0" borderId="24" xfId="0" applyNumberFormat="1" applyFont="1" applyBorder="1"/>
    <xf numFmtId="164" fontId="171" fillId="11" borderId="8" xfId="1" applyNumberFormat="1" applyFont="1" applyFill="1" applyBorder="1"/>
    <xf numFmtId="2" fontId="171" fillId="11" borderId="8" xfId="0" applyNumberFormat="1" applyFont="1" applyFill="1" applyBorder="1" applyAlignment="1">
      <alignment horizontal="center"/>
    </xf>
    <xf numFmtId="0" fontId="0" fillId="0" borderId="0" xfId="0" applyFill="1" applyAlignment="1">
      <alignment horizontal="left" wrapText="1"/>
    </xf>
    <xf numFmtId="0" fontId="36" fillId="0" borderId="0" xfId="0" applyNumberFormat="1" applyFont="1" applyBorder="1" applyAlignment="1">
      <alignment horizontal="right"/>
    </xf>
    <xf numFmtId="0" fontId="36" fillId="0" borderId="82" xfId="0" applyNumberFormat="1" applyFont="1" applyFill="1" applyBorder="1" applyAlignment="1"/>
    <xf numFmtId="37" fontId="36" fillId="0" borderId="76" xfId="0" applyNumberFormat="1" applyFont="1" applyFill="1" applyBorder="1" applyAlignment="1">
      <alignment horizontal="center"/>
    </xf>
    <xf numFmtId="0" fontId="96" fillId="0" borderId="0" xfId="0" applyFont="1" applyAlignment="1">
      <alignment horizontal="left"/>
    </xf>
    <xf numFmtId="0" fontId="171" fillId="0" borderId="14" xfId="0" applyFont="1" applyFill="1" applyBorder="1" applyAlignment="1">
      <alignment horizontal="center"/>
    </xf>
    <xf numFmtId="0" fontId="171" fillId="11" borderId="8" xfId="0" applyFont="1" applyFill="1" applyBorder="1" applyAlignment="1">
      <alignment horizontal="center"/>
    </xf>
    <xf numFmtId="0" fontId="53" fillId="0" borderId="23" xfId="0" applyFont="1" applyFill="1" applyBorder="1" applyAlignment="1">
      <alignment horizontal="center" wrapText="1"/>
    </xf>
    <xf numFmtId="167" fontId="53" fillId="0" borderId="14" xfId="0" applyNumberFormat="1" applyFont="1" applyBorder="1"/>
    <xf numFmtId="167" fontId="53" fillId="0" borderId="15" xfId="0" applyNumberFormat="1" applyFont="1" applyBorder="1"/>
    <xf numFmtId="0" fontId="0" fillId="0" borderId="0" xfId="0" applyFill="1" applyAlignment="1">
      <alignment horizontal="centerContinuous"/>
    </xf>
    <xf numFmtId="164" fontId="32" fillId="0" borderId="0" xfId="1" applyNumberFormat="1" applyFill="1" applyAlignment="1">
      <alignment horizontal="centerContinuous"/>
    </xf>
    <xf numFmtId="0" fontId="143" fillId="38" borderId="23" xfId="0" applyFont="1" applyFill="1" applyBorder="1" applyAlignment="1"/>
    <xf numFmtId="0" fontId="143" fillId="38" borderId="23" xfId="0" applyFont="1" applyFill="1" applyBorder="1" applyAlignment="1">
      <alignment horizontal="center" vertical="center"/>
    </xf>
    <xf numFmtId="0" fontId="143" fillId="38" borderId="6" xfId="0" applyFont="1" applyFill="1" applyBorder="1" applyAlignment="1"/>
    <xf numFmtId="0" fontId="0" fillId="0" borderId="106" xfId="0" applyBorder="1" applyAlignment="1">
      <alignment horizontal="center"/>
    </xf>
    <xf numFmtId="37" fontId="36" fillId="0" borderId="98" xfId="0" applyNumberFormat="1" applyFont="1" applyFill="1" applyBorder="1" applyAlignment="1"/>
    <xf numFmtId="3" fontId="142" fillId="0" borderId="99" xfId="0" applyNumberFormat="1" applyFont="1" applyFill="1" applyBorder="1" applyAlignment="1">
      <alignment horizontal="left" indent="1"/>
    </xf>
    <xf numFmtId="37" fontId="0" fillId="39" borderId="107" xfId="0" applyNumberFormat="1" applyFill="1" applyBorder="1"/>
    <xf numFmtId="0" fontId="101" fillId="11" borderId="107" xfId="57" applyFont="1" applyFill="1" applyBorder="1" applyAlignment="1">
      <alignment horizontal="left"/>
    </xf>
    <xf numFmtId="37" fontId="32" fillId="39" borderId="107" xfId="57" quotePrefix="1" applyNumberFormat="1" applyFont="1" applyFill="1" applyBorder="1" applyAlignment="1">
      <alignment horizontal="left"/>
    </xf>
    <xf numFmtId="0" fontId="101" fillId="39" borderId="107" xfId="0" applyFont="1" applyFill="1" applyBorder="1" applyAlignment="1">
      <alignment horizontal="left"/>
    </xf>
    <xf numFmtId="38" fontId="101" fillId="39" borderId="108" xfId="0" applyNumberFormat="1" applyFont="1" applyFill="1" applyBorder="1"/>
    <xf numFmtId="37" fontId="0" fillId="39" borderId="28" xfId="0" applyNumberFormat="1" applyFill="1" applyBorder="1"/>
    <xf numFmtId="0" fontId="101" fillId="11" borderId="28" xfId="57" applyFont="1" applyFill="1" applyBorder="1" applyAlignment="1">
      <alignment horizontal="left"/>
    </xf>
    <xf numFmtId="37" fontId="32" fillId="39" borderId="28" xfId="57" quotePrefix="1" applyNumberFormat="1" applyFont="1" applyFill="1" applyBorder="1" applyAlignment="1">
      <alignment horizontal="left"/>
    </xf>
    <xf numFmtId="0" fontId="101" fillId="39" borderId="28" xfId="0" applyFont="1" applyFill="1" applyBorder="1" applyAlignment="1">
      <alignment horizontal="left"/>
    </xf>
    <xf numFmtId="38" fontId="101" fillId="39" borderId="27" xfId="0" applyNumberFormat="1" applyFont="1" applyFill="1" applyBorder="1"/>
    <xf numFmtId="0" fontId="0" fillId="0" borderId="107" xfId="0" applyBorder="1"/>
    <xf numFmtId="0" fontId="32" fillId="0" borderId="107" xfId="57" applyFont="1" applyFill="1" applyBorder="1"/>
    <xf numFmtId="0" fontId="101" fillId="11" borderId="107" xfId="0" applyFont="1" applyFill="1" applyBorder="1" applyAlignment="1">
      <alignment horizontal="left"/>
    </xf>
    <xf numFmtId="38" fontId="32" fillId="39" borderId="107" xfId="0" quotePrefix="1" applyNumberFormat="1" applyFont="1" applyFill="1" applyBorder="1"/>
    <xf numFmtId="37" fontId="101" fillId="11" borderId="0" xfId="1" applyNumberFormat="1" applyFont="1" applyFill="1"/>
    <xf numFmtId="37" fontId="101" fillId="11" borderId="4" xfId="1" applyNumberFormat="1" applyFont="1" applyFill="1" applyBorder="1"/>
    <xf numFmtId="37" fontId="32" fillId="0" borderId="0" xfId="1" applyNumberFormat="1" applyFont="1" applyFill="1"/>
    <xf numFmtId="37" fontId="101" fillId="11" borderId="39" xfId="1" applyNumberFormat="1" applyFont="1" applyFill="1" applyBorder="1"/>
    <xf numFmtId="37" fontId="33" fillId="0" borderId="3" xfId="1" applyNumberFormat="1" applyFont="1" applyFill="1" applyBorder="1" applyAlignment="1"/>
    <xf numFmtId="37" fontId="101" fillId="41" borderId="4" xfId="1" applyNumberFormat="1" applyFont="1" applyFill="1" applyBorder="1"/>
    <xf numFmtId="37" fontId="34" fillId="0" borderId="2" xfId="0" applyNumberFormat="1" applyFont="1" applyBorder="1" applyAlignment="1">
      <alignment horizontal="right"/>
    </xf>
    <xf numFmtId="37" fontId="36" fillId="0" borderId="0" xfId="1" applyNumberFormat="1" applyFont="1"/>
    <xf numFmtId="37" fontId="34" fillId="0" borderId="7" xfId="48" applyNumberFormat="1" applyFont="1" applyFill="1" applyBorder="1" applyAlignment="1">
      <alignment horizontal="right"/>
    </xf>
    <xf numFmtId="37" fontId="34" fillId="0" borderId="99" xfId="48" applyNumberFormat="1" applyFont="1" applyBorder="1" applyAlignment="1">
      <alignment horizontal="right"/>
    </xf>
    <xf numFmtId="37" fontId="34" fillId="0" borderId="7" xfId="37" applyNumberFormat="1" applyFont="1" applyFill="1" applyBorder="1" applyAlignment="1"/>
    <xf numFmtId="37" fontId="101" fillId="11" borderId="20" xfId="1" applyNumberFormat="1" applyFont="1" applyFill="1" applyBorder="1"/>
    <xf numFmtId="37" fontId="101" fillId="11" borderId="0" xfId="1" applyNumberFormat="1" applyFont="1" applyFill="1" applyBorder="1"/>
    <xf numFmtId="189" fontId="101" fillId="11" borderId="0" xfId="1" applyNumberFormat="1" applyFont="1" applyFill="1" applyAlignment="1" applyProtection="1">
      <alignment vertical="center"/>
    </xf>
    <xf numFmtId="189" fontId="101" fillId="11" borderId="0" xfId="57" applyNumberFormat="1" applyFont="1" applyFill="1" applyBorder="1" applyAlignment="1" applyProtection="1">
      <alignment vertical="center"/>
    </xf>
    <xf numFmtId="189" fontId="101" fillId="11" borderId="0" xfId="57" applyNumberFormat="1" applyFont="1" applyFill="1" applyBorder="1" applyAlignment="1">
      <alignment vertical="center"/>
    </xf>
    <xf numFmtId="189" fontId="32" fillId="11" borderId="0" xfId="1" applyNumberFormat="1" applyFont="1" applyFill="1" applyAlignment="1">
      <alignment vertical="center"/>
    </xf>
    <xf numFmtId="191" fontId="32" fillId="11" borderId="0" xfId="1" applyNumberFormat="1" applyFont="1" applyFill="1" applyBorder="1" applyAlignment="1">
      <alignment vertical="center"/>
    </xf>
    <xf numFmtId="168" fontId="32" fillId="0" borderId="0" xfId="57" applyNumberFormat="1" applyFont="1"/>
    <xf numFmtId="37" fontId="42" fillId="41" borderId="0" xfId="1" applyNumberFormat="1" applyFont="1" applyFill="1" applyBorder="1" applyAlignment="1"/>
    <xf numFmtId="37" fontId="34" fillId="41" borderId="0" xfId="1" applyNumberFormat="1" applyFont="1" applyFill="1" applyBorder="1" applyAlignment="1"/>
    <xf numFmtId="0" fontId="58" fillId="0" borderId="0" xfId="45" applyFont="1" applyFill="1" applyAlignment="1">
      <alignment horizontal="left"/>
    </xf>
    <xf numFmtId="0" fontId="110" fillId="0" borderId="0" xfId="0" applyFont="1" applyFill="1" applyAlignment="1">
      <alignment horizontal="left"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13" xfId="0" applyFont="1" applyBorder="1"/>
    <xf numFmtId="0" fontId="101" fillId="0" borderId="122" xfId="0" applyFont="1" applyBorder="1" applyAlignment="1">
      <alignment horizontal="left"/>
    </xf>
    <xf numFmtId="0" fontId="101" fillId="0" borderId="84" xfId="0" applyFont="1" applyBorder="1" applyAlignment="1">
      <alignment horizontal="left"/>
    </xf>
    <xf numFmtId="0" fontId="92" fillId="0" borderId="0" xfId="0" applyFont="1" applyFill="1" applyBorder="1" applyAlignment="1">
      <alignment vertical="center"/>
    </xf>
    <xf numFmtId="172" fontId="36" fillId="0" borderId="0" xfId="0" applyNumberFormat="1" applyFont="1" applyFill="1" applyBorder="1" applyAlignment="1">
      <alignment horizontal="right"/>
    </xf>
    <xf numFmtId="37" fontId="34" fillId="0" borderId="0" xfId="1" applyNumberFormat="1" applyFont="1" applyFill="1" applyBorder="1" applyAlignment="1">
      <alignment horizontal="right"/>
    </xf>
    <xf numFmtId="0" fontId="48" fillId="0" borderId="0" xfId="0" applyFont="1" applyBorder="1"/>
    <xf numFmtId="37" fontId="142" fillId="11" borderId="0" xfId="0" applyNumberFormat="1" applyFont="1" applyFill="1" applyAlignment="1"/>
    <xf numFmtId="37" fontId="142" fillId="11" borderId="4" xfId="0" applyNumberFormat="1" applyFont="1" applyFill="1" applyBorder="1" applyAlignment="1"/>
    <xf numFmtId="37" fontId="156" fillId="11" borderId="2" xfId="0" applyNumberFormat="1" applyFont="1" applyFill="1" applyBorder="1" applyAlignment="1"/>
    <xf numFmtId="37" fontId="156" fillId="11" borderId="0" xfId="0" applyNumberFormat="1" applyFont="1" applyFill="1" applyAlignment="1"/>
    <xf numFmtId="37" fontId="156" fillId="11" borderId="0" xfId="0" applyNumberFormat="1" applyFont="1" applyFill="1" applyBorder="1" applyAlignment="1"/>
    <xf numFmtId="37" fontId="156" fillId="11" borderId="0" xfId="0" applyNumberFormat="1" applyFont="1" applyFill="1"/>
    <xf numFmtId="37" fontId="156" fillId="11" borderId="0" xfId="0" applyNumberFormat="1" applyFont="1" applyFill="1" applyAlignment="1">
      <alignment horizontal="right"/>
    </xf>
    <xf numFmtId="37" fontId="142" fillId="11" borderId="4" xfId="0" applyNumberFormat="1" applyFont="1" applyFill="1" applyBorder="1" applyAlignment="1">
      <alignment horizontal="right"/>
    </xf>
    <xf numFmtId="37" fontId="142" fillId="11" borderId="0" xfId="45" applyNumberFormat="1" applyFont="1" applyFill="1"/>
    <xf numFmtId="37" fontId="142" fillId="11" borderId="0" xfId="45" applyNumberFormat="1" applyFont="1" applyFill="1" applyBorder="1"/>
    <xf numFmtId="37" fontId="156" fillId="11" borderId="39" xfId="45" applyNumberFormat="1" applyFont="1" applyFill="1" applyBorder="1"/>
    <xf numFmtId="10" fontId="142" fillId="0" borderId="0" xfId="13" applyNumberFormat="1" applyFont="1" applyFill="1" applyAlignment="1"/>
    <xf numFmtId="37" fontId="142" fillId="11" borderId="4" xfId="0" applyNumberFormat="1" applyFont="1" applyFill="1" applyBorder="1"/>
    <xf numFmtId="37" fontId="156" fillId="11" borderId="0" xfId="1" applyNumberFormat="1" applyFont="1" applyFill="1" applyAlignment="1"/>
    <xf numFmtId="37" fontId="45" fillId="0" borderId="23" xfId="0" applyNumberFormat="1" applyFont="1" applyBorder="1"/>
    <xf numFmtId="37" fontId="142" fillId="11" borderId="0" xfId="1" applyNumberFormat="1" applyFont="1" applyFill="1" applyAlignment="1"/>
    <xf numFmtId="37" fontId="156" fillId="11" borderId="0" xfId="1" applyNumberFormat="1" applyFont="1" applyFill="1"/>
    <xf numFmtId="10" fontId="142" fillId="11" borderId="0" xfId="13" applyNumberFormat="1" applyFont="1" applyFill="1" applyAlignment="1"/>
    <xf numFmtId="0" fontId="148" fillId="0" borderId="0" xfId="0" applyFont="1" applyAlignment="1">
      <alignment horizontal="left"/>
    </xf>
    <xf numFmtId="0" fontId="64" fillId="0" borderId="0" xfId="57" applyFont="1" applyFill="1" applyAlignment="1">
      <alignment horizontal="centerContinuous"/>
    </xf>
    <xf numFmtId="0" fontId="55" fillId="0" borderId="0" xfId="57" applyFont="1" applyFill="1" applyAlignment="1">
      <alignment horizontal="centerContinuous"/>
    </xf>
    <xf numFmtId="0" fontId="55" fillId="0" borderId="0" xfId="57" applyFont="1" applyAlignment="1">
      <alignment horizontal="centerContinuous"/>
    </xf>
    <xf numFmtId="0" fontId="105" fillId="0" borderId="0" xfId="57" applyFont="1" applyBorder="1" applyAlignment="1">
      <alignment horizontal="centerContinuous"/>
    </xf>
    <xf numFmtId="0" fontId="33" fillId="0" borderId="0" xfId="57" applyFont="1" applyFill="1" applyAlignment="1">
      <alignment horizontal="centerContinuous"/>
    </xf>
    <xf numFmtId="0" fontId="55" fillId="0" borderId="0" xfId="57" applyFont="1" applyFill="1" applyAlignment="1">
      <alignment horizontal="left"/>
    </xf>
    <xf numFmtId="0" fontId="64" fillId="0" borderId="0" xfId="57" applyFont="1" applyFill="1"/>
    <xf numFmtId="0" fontId="36" fillId="0" borderId="0" xfId="57" applyFont="1" applyFill="1"/>
    <xf numFmtId="0" fontId="34" fillId="0" borderId="0" xfId="57" applyFont="1" applyFill="1" applyAlignment="1">
      <alignment horizontal="center"/>
    </xf>
    <xf numFmtId="0" fontId="106" fillId="0" borderId="0" xfId="57" applyFont="1" applyFill="1"/>
    <xf numFmtId="0" fontId="55" fillId="0" borderId="0" xfId="57" applyFont="1" applyFill="1"/>
    <xf numFmtId="0" fontId="64" fillId="0" borderId="0" xfId="57" applyFont="1" applyFill="1" applyAlignment="1">
      <alignment horizontal="center"/>
    </xf>
    <xf numFmtId="0" fontId="147" fillId="0" borderId="0" xfId="57" applyFont="1" applyFill="1" applyAlignment="1">
      <alignment horizontal="center"/>
    </xf>
    <xf numFmtId="0" fontId="32" fillId="0" borderId="0" xfId="57" applyFont="1" applyFill="1" applyAlignment="1">
      <alignment horizontal="left"/>
    </xf>
    <xf numFmtId="37" fontId="32" fillId="0" borderId="0" xfId="57" applyNumberFormat="1" applyFont="1" applyFill="1"/>
    <xf numFmtId="0" fontId="55" fillId="0" borderId="0" xfId="57" applyFont="1" applyFill="1" applyAlignment="1">
      <alignment horizontal="center"/>
    </xf>
    <xf numFmtId="37" fontId="55" fillId="0" borderId="0" xfId="57" applyNumberFormat="1" applyFont="1" applyFill="1"/>
    <xf numFmtId="0" fontId="55" fillId="0" borderId="0" xfId="57" applyFont="1"/>
    <xf numFmtId="37" fontId="55" fillId="0" borderId="0" xfId="57" applyNumberFormat="1" applyFont="1" applyFill="1" applyAlignment="1">
      <alignment horizontal="left"/>
    </xf>
    <xf numFmtId="0" fontId="51" fillId="0" borderId="0" xfId="57" applyFont="1" applyFill="1" applyAlignment="1">
      <alignment horizontal="center"/>
    </xf>
    <xf numFmtId="0" fontId="64" fillId="0" borderId="0" xfId="57" applyFont="1" applyFill="1" applyAlignment="1">
      <alignment horizontal="left"/>
    </xf>
    <xf numFmtId="0" fontId="32" fillId="0" borderId="0" xfId="57" applyFont="1" applyAlignment="1">
      <alignment horizontal="left"/>
    </xf>
    <xf numFmtId="0" fontId="32" fillId="0" borderId="0" xfId="57" applyFill="1" applyBorder="1"/>
    <xf numFmtId="0" fontId="32" fillId="0" borderId="0" xfId="57" applyFill="1"/>
    <xf numFmtId="0" fontId="32" fillId="0" borderId="0" xfId="57" applyFont="1" applyFill="1" applyBorder="1" applyAlignment="1">
      <alignment horizontal="left"/>
    </xf>
    <xf numFmtId="0" fontId="32" fillId="0" borderId="0" xfId="57" applyFont="1" applyFill="1" applyBorder="1"/>
    <xf numFmtId="37" fontId="32" fillId="0" borderId="0" xfId="57" applyNumberFormat="1" applyFont="1" applyFill="1" applyBorder="1"/>
    <xf numFmtId="0" fontId="32" fillId="0" borderId="0" xfId="57" applyFont="1" applyFill="1" applyBorder="1" applyAlignment="1">
      <alignment horizontal="center"/>
    </xf>
    <xf numFmtId="0" fontId="32" fillId="0" borderId="0" xfId="57" applyFont="1" applyFill="1" applyBorder="1" applyAlignment="1">
      <alignment wrapText="1"/>
    </xf>
    <xf numFmtId="37" fontId="32" fillId="0" borderId="0" xfId="57" applyNumberFormat="1" applyFont="1" applyFill="1" applyBorder="1" applyAlignment="1">
      <alignment wrapText="1"/>
    </xf>
    <xf numFmtId="0" fontId="32" fillId="0" borderId="18" xfId="57" applyFont="1" applyFill="1" applyBorder="1" applyAlignment="1">
      <alignment horizontal="left"/>
    </xf>
    <xf numFmtId="0" fontId="32" fillId="0" borderId="17" xfId="57" applyFont="1" applyFill="1" applyBorder="1" applyAlignment="1">
      <alignment horizontal="center"/>
    </xf>
    <xf numFmtId="0" fontId="107" fillId="0" borderId="0" xfId="57" applyFont="1" applyFill="1" applyBorder="1" applyAlignment="1">
      <alignment wrapText="1"/>
    </xf>
    <xf numFmtId="0" fontId="51" fillId="0" borderId="0" xfId="57" applyFont="1" applyFill="1" applyBorder="1" applyAlignment="1">
      <alignment horizontal="center"/>
    </xf>
    <xf numFmtId="0" fontId="35" fillId="0" borderId="0" xfId="57" applyFont="1" applyFill="1" applyBorder="1"/>
    <xf numFmtId="0" fontId="32" fillId="0" borderId="0" xfId="57" applyFont="1" applyFill="1" applyBorder="1" applyAlignment="1"/>
    <xf numFmtId="0" fontId="33" fillId="0" borderId="0" xfId="57" applyFont="1" applyFill="1" applyBorder="1"/>
    <xf numFmtId="38" fontId="32" fillId="0" borderId="0" xfId="57" applyNumberFormat="1" applyFont="1" applyFill="1" applyBorder="1"/>
    <xf numFmtId="38" fontId="32" fillId="0" borderId="0" xfId="57" applyNumberFormat="1" applyFont="1" applyFill="1" applyBorder="1" applyAlignment="1">
      <alignment horizontal="center"/>
    </xf>
    <xf numFmtId="0" fontId="32" fillId="0" borderId="0" xfId="57" applyFill="1" applyBorder="1" applyAlignment="1">
      <alignment horizontal="center"/>
    </xf>
    <xf numFmtId="0" fontId="32" fillId="0" borderId="0" xfId="57" applyFill="1" applyBorder="1" applyAlignment="1"/>
    <xf numFmtId="0" fontId="64" fillId="0" borderId="0" xfId="57" applyFont="1" applyFill="1" applyBorder="1"/>
    <xf numFmtId="41" fontId="33" fillId="0" borderId="0" xfId="57" applyNumberFormat="1" applyFont="1" applyFill="1" applyBorder="1" applyAlignment="1">
      <alignment horizontal="center"/>
    </xf>
    <xf numFmtId="0" fontId="64" fillId="0" borderId="0" xfId="57" applyFont="1" applyAlignment="1">
      <alignment horizontal="centerContinuous"/>
    </xf>
    <xf numFmtId="0" fontId="48" fillId="0" borderId="0" xfId="57" applyFont="1" applyAlignment="1">
      <alignment horizontal="centerContinuous"/>
    </xf>
    <xf numFmtId="0" fontId="64" fillId="0" borderId="0" xfId="57" applyFont="1" applyBorder="1" applyAlignment="1">
      <alignment horizontal="centerContinuous"/>
    </xf>
    <xf numFmtId="0" fontId="51" fillId="0" borderId="0" xfId="57" applyFont="1" applyBorder="1" applyAlignment="1">
      <alignment horizontal="centerContinuous"/>
    </xf>
    <xf numFmtId="0" fontId="105" fillId="0" borderId="0" xfId="57" applyFont="1" applyFill="1" applyAlignment="1">
      <alignment horizontal="centerContinuous"/>
    </xf>
    <xf numFmtId="0" fontId="36" fillId="0" borderId="0" xfId="57" applyFont="1" applyFill="1" applyAlignment="1">
      <alignment horizontal="center"/>
    </xf>
    <xf numFmtId="37" fontId="32" fillId="0" borderId="0" xfId="57" applyNumberFormat="1" applyFont="1" applyFill="1" applyAlignment="1"/>
    <xf numFmtId="37" fontId="32" fillId="0" borderId="0" xfId="57" applyNumberFormat="1" applyFont="1" applyAlignment="1"/>
    <xf numFmtId="37" fontId="33" fillId="0" borderId="107" xfId="1" applyNumberFormat="1" applyFont="1" applyFill="1" applyBorder="1" applyAlignment="1"/>
    <xf numFmtId="0" fontId="105" fillId="0" borderId="0" xfId="57" applyFont="1" applyFill="1" applyAlignment="1">
      <alignment horizontal="center"/>
    </xf>
    <xf numFmtId="0" fontId="159" fillId="0" borderId="0" xfId="57" applyFont="1" applyFill="1" applyAlignment="1">
      <alignment horizontal="center" wrapText="1"/>
    </xf>
    <xf numFmtId="0" fontId="101" fillId="0" borderId="0" xfId="57" applyFont="1" applyFill="1"/>
    <xf numFmtId="0" fontId="64" fillId="0" borderId="0" xfId="57" applyFont="1" applyFill="1" applyAlignment="1">
      <alignment horizontal="center" wrapText="1"/>
    </xf>
    <xf numFmtId="0" fontId="55" fillId="0" borderId="0" xfId="57" applyFont="1" applyAlignment="1">
      <alignment horizontal="left"/>
    </xf>
    <xf numFmtId="0" fontId="102" fillId="0" borderId="0" xfId="57" applyFont="1" applyFill="1"/>
    <xf numFmtId="0" fontId="32" fillId="0" borderId="17" xfId="57" applyFont="1" applyFill="1" applyBorder="1" applyAlignment="1"/>
    <xf numFmtId="0" fontId="55" fillId="0" borderId="0" xfId="57" applyFont="1" applyFill="1" applyBorder="1" applyAlignment="1">
      <alignment horizontal="left" wrapText="1"/>
    </xf>
    <xf numFmtId="0" fontId="64" fillId="0" borderId="0" xfId="57" applyFont="1" applyFill="1" applyBorder="1" applyAlignment="1">
      <alignment wrapText="1"/>
    </xf>
    <xf numFmtId="37" fontId="32" fillId="0" borderId="0" xfId="57" applyNumberFormat="1" applyFont="1" applyFill="1" applyBorder="1" applyAlignment="1">
      <alignment horizontal="center" wrapText="1"/>
    </xf>
    <xf numFmtId="0" fontId="32" fillId="0" borderId="0" xfId="57" applyFont="1" applyFill="1" applyBorder="1" applyAlignment="1">
      <alignment horizontal="center" wrapText="1"/>
    </xf>
    <xf numFmtId="0" fontId="55" fillId="0" borderId="0" xfId="57" applyFont="1" applyFill="1" applyBorder="1" applyAlignment="1">
      <alignment wrapText="1"/>
    </xf>
    <xf numFmtId="37" fontId="55" fillId="0" borderId="0" xfId="57" applyNumberFormat="1" applyFont="1" applyFill="1" applyBorder="1" applyAlignment="1">
      <alignment wrapText="1"/>
    </xf>
    <xf numFmtId="0" fontId="32" fillId="0" borderId="17" xfId="57" applyFont="1" applyFill="1" applyBorder="1" applyAlignment="1">
      <alignment horizontal="center" wrapText="1"/>
    </xf>
    <xf numFmtId="0" fontId="105" fillId="0" borderId="0" xfId="57" applyFont="1" applyFill="1" applyBorder="1" applyAlignment="1">
      <alignment horizontal="center" wrapText="1"/>
    </xf>
    <xf numFmtId="0" fontId="51" fillId="0" borderId="0" xfId="57" applyFont="1" applyFill="1" applyBorder="1" applyAlignment="1">
      <alignment horizontal="center" wrapText="1"/>
    </xf>
    <xf numFmtId="0" fontId="33" fillId="0" borderId="0" xfId="57" applyFont="1" applyFill="1" applyBorder="1" applyAlignment="1">
      <alignment horizontal="left"/>
    </xf>
    <xf numFmtId="0" fontId="33" fillId="0" borderId="0" xfId="57" applyFont="1" applyFill="1" applyBorder="1" applyAlignment="1">
      <alignment horizontal="center" wrapText="1"/>
    </xf>
    <xf numFmtId="0" fontId="43" fillId="0" borderId="0" xfId="57" applyFont="1" applyFill="1" applyBorder="1" applyAlignment="1"/>
    <xf numFmtId="0" fontId="35" fillId="0" borderId="0" xfId="57" applyFont="1" applyFill="1" applyBorder="1" applyAlignment="1">
      <alignment wrapText="1"/>
    </xf>
    <xf numFmtId="0" fontId="102" fillId="0" borderId="0" xfId="57" applyFont="1" applyFill="1" applyBorder="1" applyAlignment="1">
      <alignment wrapText="1"/>
    </xf>
    <xf numFmtId="0" fontId="50" fillId="0" borderId="0" xfId="57" applyFont="1" applyFill="1" applyBorder="1" applyAlignment="1">
      <alignment horizontal="left"/>
    </xf>
    <xf numFmtId="0" fontId="50" fillId="0" borderId="0" xfId="57" applyFont="1" applyFill="1" applyBorder="1" applyAlignment="1">
      <alignment horizontal="center" wrapText="1"/>
    </xf>
    <xf numFmtId="0" fontId="50" fillId="0" borderId="0" xfId="57" applyFont="1" applyFill="1" applyBorder="1" applyAlignment="1">
      <alignment horizontal="center"/>
    </xf>
    <xf numFmtId="0" fontId="102" fillId="0" borderId="0" xfId="57" applyFont="1" applyFill="1" applyBorder="1" applyAlignment="1">
      <alignment horizontal="left"/>
    </xf>
    <xf numFmtId="0" fontId="102" fillId="0" borderId="0" xfId="57" applyFont="1" applyFill="1" applyAlignment="1">
      <alignment wrapText="1"/>
    </xf>
    <xf numFmtId="0" fontId="33" fillId="0" borderId="0" xfId="57" applyFont="1" applyFill="1" applyAlignment="1">
      <alignment horizontal="center" wrapText="1"/>
    </xf>
    <xf numFmtId="0" fontId="33" fillId="0" borderId="0" xfId="57" applyFont="1" applyFill="1" applyBorder="1" applyAlignment="1">
      <alignment wrapText="1"/>
    </xf>
    <xf numFmtId="0" fontId="64" fillId="0" borderId="0" xfId="57" applyFont="1" applyFill="1" applyBorder="1" applyAlignment="1"/>
    <xf numFmtId="0" fontId="43" fillId="0" borderId="0" xfId="57" applyFont="1" applyFill="1" applyBorder="1" applyAlignment="1">
      <alignment horizontal="left" wrapText="1"/>
    </xf>
    <xf numFmtId="0" fontId="105" fillId="0" borderId="0" xfId="57" applyFont="1" applyFill="1" applyBorder="1" applyAlignment="1">
      <alignment horizontal="left"/>
    </xf>
    <xf numFmtId="0" fontId="55" fillId="0" borderId="0" xfId="57" applyFont="1" applyFill="1" applyBorder="1" applyAlignment="1">
      <alignment horizontal="left"/>
    </xf>
    <xf numFmtId="0" fontId="55" fillId="0" borderId="0" xfId="57" applyFont="1" applyFill="1" applyBorder="1"/>
    <xf numFmtId="0" fontId="100" fillId="0" borderId="0" xfId="57" applyFont="1" applyFill="1" applyBorder="1" applyAlignment="1">
      <alignment horizontal="left"/>
    </xf>
    <xf numFmtId="0" fontId="64" fillId="0" borderId="0" xfId="57" applyFont="1" applyFill="1" applyBorder="1" applyAlignment="1">
      <alignment horizontal="center"/>
    </xf>
    <xf numFmtId="0" fontId="55" fillId="0" borderId="0" xfId="57" applyFont="1" applyFill="1" applyBorder="1" applyAlignment="1"/>
    <xf numFmtId="0" fontId="64" fillId="0" borderId="0" xfId="57" applyFont="1" applyFill="1" applyBorder="1" applyAlignment="1">
      <alignment horizontal="left"/>
    </xf>
    <xf numFmtId="0" fontId="106" fillId="0" borderId="0" xfId="57" applyFont="1" applyFill="1" applyBorder="1" applyAlignment="1">
      <alignment horizontal="center"/>
    </xf>
    <xf numFmtId="0" fontId="55" fillId="0" borderId="0" xfId="57" applyFont="1" applyFill="1" applyBorder="1" applyAlignment="1">
      <alignment horizontal="center"/>
    </xf>
    <xf numFmtId="0" fontId="105" fillId="0" borderId="0" xfId="57" applyFont="1" applyFill="1" applyBorder="1" applyAlignment="1">
      <alignment horizontal="center"/>
    </xf>
    <xf numFmtId="0" fontId="32" fillId="0" borderId="0" xfId="57" applyFont="1" applyAlignment="1">
      <alignment vertical="top"/>
    </xf>
    <xf numFmtId="0" fontId="32" fillId="0" borderId="0" xfId="57" applyAlignment="1">
      <alignment vertical="top"/>
    </xf>
    <xf numFmtId="0" fontId="32" fillId="0" borderId="18" xfId="57" applyFont="1" applyFill="1" applyBorder="1" applyAlignment="1">
      <alignment vertical="top" wrapText="1"/>
    </xf>
    <xf numFmtId="0" fontId="32" fillId="0" borderId="0" xfId="57" applyFont="1" applyFill="1" applyBorder="1" applyAlignment="1">
      <alignment vertical="top" wrapText="1"/>
    </xf>
    <xf numFmtId="41" fontId="64" fillId="0" borderId="0" xfId="57" applyNumberFormat="1" applyFont="1" applyFill="1" applyBorder="1" applyAlignment="1">
      <alignment horizontal="center"/>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45" fillId="0" borderId="0" xfId="57" applyFont="1" applyAlignment="1">
      <alignment horizontal="centerContinuous"/>
    </xf>
    <xf numFmtId="0" fontId="32" fillId="0" borderId="0" xfId="57" applyFont="1" applyAlignment="1"/>
    <xf numFmtId="0" fontId="166" fillId="0" borderId="0" xfId="57" applyFont="1" applyAlignment="1">
      <alignment horizontal="centerContinuous"/>
    </xf>
    <xf numFmtId="0" fontId="32" fillId="0" borderId="0" xfId="57" applyFont="1" applyAlignment="1">
      <alignment horizontal="right"/>
    </xf>
    <xf numFmtId="0" fontId="33" fillId="0" borderId="4" xfId="57" applyFont="1" applyBorder="1"/>
    <xf numFmtId="0" fontId="32" fillId="0" borderId="4" xfId="57" applyFont="1" applyBorder="1"/>
    <xf numFmtId="0" fontId="43" fillId="0" borderId="0" xfId="57" applyFont="1" applyFill="1" applyAlignment="1">
      <alignment horizontal="center"/>
    </xf>
    <xf numFmtId="0" fontId="33" fillId="0" borderId="4" xfId="57" applyFont="1" applyFill="1" applyBorder="1" applyAlignment="1">
      <alignment horizontal="right"/>
    </xf>
    <xf numFmtId="0" fontId="32" fillId="0" borderId="4" xfId="57" applyFont="1" applyBorder="1" applyAlignment="1">
      <alignment horizontal="center" wrapText="1"/>
    </xf>
    <xf numFmtId="0" fontId="32" fillId="11" borderId="0" xfId="57" applyFont="1" applyFill="1" applyAlignment="1">
      <alignment horizontal="left" indent="1"/>
    </xf>
    <xf numFmtId="37" fontId="32" fillId="11" borderId="0" xfId="57" applyNumberFormat="1" applyFont="1" applyFill="1" applyAlignment="1">
      <alignment horizontal="right" wrapText="1"/>
    </xf>
    <xf numFmtId="168" fontId="32" fillId="0" borderId="0" xfId="13" applyNumberFormat="1" applyFont="1" applyFill="1" applyAlignment="1">
      <alignment horizontal="center" wrapText="1"/>
    </xf>
    <xf numFmtId="0" fontId="96" fillId="0" borderId="0" xfId="57" applyFont="1" applyFill="1" applyAlignment="1">
      <alignment horizontal="left" wrapText="1"/>
    </xf>
    <xf numFmtId="37" fontId="32" fillId="11" borderId="0" xfId="57" applyNumberFormat="1" applyFont="1" applyFill="1" applyAlignment="1">
      <alignment horizontal="left" wrapText="1"/>
    </xf>
    <xf numFmtId="0" fontId="33" fillId="0" borderId="39" xfId="57" applyFont="1" applyBorder="1"/>
    <xf numFmtId="0" fontId="32" fillId="0" borderId="39" xfId="57" applyFont="1" applyBorder="1"/>
    <xf numFmtId="37" fontId="32" fillId="0" borderId="39" xfId="57" applyNumberFormat="1" applyFont="1" applyBorder="1" applyAlignment="1">
      <alignment horizontal="right" wrapText="1"/>
    </xf>
    <xf numFmtId="37" fontId="32" fillId="0" borderId="0" xfId="57" applyNumberFormat="1" applyFont="1" applyAlignment="1">
      <alignment horizontal="right" wrapText="1"/>
    </xf>
    <xf numFmtId="0" fontId="32" fillId="0" borderId="0" xfId="57" applyFont="1" applyAlignment="1">
      <alignment horizontal="right" wrapText="1"/>
    </xf>
    <xf numFmtId="0" fontId="32" fillId="0" borderId="0" xfId="57" applyFont="1" applyAlignment="1">
      <alignment horizontal="left" wrapText="1"/>
    </xf>
    <xf numFmtId="0" fontId="32" fillId="0" borderId="4" xfId="57" applyFont="1" applyBorder="1" applyAlignment="1">
      <alignment horizontal="right" wrapText="1"/>
    </xf>
    <xf numFmtId="0" fontId="32" fillId="0" borderId="4" xfId="57" applyNumberFormat="1" applyFont="1" applyFill="1" applyBorder="1" applyAlignment="1">
      <alignment horizontal="center" wrapText="1"/>
    </xf>
    <xf numFmtId="0" fontId="32" fillId="0" borderId="4" xfId="57" applyFont="1" applyBorder="1" applyAlignment="1">
      <alignment horizontal="left" wrapText="1"/>
    </xf>
    <xf numFmtId="37" fontId="101" fillId="11" borderId="0" xfId="57" applyNumberFormat="1" applyFont="1" applyFill="1" applyAlignment="1">
      <alignment horizontal="right" wrapText="1"/>
    </xf>
    <xf numFmtId="0" fontId="32" fillId="0" borderId="0" xfId="57" applyFont="1" applyAlignment="1">
      <alignment horizontal="left" vertical="center" wrapText="1"/>
    </xf>
    <xf numFmtId="0" fontId="96" fillId="0" borderId="0" xfId="57" applyFont="1" applyAlignment="1">
      <alignment horizontal="left" wrapText="1"/>
    </xf>
    <xf numFmtId="0" fontId="32" fillId="0" borderId="4" xfId="57" applyFont="1" applyBorder="1" applyAlignment="1">
      <alignment horizontal="right"/>
    </xf>
    <xf numFmtId="0" fontId="96" fillId="0" borderId="0" xfId="57" applyFont="1" applyAlignment="1">
      <alignment horizontal="left" vertical="center" wrapText="1"/>
    </xf>
    <xf numFmtId="37" fontId="32" fillId="11" borderId="0" xfId="57" applyNumberFormat="1" applyFont="1" applyFill="1" applyBorder="1" applyAlignment="1">
      <alignment horizontal="right"/>
    </xf>
    <xf numFmtId="0" fontId="32" fillId="0" borderId="0" xfId="57" applyFont="1" applyBorder="1"/>
    <xf numFmtId="37" fontId="32" fillId="0" borderId="39" xfId="57" applyNumberFormat="1" applyFont="1" applyFill="1" applyBorder="1" applyAlignment="1">
      <alignment horizontal="right" wrapText="1"/>
    </xf>
    <xf numFmtId="37" fontId="33" fillId="0" borderId="3" xfId="57" applyNumberFormat="1" applyFont="1" applyBorder="1" applyAlignment="1">
      <alignment horizontal="right" wrapText="1"/>
    </xf>
    <xf numFmtId="0" fontId="32" fillId="0" borderId="0" xfId="57" applyNumberFormat="1" applyFont="1" applyFill="1" applyBorder="1" applyAlignment="1">
      <alignment horizontal="left"/>
    </xf>
    <xf numFmtId="37" fontId="32" fillId="0" borderId="0" xfId="57" applyNumberFormat="1" applyFont="1" applyFill="1" applyAlignment="1">
      <alignment horizontal="right" wrapText="1"/>
    </xf>
    <xf numFmtId="0" fontId="32" fillId="0" borderId="0" xfId="57" applyNumberFormat="1" applyFont="1" applyAlignment="1">
      <alignment horizontal="left"/>
    </xf>
    <xf numFmtId="41" fontId="32" fillId="0" borderId="0" xfId="437" applyFont="1" applyFill="1"/>
    <xf numFmtId="0" fontId="92" fillId="0" borderId="0" xfId="57" applyFont="1" applyFill="1"/>
    <xf numFmtId="0" fontId="92" fillId="0" borderId="0" xfId="57" applyFont="1" applyAlignment="1">
      <alignment horizontal="left"/>
    </xf>
    <xf numFmtId="164" fontId="35" fillId="0" borderId="0" xfId="1" applyNumberFormat="1" applyFont="1" applyFill="1"/>
    <xf numFmtId="0" fontId="32" fillId="11" borderId="0" xfId="57" applyFont="1" applyFill="1" applyAlignment="1">
      <alignment horizontal="left" wrapText="1"/>
    </xf>
    <xf numFmtId="164" fontId="32" fillId="11" borderId="0" xfId="1" applyNumberFormat="1" applyFont="1" applyFill="1" applyAlignment="1">
      <alignment horizontal="left"/>
    </xf>
    <xf numFmtId="0" fontId="33" fillId="0" borderId="39" xfId="57" applyFont="1" applyFill="1" applyBorder="1"/>
    <xf numFmtId="164" fontId="32" fillId="0" borderId="0" xfId="57" applyNumberFormat="1" applyFont="1"/>
    <xf numFmtId="37" fontId="32" fillId="0" borderId="0" xfId="57" applyNumberFormat="1" applyFont="1" applyFill="1" applyAlignment="1">
      <alignment horizontal="right"/>
    </xf>
    <xf numFmtId="0" fontId="33" fillId="0" borderId="0" xfId="57" applyFont="1" applyFill="1"/>
    <xf numFmtId="37" fontId="32" fillId="0" borderId="109" xfId="57" applyNumberFormat="1" applyFont="1" applyFill="1" applyBorder="1" applyAlignment="1">
      <alignment horizontal="right" wrapText="1"/>
    </xf>
    <xf numFmtId="0" fontId="32" fillId="0" borderId="0" xfId="57" applyFont="1" applyFill="1" applyAlignment="1">
      <alignment horizontal="right"/>
    </xf>
    <xf numFmtId="41" fontId="32" fillId="0" borderId="0" xfId="57" applyNumberFormat="1" applyFont="1" applyFill="1" applyBorder="1" applyAlignment="1">
      <alignment horizontal="right"/>
    </xf>
    <xf numFmtId="37" fontId="32" fillId="11" borderId="0" xfId="57" applyNumberFormat="1" applyFont="1" applyFill="1"/>
    <xf numFmtId="37" fontId="101" fillId="41" borderId="109" xfId="57" applyNumberFormat="1" applyFont="1" applyFill="1" applyBorder="1" applyAlignment="1">
      <alignment horizontal="right" wrapText="1"/>
    </xf>
    <xf numFmtId="41" fontId="32" fillId="0" borderId="0" xfId="57" applyNumberFormat="1" applyFont="1" applyFill="1" applyAlignment="1">
      <alignment horizontal="right"/>
    </xf>
    <xf numFmtId="37" fontId="32" fillId="0" borderId="0" xfId="1" applyNumberFormat="1" applyFont="1" applyFill="1" applyBorder="1" applyAlignment="1">
      <alignment horizontal="right"/>
    </xf>
    <xf numFmtId="173" fontId="32" fillId="0" borderId="0" xfId="13" applyNumberFormat="1" applyFont="1" applyFill="1" applyBorder="1" applyAlignment="1">
      <alignment horizontal="right"/>
    </xf>
    <xf numFmtId="164" fontId="32" fillId="0" borderId="0" xfId="1" applyNumberFormat="1" applyFont="1" applyFill="1" applyAlignment="1">
      <alignment horizontal="right"/>
    </xf>
    <xf numFmtId="0" fontId="35" fillId="0" borderId="0" xfId="57" applyFont="1" applyFill="1"/>
    <xf numFmtId="0" fontId="33" fillId="0" borderId="6" xfId="57" applyFont="1" applyFill="1" applyBorder="1"/>
    <xf numFmtId="0" fontId="32" fillId="0" borderId="5" xfId="57" applyFont="1" applyFill="1" applyBorder="1"/>
    <xf numFmtId="0" fontId="32" fillId="0" borderId="5" xfId="57" applyFont="1" applyFill="1" applyBorder="1" applyAlignment="1">
      <alignment horizontal="right"/>
    </xf>
    <xf numFmtId="0" fontId="43" fillId="0" borderId="5" xfId="57" applyFont="1" applyFill="1" applyBorder="1"/>
    <xf numFmtId="0" fontId="32" fillId="0" borderId="32" xfId="57" applyFont="1" applyBorder="1"/>
    <xf numFmtId="0" fontId="62" fillId="0" borderId="8" xfId="57" applyFont="1" applyBorder="1"/>
    <xf numFmtId="0" fontId="32" fillId="0" borderId="0" xfId="57" applyFont="1" applyBorder="1" applyAlignment="1">
      <alignment horizontal="right"/>
    </xf>
    <xf numFmtId="0" fontId="32" fillId="0" borderId="7" xfId="57" applyFont="1" applyBorder="1"/>
    <xf numFmtId="0" fontId="32" fillId="0" borderId="8" xfId="57" applyFont="1" applyBorder="1"/>
    <xf numFmtId="0" fontId="32" fillId="0" borderId="0" xfId="57" applyFont="1" applyBorder="1" applyAlignment="1">
      <alignment horizontal="left"/>
    </xf>
    <xf numFmtId="0" fontId="32" fillId="0" borderId="8" xfId="57" applyFont="1" applyFill="1" applyBorder="1"/>
    <xf numFmtId="0" fontId="101" fillId="11" borderId="0" xfId="57" applyFont="1" applyFill="1" applyBorder="1" applyAlignment="1">
      <alignment horizontal="center"/>
    </xf>
    <xf numFmtId="0" fontId="32" fillId="11" borderId="0" xfId="57" applyFont="1" applyFill="1" applyBorder="1" applyAlignment="1">
      <alignment horizontal="center"/>
    </xf>
    <xf numFmtId="164" fontId="32" fillId="0" borderId="0" xfId="1" applyNumberFormat="1" applyFont="1"/>
    <xf numFmtId="0" fontId="32" fillId="0" borderId="0" xfId="57" quotePrefix="1" applyFont="1" applyBorder="1"/>
    <xf numFmtId="0" fontId="80" fillId="0" borderId="0" xfId="57" applyFont="1"/>
    <xf numFmtId="0" fontId="32" fillId="0" borderId="7" xfId="57" applyFont="1" applyFill="1" applyBorder="1"/>
    <xf numFmtId="0" fontId="32" fillId="0" borderId="8" xfId="57" applyFont="1" applyBorder="1" applyAlignment="1">
      <alignment vertical="top"/>
    </xf>
    <xf numFmtId="0" fontId="33" fillId="0" borderId="0" xfId="57" applyFont="1" applyFill="1" applyBorder="1" applyAlignment="1">
      <alignment horizontal="left" vertical="top"/>
    </xf>
    <xf numFmtId="0" fontId="32" fillId="0" borderId="0" xfId="57" applyFont="1" applyBorder="1" applyAlignment="1">
      <alignment vertical="top"/>
    </xf>
    <xf numFmtId="0" fontId="92" fillId="0" borderId="0" xfId="57" applyFont="1" applyBorder="1" applyAlignment="1">
      <alignment horizontal="left" vertical="top"/>
    </xf>
    <xf numFmtId="0" fontId="32" fillId="0" borderId="7" xfId="57" applyFont="1" applyFill="1" applyBorder="1" applyAlignment="1">
      <alignment vertical="top"/>
    </xf>
    <xf numFmtId="0" fontId="32" fillId="0" borderId="0" xfId="57" applyFont="1" applyFill="1" applyAlignment="1">
      <alignment vertical="top"/>
    </xf>
    <xf numFmtId="0" fontId="101" fillId="11" borderId="107" xfId="57" applyFont="1" applyFill="1" applyBorder="1" applyAlignment="1">
      <alignment horizontal="left" vertical="top"/>
    </xf>
    <xf numFmtId="0" fontId="101" fillId="11" borderId="107" xfId="57" applyFont="1" applyFill="1" applyBorder="1" applyAlignment="1">
      <alignment horizontal="center" vertical="top" wrapText="1"/>
    </xf>
    <xf numFmtId="164" fontId="101" fillId="11" borderId="107" xfId="1" applyNumberFormat="1" applyFont="1" applyFill="1" applyBorder="1" applyAlignment="1">
      <alignment horizontal="center" vertical="top"/>
    </xf>
    <xf numFmtId="0" fontId="101" fillId="11" borderId="107" xfId="57" applyFont="1" applyFill="1" applyBorder="1" applyAlignment="1">
      <alignment horizontal="center" vertical="top"/>
    </xf>
    <xf numFmtId="164" fontId="32" fillId="11" borderId="107" xfId="1" applyNumberFormat="1" applyFont="1" applyFill="1" applyBorder="1" applyAlignment="1">
      <alignment vertical="top"/>
    </xf>
    <xf numFmtId="0" fontId="101" fillId="11" borderId="107" xfId="57" applyFont="1" applyFill="1" applyBorder="1" applyAlignment="1">
      <alignment vertical="top" wrapText="1"/>
    </xf>
    <xf numFmtId="0" fontId="101" fillId="11" borderId="123" xfId="57" applyFont="1" applyFill="1" applyBorder="1" applyAlignment="1">
      <alignment horizontal="left" vertical="top" indent="2"/>
    </xf>
    <xf numFmtId="0" fontId="101" fillId="11" borderId="123" xfId="57" applyFont="1" applyFill="1" applyBorder="1" applyAlignment="1">
      <alignment horizontal="center" vertical="top" wrapText="1"/>
    </xf>
    <xf numFmtId="0" fontId="101" fillId="11" borderId="123" xfId="57" applyFont="1" applyFill="1" applyBorder="1" applyAlignment="1">
      <alignment horizontal="center" vertical="top"/>
    </xf>
    <xf numFmtId="164" fontId="101" fillId="11" borderId="123" xfId="1" applyNumberFormat="1" applyFont="1" applyFill="1" applyBorder="1" applyAlignment="1">
      <alignment vertical="top"/>
    </xf>
    <xf numFmtId="0" fontId="101" fillId="11" borderId="123" xfId="57" applyFont="1" applyFill="1" applyBorder="1" applyAlignment="1">
      <alignment vertical="top" wrapText="1"/>
    </xf>
    <xf numFmtId="0" fontId="101" fillId="11" borderId="20" xfId="57" applyFont="1" applyFill="1" applyBorder="1" applyAlignment="1">
      <alignment horizontal="left" vertical="top" indent="2"/>
    </xf>
    <xf numFmtId="0" fontId="101" fillId="11" borderId="20" xfId="57" applyFont="1" applyFill="1" applyBorder="1" applyAlignment="1">
      <alignment horizontal="center" vertical="top" wrapText="1"/>
    </xf>
    <xf numFmtId="0" fontId="101" fillId="11" borderId="20" xfId="1" applyNumberFormat="1" applyFont="1" applyFill="1" applyBorder="1" applyAlignment="1">
      <alignment horizontal="center" vertical="top"/>
    </xf>
    <xf numFmtId="0" fontId="101" fillId="11" borderId="20" xfId="57" applyFont="1" applyFill="1" applyBorder="1" applyAlignment="1">
      <alignment horizontal="center" vertical="top"/>
    </xf>
    <xf numFmtId="164" fontId="101" fillId="11" borderId="20" xfId="1" applyNumberFormat="1" applyFont="1" applyFill="1" applyBorder="1" applyAlignment="1">
      <alignment vertical="top"/>
    </xf>
    <xf numFmtId="0" fontId="101" fillId="11" borderId="20" xfId="57" applyFont="1" applyFill="1" applyBorder="1" applyAlignment="1">
      <alignment vertical="top" wrapText="1"/>
    </xf>
    <xf numFmtId="0" fontId="101" fillId="11" borderId="22" xfId="57" applyFont="1" applyFill="1" applyBorder="1" applyAlignment="1">
      <alignment horizontal="left" vertical="top" indent="2"/>
    </xf>
    <xf numFmtId="0" fontId="101" fillId="11" borderId="22" xfId="57" applyFont="1" applyFill="1" applyBorder="1" applyAlignment="1">
      <alignment horizontal="center" vertical="top" wrapText="1"/>
    </xf>
    <xf numFmtId="0" fontId="101" fillId="11" borderId="22" xfId="1" applyNumberFormat="1" applyFont="1" applyFill="1" applyBorder="1" applyAlignment="1">
      <alignment horizontal="center" vertical="top"/>
    </xf>
    <xf numFmtId="0" fontId="101" fillId="11" borderId="22" xfId="57" applyFont="1" applyFill="1" applyBorder="1" applyAlignment="1">
      <alignment horizontal="center" vertical="top"/>
    </xf>
    <xf numFmtId="164" fontId="101" fillId="11" borderId="22" xfId="1" applyNumberFormat="1" applyFont="1" applyFill="1" applyBorder="1" applyAlignment="1">
      <alignment vertical="top"/>
    </xf>
    <xf numFmtId="0" fontId="101" fillId="11" borderId="22" xfId="57" applyFont="1" applyFill="1" applyBorder="1" applyAlignment="1">
      <alignment vertical="top" wrapText="1"/>
    </xf>
    <xf numFmtId="0" fontId="101" fillId="11" borderId="124" xfId="57" applyFont="1" applyFill="1" applyBorder="1" applyAlignment="1">
      <alignment horizontal="left" vertical="top"/>
    </xf>
    <xf numFmtId="0" fontId="101" fillId="11" borderId="124" xfId="57" applyFont="1" applyFill="1" applyBorder="1" applyAlignment="1">
      <alignment horizontal="center" vertical="top" wrapText="1"/>
    </xf>
    <xf numFmtId="0" fontId="101" fillId="11" borderId="124" xfId="1" applyNumberFormat="1" applyFont="1" applyFill="1" applyBorder="1" applyAlignment="1">
      <alignment horizontal="center" vertical="top"/>
    </xf>
    <xf numFmtId="0" fontId="101" fillId="11" borderId="124" xfId="57" applyFont="1" applyFill="1" applyBorder="1" applyAlignment="1">
      <alignment horizontal="center" vertical="top"/>
    </xf>
    <xf numFmtId="164" fontId="101" fillId="11" borderId="124" xfId="1" applyNumberFormat="1" applyFont="1" applyFill="1" applyBorder="1" applyAlignment="1">
      <alignment vertical="top"/>
    </xf>
    <xf numFmtId="0" fontId="101" fillId="11" borderId="124" xfId="57" applyFont="1" applyFill="1" applyBorder="1" applyAlignment="1">
      <alignment vertical="top" wrapText="1"/>
    </xf>
    <xf numFmtId="0" fontId="101" fillId="11" borderId="22" xfId="57" applyFont="1" applyFill="1" applyBorder="1" applyAlignment="1">
      <alignment horizontal="left" indent="2"/>
    </xf>
    <xf numFmtId="0" fontId="101" fillId="11" borderId="22" xfId="57" applyFont="1" applyFill="1" applyBorder="1" applyAlignment="1">
      <alignment horizontal="center"/>
    </xf>
    <xf numFmtId="0" fontId="101" fillId="11" borderId="22" xfId="57" applyNumberFormat="1" applyFont="1" applyFill="1" applyBorder="1" applyAlignment="1">
      <alignment horizontal="center"/>
    </xf>
    <xf numFmtId="0" fontId="101" fillId="11" borderId="22" xfId="57" applyFont="1" applyFill="1" applyBorder="1"/>
    <xf numFmtId="3" fontId="101" fillId="11" borderId="22" xfId="57" applyNumberFormat="1" applyFont="1" applyFill="1" applyBorder="1" applyAlignment="1">
      <alignment horizontal="right"/>
    </xf>
    <xf numFmtId="0" fontId="32" fillId="0" borderId="24" xfId="57" applyFont="1" applyBorder="1"/>
    <xf numFmtId="0" fontId="32" fillId="0" borderId="75" xfId="57" applyFont="1" applyBorder="1"/>
    <xf numFmtId="0" fontId="32" fillId="0" borderId="75" xfId="57" applyFont="1" applyBorder="1" applyAlignment="1">
      <alignment horizontal="right"/>
    </xf>
    <xf numFmtId="0" fontId="32" fillId="0" borderId="9" xfId="57" applyFont="1" applyBorder="1"/>
    <xf numFmtId="0" fontId="172" fillId="0" borderId="0" xfId="26" applyFont="1"/>
    <xf numFmtId="43" fontId="172" fillId="0" borderId="0" xfId="26" applyNumberFormat="1" applyFont="1" applyAlignment="1">
      <alignment vertical="top"/>
    </xf>
    <xf numFmtId="0" fontId="172" fillId="0" borderId="0" xfId="26" applyFont="1" applyAlignment="1">
      <alignment vertical="top"/>
    </xf>
    <xf numFmtId="10" fontId="32" fillId="0" borderId="15" xfId="26" applyNumberFormat="1" applyFont="1" applyFill="1" applyBorder="1" applyAlignment="1">
      <alignment horizontal="right" vertical="top"/>
    </xf>
    <xf numFmtId="0" fontId="172" fillId="0" borderId="75" xfId="26" applyFont="1" applyBorder="1" applyAlignment="1">
      <alignment vertical="top"/>
    </xf>
    <xf numFmtId="10" fontId="32" fillId="0" borderId="9" xfId="26" applyNumberFormat="1" applyFont="1" applyBorder="1" applyAlignment="1">
      <alignment horizontal="right" vertical="top"/>
    </xf>
    <xf numFmtId="10" fontId="32" fillId="0" borderId="14" xfId="26" applyNumberFormat="1" applyFont="1" applyFill="1" applyBorder="1" applyAlignment="1">
      <alignment horizontal="right" vertical="top"/>
    </xf>
    <xf numFmtId="10" fontId="32" fillId="0" borderId="7" xfId="26" applyNumberFormat="1" applyFont="1" applyBorder="1" applyAlignment="1">
      <alignment horizontal="right" vertical="top"/>
    </xf>
    <xf numFmtId="10" fontId="32" fillId="0" borderId="14" xfId="26" applyNumberFormat="1" applyFont="1" applyBorder="1" applyAlignment="1">
      <alignment horizontal="right" vertical="top"/>
    </xf>
    <xf numFmtId="0" fontId="172" fillId="0" borderId="0" xfId="26" applyFont="1" applyFill="1"/>
    <xf numFmtId="0" fontId="172" fillId="0" borderId="0" xfId="26" applyFont="1" applyAlignment="1">
      <alignment horizontal="centerContinuous"/>
    </xf>
    <xf numFmtId="10" fontId="32" fillId="0" borderId="13" xfId="26" applyNumberFormat="1" applyFont="1" applyFill="1" applyBorder="1" applyAlignment="1">
      <alignment horizontal="right" vertical="top"/>
    </xf>
    <xf numFmtId="0" fontId="32" fillId="0" borderId="44" xfId="26" applyFont="1" applyBorder="1" applyAlignment="1">
      <alignment horizontal="center"/>
    </xf>
    <xf numFmtId="0" fontId="32" fillId="0" borderId="7" xfId="26" applyFont="1" applyBorder="1" applyAlignment="1">
      <alignment horizontal="center"/>
    </xf>
    <xf numFmtId="0" fontId="32" fillId="0" borderId="44" xfId="26" applyFont="1" applyFill="1" applyBorder="1" applyAlignment="1">
      <alignment horizontal="center"/>
    </xf>
    <xf numFmtId="0" fontId="32" fillId="0" borderId="7" xfId="26" applyFont="1" applyFill="1" applyBorder="1" applyAlignment="1">
      <alignment horizontal="center"/>
    </xf>
    <xf numFmtId="0" fontId="32" fillId="0" borderId="14" xfId="26" applyFont="1" applyFill="1" applyBorder="1" applyAlignment="1">
      <alignment horizontal="center"/>
    </xf>
    <xf numFmtId="2" fontId="32" fillId="0" borderId="7" xfId="26" applyNumberFormat="1" applyFont="1" applyFill="1" applyBorder="1" applyAlignment="1">
      <alignment horizontal="right" vertical="top"/>
    </xf>
    <xf numFmtId="0" fontId="172" fillId="0" borderId="0" xfId="26" applyFont="1" applyFill="1" applyAlignment="1">
      <alignment vertical="top"/>
    </xf>
    <xf numFmtId="10" fontId="32" fillId="0" borderId="7" xfId="26" applyNumberFormat="1" applyFont="1" applyFill="1" applyBorder="1" applyAlignment="1">
      <alignment horizontal="right" vertical="top"/>
    </xf>
    <xf numFmtId="0" fontId="12" fillId="0" borderId="0" xfId="5823"/>
    <xf numFmtId="0" fontId="139" fillId="0" borderId="0" xfId="5823" applyFont="1"/>
    <xf numFmtId="0" fontId="158" fillId="0" borderId="0" xfId="5823" applyFont="1"/>
    <xf numFmtId="0" fontId="99" fillId="0" borderId="0" xfId="57" applyFont="1" applyAlignment="1"/>
    <xf numFmtId="0" fontId="102" fillId="0" borderId="0" xfId="5823" applyFont="1"/>
    <xf numFmtId="0" fontId="33" fillId="0" borderId="0" xfId="57" applyFont="1" applyAlignment="1"/>
    <xf numFmtId="0" fontId="32" fillId="11" borderId="39" xfId="57" applyFont="1" applyFill="1" applyBorder="1" applyAlignment="1">
      <alignment horizontal="center"/>
    </xf>
    <xf numFmtId="0" fontId="32" fillId="0" borderId="39" xfId="57" applyFont="1" applyFill="1" applyBorder="1" applyAlignment="1">
      <alignment horizontal="left" indent="1"/>
    </xf>
    <xf numFmtId="43" fontId="32" fillId="0" borderId="124" xfId="1" applyFont="1" applyBorder="1" applyAlignment="1">
      <alignment horizontal="center"/>
    </xf>
    <xf numFmtId="0" fontId="32" fillId="0" borderId="124" xfId="57" applyFont="1" applyBorder="1" applyAlignment="1">
      <alignment horizontal="center"/>
    </xf>
    <xf numFmtId="0" fontId="33" fillId="0" borderId="0" xfId="57" applyFont="1" applyBorder="1" applyAlignment="1">
      <alignment horizontal="left" indent="1"/>
    </xf>
    <xf numFmtId="37" fontId="33" fillId="0" borderId="124" xfId="1" applyNumberFormat="1" applyFont="1" applyFill="1" applyBorder="1"/>
    <xf numFmtId="0" fontId="33" fillId="0" borderId="39" xfId="57" applyFont="1" applyBorder="1" applyAlignment="1">
      <alignment horizontal="left" indent="1"/>
    </xf>
    <xf numFmtId="0" fontId="101" fillId="11" borderId="0" xfId="57" applyFont="1" applyFill="1"/>
    <xf numFmtId="0" fontId="141" fillId="0" borderId="0" xfId="5823" applyFont="1"/>
    <xf numFmtId="0" fontId="33" fillId="0" borderId="3" xfId="57" applyFont="1" applyBorder="1" applyAlignment="1">
      <alignment horizontal="left" indent="1"/>
    </xf>
    <xf numFmtId="0" fontId="33" fillId="0" borderId="0" xfId="57" applyFont="1" applyBorder="1"/>
    <xf numFmtId="0" fontId="101" fillId="11" borderId="0" xfId="57" applyFont="1" applyFill="1" applyAlignment="1">
      <alignment horizontal="left" vertical="center" indent="1"/>
    </xf>
    <xf numFmtId="49" fontId="32" fillId="0" borderId="0" xfId="57" applyNumberFormat="1" applyAlignment="1">
      <alignment vertical="top" wrapText="1"/>
    </xf>
    <xf numFmtId="49" fontId="33" fillId="0" borderId="4" xfId="57" applyNumberFormat="1" applyFont="1" applyBorder="1" applyAlignment="1">
      <alignment horizontal="center" vertical="top" wrapText="1"/>
    </xf>
    <xf numFmtId="49" fontId="33" fillId="0" borderId="4" xfId="57" applyNumberFormat="1" applyFont="1" applyBorder="1" applyAlignment="1">
      <alignment vertical="top" wrapText="1"/>
    </xf>
    <xf numFmtId="49" fontId="32" fillId="0" borderId="0" xfId="57" applyNumberFormat="1" applyFont="1" applyAlignment="1">
      <alignment vertical="top" wrapText="1"/>
    </xf>
    <xf numFmtId="0" fontId="85" fillId="0" borderId="0" xfId="57" applyFont="1"/>
    <xf numFmtId="0" fontId="150" fillId="0" borderId="0" xfId="57" applyFont="1"/>
    <xf numFmtId="0" fontId="94" fillId="0" borderId="0" xfId="5823" applyFont="1"/>
    <xf numFmtId="42" fontId="158" fillId="0" borderId="110" xfId="5823" applyNumberFormat="1" applyFont="1" applyBorder="1"/>
    <xf numFmtId="0" fontId="158" fillId="0" borderId="0" xfId="5823" applyFont="1" applyAlignment="1">
      <alignment horizontal="right"/>
    </xf>
    <xf numFmtId="0" fontId="102" fillId="0" borderId="0" xfId="5823" applyFont="1" applyAlignment="1">
      <alignment horizontal="right"/>
    </xf>
    <xf numFmtId="42" fontId="102" fillId="0" borderId="39" xfId="5824" applyNumberFormat="1" applyFont="1" applyFill="1" applyBorder="1"/>
    <xf numFmtId="0" fontId="102" fillId="0" borderId="0" xfId="5824" applyFont="1" applyAlignment="1">
      <alignment horizontal="right"/>
    </xf>
    <xf numFmtId="0" fontId="101" fillId="11" borderId="125" xfId="57" applyFont="1" applyFill="1" applyBorder="1"/>
    <xf numFmtId="0" fontId="102" fillId="11" borderId="65" xfId="57" applyFont="1" applyFill="1" applyBorder="1"/>
    <xf numFmtId="0" fontId="33" fillId="0" borderId="0" xfId="57" applyFont="1" applyAlignment="1">
      <alignment horizontal="centerContinuous"/>
    </xf>
    <xf numFmtId="0" fontId="34" fillId="0" borderId="0" xfId="57" applyFont="1" applyAlignment="1">
      <alignment horizontal="centerContinuous"/>
    </xf>
    <xf numFmtId="0" fontId="32" fillId="11" borderId="0" xfId="57" applyFill="1"/>
    <xf numFmtId="37" fontId="33" fillId="0" borderId="3" xfId="57" applyNumberFormat="1" applyFont="1" applyBorder="1"/>
    <xf numFmtId="0" fontId="32" fillId="0" borderId="39" xfId="57" applyBorder="1"/>
    <xf numFmtId="37" fontId="101" fillId="11" borderId="0" xfId="57" applyNumberFormat="1" applyFont="1" applyFill="1"/>
    <xf numFmtId="0" fontId="32" fillId="11" borderId="0" xfId="57" applyFill="1" applyAlignment="1">
      <alignment horizontal="center"/>
    </xf>
    <xf numFmtId="0" fontId="32" fillId="0" borderId="0" xfId="57" applyAlignment="1">
      <alignment horizontal="centerContinuous"/>
    </xf>
    <xf numFmtId="172" fontId="32" fillId="0" borderId="39" xfId="13" applyNumberFormat="1" applyFont="1" applyFill="1" applyBorder="1" applyAlignment="1">
      <alignment horizontal="center" wrapText="1"/>
    </xf>
    <xf numFmtId="172" fontId="32" fillId="0" borderId="39" xfId="57" applyNumberFormat="1" applyFont="1" applyFill="1" applyBorder="1" applyAlignment="1">
      <alignment horizontal="center" wrapText="1"/>
    </xf>
    <xf numFmtId="0" fontId="0" fillId="0" borderId="127" xfId="0" applyBorder="1" applyAlignment="1">
      <alignment horizontal="center"/>
    </xf>
    <xf numFmtId="0" fontId="32" fillId="0" borderId="22" xfId="57" applyFont="1" applyFill="1" applyBorder="1"/>
    <xf numFmtId="0" fontId="101" fillId="11" borderId="126" xfId="57" applyFont="1" applyFill="1" applyBorder="1" applyAlignment="1">
      <alignment horizontal="left"/>
    </xf>
    <xf numFmtId="37" fontId="32" fillId="39" borderId="126" xfId="57" quotePrefix="1" applyNumberFormat="1" applyFont="1" applyFill="1" applyBorder="1" applyAlignment="1">
      <alignment horizontal="left"/>
    </xf>
    <xf numFmtId="41" fontId="0" fillId="0" borderId="126" xfId="0" applyNumberFormat="1" applyFill="1" applyBorder="1"/>
    <xf numFmtId="38" fontId="101" fillId="39" borderId="128" xfId="0" applyNumberFormat="1" applyFont="1" applyFill="1" applyBorder="1"/>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37" fontId="101" fillId="39" borderId="22" xfId="0" applyNumberFormat="1" applyFont="1" applyFill="1" applyBorder="1"/>
    <xf numFmtId="37" fontId="142" fillId="11" borderId="49" xfId="48" applyNumberFormat="1" applyFont="1" applyFill="1" applyBorder="1" applyAlignment="1">
      <alignment horizontal="right"/>
    </xf>
    <xf numFmtId="1" fontId="36" fillId="11" borderId="0" xfId="37" applyNumberFormat="1" applyFont="1" applyFill="1" applyBorder="1" applyAlignment="1">
      <alignment horizontal="center"/>
    </xf>
    <xf numFmtId="1" fontId="36" fillId="11" borderId="4" xfId="37" applyNumberFormat="1" applyFont="1" applyFill="1" applyBorder="1" applyAlignment="1">
      <alignment horizontal="center"/>
    </xf>
    <xf numFmtId="10" fontId="36" fillId="41" borderId="0" xfId="13" applyNumberFormat="1" applyFont="1" applyFill="1" applyAlignment="1">
      <alignment horizontal="center"/>
    </xf>
    <xf numFmtId="171" fontId="36" fillId="0" borderId="0" xfId="13" applyNumberFormat="1" applyFont="1" applyFill="1" applyAlignment="1">
      <alignment horizontal="right"/>
    </xf>
    <xf numFmtId="164" fontId="58" fillId="41" borderId="4" xfId="1" applyNumberFormat="1" applyFont="1" applyFill="1" applyBorder="1" applyAlignment="1">
      <alignment horizontal="center"/>
    </xf>
    <xf numFmtId="10" fontId="36" fillId="0" borderId="0" xfId="13" applyNumberFormat="1" applyFont="1" applyFill="1" applyBorder="1"/>
    <xf numFmtId="164" fontId="53" fillId="0" borderId="8" xfId="0" applyNumberFormat="1" applyFont="1" applyFill="1" applyBorder="1"/>
    <xf numFmtId="164" fontId="58" fillId="41" borderId="0" xfId="1" applyNumberFormat="1" applyFont="1" applyFill="1" applyBorder="1" applyAlignment="1">
      <alignment horizontal="center"/>
    </xf>
    <xf numFmtId="164" fontId="59" fillId="0" borderId="0" xfId="45" applyNumberFormat="1" applyFont="1"/>
    <xf numFmtId="164" fontId="59" fillId="0" borderId="17" xfId="5922" applyNumberFormat="1" applyFont="1" applyFill="1" applyBorder="1" applyAlignment="1">
      <alignment horizontal="center"/>
    </xf>
    <xf numFmtId="164" fontId="59" fillId="0" borderId="18" xfId="45" applyNumberFormat="1" applyFont="1" applyFill="1" applyBorder="1" applyAlignment="1">
      <alignment horizontal="center"/>
    </xf>
    <xf numFmtId="37" fontId="101" fillId="11" borderId="22" xfId="8059" applyNumberFormat="1" applyFont="1" applyFill="1" applyBorder="1" applyAlignment="1">
      <alignment horizontal="right"/>
    </xf>
    <xf numFmtId="0" fontId="59" fillId="0" borderId="0" xfId="45" applyFont="1" applyAlignment="1">
      <alignment wrapText="1"/>
    </xf>
    <xf numFmtId="164" fontId="185" fillId="56" borderId="8" xfId="5870" applyNumberFormat="1" applyFont="1" applyFill="1" applyBorder="1"/>
    <xf numFmtId="0" fontId="59" fillId="0" borderId="0" xfId="471" applyNumberFormat="1" applyFont="1" applyFill="1" applyAlignment="1">
      <alignment horizontal="left"/>
    </xf>
    <xf numFmtId="0" fontId="59" fillId="0" borderId="0" xfId="45" applyFont="1" applyFill="1" applyAlignment="1">
      <alignment horizontal="center"/>
    </xf>
    <xf numFmtId="49" fontId="167" fillId="0" borderId="0" xfId="5916" applyNumberFormat="1" applyFont="1"/>
    <xf numFmtId="10" fontId="36" fillId="0" borderId="0" xfId="13" applyNumberFormat="1" applyFont="1" applyFill="1" applyAlignment="1"/>
    <xf numFmtId="0" fontId="142" fillId="0" borderId="0" xfId="0" applyFont="1" applyFill="1" applyBorder="1" applyAlignment="1">
      <alignment horizontal="center"/>
    </xf>
    <xf numFmtId="0" fontId="33" fillId="11" borderId="0" xfId="57" applyFont="1" applyFill="1" applyAlignment="1">
      <alignment horizontal="left" vertical="center"/>
    </xf>
    <xf numFmtId="171" fontId="36" fillId="0" borderId="0" xfId="13" applyNumberFormat="1" applyFont="1" applyFill="1" applyAlignment="1">
      <alignment horizontal="right"/>
    </xf>
    <xf numFmtId="164" fontId="185" fillId="56" borderId="8" xfId="0" applyNumberFormat="1" applyFont="1" applyFill="1" applyBorder="1"/>
    <xf numFmtId="165" fontId="101" fillId="0" borderId="0" xfId="22" applyFont="1" applyFill="1" applyAlignment="1">
      <alignment horizontal="centerContinuous"/>
    </xf>
    <xf numFmtId="0" fontId="58" fillId="0" borderId="0" xfId="45" applyFont="1" applyFill="1" applyAlignment="1">
      <alignment horizontal="center"/>
    </xf>
    <xf numFmtId="49" fontId="140" fillId="0" borderId="0" xfId="5916" applyNumberFormat="1" applyFont="1"/>
    <xf numFmtId="164" fontId="58" fillId="0" borderId="20" xfId="1" applyNumberFormat="1" applyFont="1" applyFill="1" applyBorder="1" applyAlignment="1">
      <alignment horizontal="center"/>
    </xf>
    <xf numFmtId="171" fontId="45" fillId="0" borderId="0" xfId="13" applyNumberFormat="1" applyFont="1" applyFill="1" applyBorder="1" applyAlignment="1">
      <alignment horizontal="right"/>
    </xf>
    <xf numFmtId="10" fontId="36" fillId="41" borderId="134" xfId="13" applyNumberFormat="1" applyFont="1" applyFill="1" applyBorder="1" applyAlignment="1">
      <alignment horizontal="center"/>
    </xf>
    <xf numFmtId="165" fontId="34" fillId="0" borderId="0" xfId="22" applyFont="1" applyFill="1" applyAlignment="1">
      <alignment horizontal="centerContinuous"/>
    </xf>
    <xf numFmtId="172" fontId="36" fillId="0" borderId="0" xfId="13" applyNumberFormat="1" applyFont="1" applyFill="1" applyBorder="1" applyAlignment="1"/>
    <xf numFmtId="10" fontId="34" fillId="0" borderId="0" xfId="13" applyNumberFormat="1" applyFont="1" applyAlignment="1"/>
    <xf numFmtId="0" fontId="139" fillId="0" borderId="0" xfId="5916"/>
    <xf numFmtId="164" fontId="163" fillId="11" borderId="20" xfId="1" applyNumberFormat="1" applyFont="1" applyFill="1" applyBorder="1" applyAlignment="1">
      <alignment horizontal="center"/>
    </xf>
    <xf numFmtId="10" fontId="36" fillId="41" borderId="126" xfId="13" applyNumberFormat="1" applyFont="1" applyFill="1" applyBorder="1" applyAlignment="1">
      <alignment horizontal="center"/>
    </xf>
    <xf numFmtId="164" fontId="56" fillId="0" borderId="0" xfId="1" applyNumberFormat="1" applyFont="1" applyFill="1" applyBorder="1"/>
    <xf numFmtId="37" fontId="36" fillId="41" borderId="134" xfId="0" applyNumberFormat="1" applyFont="1" applyFill="1" applyBorder="1" applyAlignment="1"/>
    <xf numFmtId="164" fontId="53" fillId="0" borderId="0" xfId="1" applyNumberFormat="1" applyFont="1" applyFill="1" applyBorder="1"/>
    <xf numFmtId="10" fontId="36" fillId="0" borderId="0" xfId="13" applyNumberFormat="1" applyFont="1" applyFill="1" applyBorder="1" applyAlignment="1"/>
    <xf numFmtId="0" fontId="140" fillId="0" borderId="0" xfId="5916" applyFont="1" applyFill="1" applyAlignment="1"/>
    <xf numFmtId="43" fontId="58" fillId="41" borderId="18" xfId="2" applyNumberFormat="1" applyFont="1" applyFill="1" applyBorder="1"/>
    <xf numFmtId="172" fontId="36" fillId="0" borderId="0" xfId="13" applyNumberFormat="1" applyFont="1" applyFill="1" applyAlignment="1"/>
    <xf numFmtId="193" fontId="170" fillId="0" borderId="0" xfId="45" applyNumberFormat="1" applyFont="1" applyFill="1" applyBorder="1" applyAlignment="1">
      <alignment horizontal="center"/>
    </xf>
    <xf numFmtId="0" fontId="139" fillId="0" borderId="0" xfId="5916" applyFill="1"/>
    <xf numFmtId="0" fontId="11" fillId="0" borderId="0" xfId="8059"/>
    <xf numFmtId="172" fontId="34" fillId="0" borderId="0" xfId="13" applyNumberFormat="1" applyFont="1" applyFill="1" applyAlignment="1"/>
    <xf numFmtId="0" fontId="58" fillId="0" borderId="136" xfId="12" applyFont="1" applyBorder="1" applyAlignment="1">
      <alignment horizontal="center"/>
    </xf>
    <xf numFmtId="0" fontId="33" fillId="0" borderId="0" xfId="45" applyFont="1" applyAlignment="1"/>
    <xf numFmtId="164" fontId="185" fillId="56" borderId="0" xfId="1" applyNumberFormat="1" applyFont="1" applyFill="1" applyBorder="1"/>
    <xf numFmtId="192" fontId="11" fillId="0" borderId="0" xfId="8059" applyNumberFormat="1" applyAlignment="1">
      <alignment horizontal="left"/>
    </xf>
    <xf numFmtId="164" fontId="170" fillId="11" borderId="4" xfId="5922" applyNumberFormat="1" applyFont="1" applyFill="1" applyBorder="1" applyAlignment="1">
      <alignment horizontal="center"/>
    </xf>
    <xf numFmtId="164" fontId="170" fillId="11" borderId="0" xfId="5922" applyNumberFormat="1" applyFont="1" applyFill="1" applyBorder="1" applyAlignment="1">
      <alignment horizontal="center"/>
    </xf>
    <xf numFmtId="43" fontId="0" fillId="0" borderId="0" xfId="5854" applyFont="1"/>
    <xf numFmtId="0" fontId="102" fillId="0" borderId="0" xfId="8059" applyFont="1" applyAlignment="1">
      <alignment wrapText="1"/>
    </xf>
    <xf numFmtId="164" fontId="59" fillId="0" borderId="21" xfId="11143" applyNumberFormat="1" applyFont="1" applyFill="1" applyBorder="1"/>
    <xf numFmtId="164" fontId="58" fillId="0" borderId="22" xfId="1" applyNumberFormat="1" applyFont="1" applyFill="1" applyBorder="1" applyAlignment="1">
      <alignment horizontal="center"/>
    </xf>
    <xf numFmtId="172" fontId="34" fillId="0" borderId="0" xfId="13" applyNumberFormat="1" applyFont="1" applyAlignment="1"/>
    <xf numFmtId="164" fontId="59" fillId="0" borderId="18" xfId="11143" applyNumberFormat="1" applyFont="1" applyFill="1" applyBorder="1"/>
    <xf numFmtId="164" fontId="59" fillId="0" borderId="19" xfId="5922" applyNumberFormat="1" applyFont="1" applyFill="1" applyBorder="1" applyAlignment="1">
      <alignment horizontal="center"/>
    </xf>
    <xf numFmtId="0" fontId="170" fillId="0" borderId="17" xfId="45" applyFont="1" applyFill="1" applyBorder="1" applyAlignment="1">
      <alignment horizontal="center"/>
    </xf>
    <xf numFmtId="37" fontId="36" fillId="41" borderId="135" xfId="0" applyNumberFormat="1" applyFont="1" applyFill="1" applyBorder="1" applyAlignment="1"/>
    <xf numFmtId="0" fontId="139" fillId="0" borderId="0" xfId="5916" quotePrefix="1" applyFill="1" applyAlignment="1"/>
    <xf numFmtId="164" fontId="36" fillId="0" borderId="8" xfId="1" applyNumberFormat="1" applyFont="1" applyFill="1" applyBorder="1" applyAlignment="1">
      <alignment horizontal="right"/>
    </xf>
    <xf numFmtId="37" fontId="36" fillId="41" borderId="4" xfId="0" applyNumberFormat="1" applyFont="1" applyFill="1" applyBorder="1" applyAlignment="1"/>
    <xf numFmtId="10" fontId="36" fillId="41" borderId="4" xfId="13" applyNumberFormat="1" applyFont="1" applyFill="1" applyBorder="1" applyAlignment="1">
      <alignment horizontal="center"/>
    </xf>
    <xf numFmtId="37" fontId="36" fillId="41" borderId="3" xfId="0" applyNumberFormat="1" applyFont="1" applyFill="1" applyBorder="1" applyAlignment="1"/>
    <xf numFmtId="10" fontId="36" fillId="41" borderId="3" xfId="13" applyNumberFormat="1" applyFont="1" applyFill="1" applyBorder="1" applyAlignment="1">
      <alignment horizontal="center"/>
    </xf>
    <xf numFmtId="164" fontId="59" fillId="0" borderId="0" xfId="5922" applyNumberFormat="1" applyFont="1" applyFill="1" applyBorder="1" applyAlignment="1">
      <alignment horizontal="center"/>
    </xf>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43" fontId="32" fillId="0" borderId="0" xfId="5854" applyFont="1" applyAlignment="1">
      <alignment horizontal="center"/>
    </xf>
    <xf numFmtId="164" fontId="185" fillId="56" borderId="0" xfId="0" applyNumberFormat="1" applyFont="1" applyFill="1" applyBorder="1"/>
    <xf numFmtId="0" fontId="156" fillId="0" borderId="75" xfId="0" applyFont="1" applyFill="1" applyBorder="1" applyAlignment="1">
      <alignment horizontal="center" vertical="center"/>
    </xf>
    <xf numFmtId="0" fontId="58" fillId="0" borderId="60" xfId="0" applyFont="1" applyBorder="1" applyAlignment="1">
      <alignment horizontal="center"/>
    </xf>
    <xf numFmtId="0" fontId="159" fillId="0" borderId="0" xfId="0" applyFont="1" applyFill="1" applyBorder="1" applyAlignment="1">
      <alignment horizontal="center" vertical="center" wrapText="1"/>
    </xf>
    <xf numFmtId="0" fontId="159" fillId="11" borderId="28" xfId="0" applyFont="1" applyFill="1" applyBorder="1" applyAlignment="1">
      <alignment horizontal="center" vertical="center" wrapText="1"/>
    </xf>
    <xf numFmtId="0" fontId="159" fillId="11" borderId="27" xfId="0" applyFont="1" applyFill="1" applyBorder="1" applyAlignment="1">
      <alignment horizontal="center" vertical="center" wrapText="1"/>
    </xf>
    <xf numFmtId="0" fontId="101" fillId="11" borderId="84" xfId="0" applyFont="1" applyFill="1" applyBorder="1" applyAlignment="1">
      <alignment horizontal="center" wrapText="1"/>
    </xf>
    <xf numFmtId="0" fontId="53" fillId="0" borderId="26" xfId="0" applyFont="1" applyBorder="1" applyAlignment="1">
      <alignment horizontal="center"/>
    </xf>
    <xf numFmtId="0" fontId="53" fillId="0" borderId="61" xfId="0" applyFont="1" applyBorder="1" applyAlignment="1">
      <alignment horizontal="center"/>
    </xf>
    <xf numFmtId="198" fontId="101" fillId="11" borderId="83" xfId="0" applyNumberFormat="1" applyFont="1" applyFill="1" applyBorder="1" applyAlignment="1">
      <alignment horizontal="center" vertical="center" wrapText="1"/>
    </xf>
    <xf numFmtId="198" fontId="101" fillId="11" borderId="25" xfId="0" applyNumberFormat="1" applyFont="1" applyFill="1" applyBorder="1" applyAlignment="1">
      <alignment horizontal="center" vertical="center" wrapText="1"/>
    </xf>
    <xf numFmtId="172" fontId="34" fillId="41" borderId="3" xfId="13" applyNumberFormat="1" applyFont="1" applyFill="1" applyBorder="1" applyAlignment="1"/>
    <xf numFmtId="10" fontId="34" fillId="41" borderId="134" xfId="13" applyNumberFormat="1" applyFont="1" applyFill="1" applyBorder="1" applyAlignment="1"/>
    <xf numFmtId="10" fontId="36" fillId="41" borderId="0" xfId="0" applyNumberFormat="1" applyFont="1" applyFill="1" applyAlignment="1"/>
    <xf numFmtId="37" fontId="36" fillId="11" borderId="8" xfId="0" applyNumberFormat="1" applyFont="1" applyFill="1" applyBorder="1"/>
    <xf numFmtId="0" fontId="142" fillId="11" borderId="0" xfId="0" applyNumberFormat="1" applyFont="1" applyFill="1" applyBorder="1" applyAlignment="1">
      <alignment horizontal="left" indent="1"/>
    </xf>
    <xf numFmtId="37" fontId="101" fillId="11" borderId="0" xfId="1" applyNumberFormat="1" applyFont="1" applyFill="1" applyAlignment="1">
      <alignment vertical="center"/>
    </xf>
    <xf numFmtId="37" fontId="101" fillId="11" borderId="0" xfId="1" applyNumberFormat="1" applyFont="1" applyFill="1" applyAlignment="1">
      <alignment vertical="center" wrapText="1"/>
    </xf>
    <xf numFmtId="37" fontId="32" fillId="11" borderId="0" xfId="1" applyNumberFormat="1" applyFont="1" applyFill="1" applyAlignment="1">
      <alignment vertical="center" wrapText="1"/>
    </xf>
    <xf numFmtId="37" fontId="0" fillId="11" borderId="0" xfId="1" applyNumberFormat="1" applyFont="1" applyFill="1" applyAlignment="1">
      <alignment vertical="center"/>
    </xf>
    <xf numFmtId="7" fontId="32" fillId="0" borderId="0" xfId="0" applyNumberFormat="1" applyFont="1" applyFill="1"/>
    <xf numFmtId="200" fontId="32" fillId="0" borderId="0" xfId="1" applyNumberFormat="1" applyFont="1" applyFill="1"/>
    <xf numFmtId="39" fontId="32" fillId="0" borderId="0" xfId="1" applyNumberFormat="1" applyFont="1" applyFill="1"/>
    <xf numFmtId="37" fontId="0" fillId="0" borderId="28" xfId="0" applyNumberFormat="1" applyBorder="1"/>
    <xf numFmtId="37" fontId="101" fillId="39" borderId="126" xfId="57" quotePrefix="1" applyNumberFormat="1" applyFont="1" applyFill="1" applyBorder="1" applyAlignment="1">
      <alignment horizontal="left"/>
    </xf>
    <xf numFmtId="37" fontId="32" fillId="39" borderId="107" xfId="0" applyNumberFormat="1" applyFont="1" applyFill="1" applyBorder="1"/>
    <xf numFmtId="201" fontId="32" fillId="0" borderId="0" xfId="1" applyNumberFormat="1" applyFont="1" applyFill="1"/>
    <xf numFmtId="0" fontId="0" fillId="0" borderId="0" xfId="0" applyAlignment="1">
      <alignment vertical="top"/>
    </xf>
    <xf numFmtId="0" fontId="33" fillId="0" borderId="4" xfId="57" applyFont="1" applyBorder="1" applyAlignment="1">
      <alignment horizontal="center"/>
    </xf>
    <xf numFmtId="0" fontId="32" fillId="0" borderId="0" xfId="26" applyFont="1" applyAlignment="1">
      <alignment wrapText="1"/>
    </xf>
    <xf numFmtId="0" fontId="32" fillId="0" borderId="0" xfId="26" applyFont="1" applyAlignment="1"/>
    <xf numFmtId="180" fontId="169" fillId="0" borderId="126" xfId="37" applyNumberFormat="1" applyFont="1" applyFill="1" applyBorder="1" applyAlignment="1" applyProtection="1">
      <alignment vertical="center" wrapText="1"/>
    </xf>
    <xf numFmtId="37" fontId="142" fillId="11" borderId="0" xfId="0" applyNumberFormat="1" applyFont="1" applyFill="1" applyBorder="1" applyAlignment="1">
      <alignment horizontal="center"/>
    </xf>
    <xf numFmtId="37" fontId="142" fillId="11" borderId="8" xfId="1" applyNumberFormat="1" applyFont="1" applyFill="1" applyBorder="1"/>
    <xf numFmtId="0" fontId="159" fillId="0" borderId="4" xfId="57" applyFont="1" applyBorder="1"/>
    <xf numFmtId="0" fontId="139" fillId="0" borderId="0" xfId="11203" applyFont="1"/>
    <xf numFmtId="0" fontId="10" fillId="0" borderId="0" xfId="11203"/>
    <xf numFmtId="0" fontId="33" fillId="0" borderId="143" xfId="57" applyFont="1" applyBorder="1"/>
    <xf numFmtId="37" fontId="33" fillId="0" borderId="143" xfId="1" applyNumberFormat="1" applyFont="1" applyBorder="1"/>
    <xf numFmtId="37" fontId="159" fillId="11" borderId="143" xfId="1" applyNumberFormat="1" applyFont="1" applyFill="1" applyBorder="1"/>
    <xf numFmtId="37" fontId="33" fillId="0" borderId="144" xfId="57" applyNumberFormat="1" applyFont="1" applyBorder="1"/>
    <xf numFmtId="164" fontId="33" fillId="0" borderId="144" xfId="1" applyNumberFormat="1" applyFont="1" applyFill="1" applyBorder="1" applyAlignment="1">
      <alignment vertical="center"/>
    </xf>
    <xf numFmtId="0" fontId="32" fillId="0" borderId="0" xfId="5870" applyFont="1"/>
    <xf numFmtId="0" fontId="33" fillId="0" borderId="0" xfId="5870" applyFont="1"/>
    <xf numFmtId="191" fontId="32" fillId="0" borderId="145" xfId="1" applyNumberFormat="1" applyFont="1" applyFill="1" applyBorder="1" applyAlignment="1">
      <alignment horizontal="right" vertical="center"/>
    </xf>
    <xf numFmtId="191" fontId="32" fillId="0" borderId="143" xfId="1" applyNumberFormat="1" applyFont="1" applyFill="1" applyBorder="1" applyAlignment="1">
      <alignment horizontal="right" vertical="center"/>
    </xf>
    <xf numFmtId="191" fontId="32" fillId="0" borderId="143" xfId="57" applyNumberFormat="1" applyFont="1" applyBorder="1"/>
    <xf numFmtId="191" fontId="32" fillId="0" borderId="143" xfId="1" applyNumberFormat="1" applyFont="1" applyFill="1" applyBorder="1" applyAlignment="1">
      <alignment vertical="center"/>
    </xf>
    <xf numFmtId="189" fontId="32" fillId="0" borderId="143" xfId="1" applyNumberFormat="1" applyFont="1" applyFill="1" applyBorder="1" applyAlignment="1">
      <alignment vertical="center"/>
    </xf>
    <xf numFmtId="189" fontId="32" fillId="0" borderId="143" xfId="1" applyNumberFormat="1" applyFont="1" applyFill="1" applyBorder="1" applyAlignment="1" applyProtection="1">
      <alignment vertical="center"/>
    </xf>
    <xf numFmtId="0" fontId="32" fillId="0" borderId="143" xfId="57" applyFont="1" applyFill="1" applyBorder="1" applyAlignment="1">
      <alignment horizontal="left" vertical="center" indent="1"/>
    </xf>
    <xf numFmtId="189" fontId="32" fillId="0" borderId="0" xfId="57" applyNumberFormat="1" applyAlignment="1">
      <alignment vertical="center"/>
    </xf>
    <xf numFmtId="0" fontId="101" fillId="11" borderId="0" xfId="57" applyFont="1" applyFill="1" applyAlignment="1">
      <alignment horizontal="center" vertical="center"/>
    </xf>
    <xf numFmtId="0" fontId="33" fillId="0" borderId="43" xfId="11550" applyFont="1" applyFill="1" applyBorder="1" applyAlignment="1"/>
    <xf numFmtId="0" fontId="33" fillId="0" borderId="43" xfId="11550" applyFont="1" applyFill="1" applyBorder="1" applyAlignment="1">
      <alignment horizontal="center" wrapText="1"/>
    </xf>
    <xf numFmtId="188" fontId="33" fillId="0" borderId="23" xfId="11550" applyNumberFormat="1" applyFont="1" applyFill="1" applyBorder="1" applyAlignment="1">
      <alignment horizontal="center" wrapText="1"/>
    </xf>
    <xf numFmtId="188" fontId="33" fillId="0" borderId="41" xfId="11550" applyNumberFormat="1" applyFont="1" applyFill="1" applyBorder="1" applyAlignment="1">
      <alignment horizontal="center" wrapText="1"/>
    </xf>
    <xf numFmtId="188" fontId="33" fillId="0" borderId="43" xfId="11550" applyNumberFormat="1" applyFont="1" applyFill="1" applyBorder="1" applyAlignment="1">
      <alignment horizontal="center" wrapText="1"/>
    </xf>
    <xf numFmtId="188" fontId="33" fillId="0" borderId="42" xfId="11550" applyNumberFormat="1" applyFont="1" applyFill="1" applyBorder="1" applyAlignment="1">
      <alignment horizontal="center" wrapText="1"/>
    </xf>
    <xf numFmtId="0" fontId="82" fillId="0" borderId="30" xfId="11530" quotePrefix="1" applyNumberFormat="1" applyFont="1" applyFill="1" applyBorder="1" applyAlignment="1" applyProtection="1">
      <alignment horizontal="left" vertical="center"/>
      <protection locked="0"/>
    </xf>
    <xf numFmtId="49" fontId="102" fillId="0" borderId="30" xfId="11550" applyNumberFormat="1" applyFont="1" applyFill="1" applyBorder="1" applyAlignment="1"/>
    <xf numFmtId="37" fontId="101" fillId="11" borderId="30" xfId="11551" quotePrefix="1" applyNumberFormat="1" applyFont="1" applyFill="1" applyBorder="1" applyAlignment="1" applyProtection="1">
      <alignment horizontal="right" vertical="center"/>
      <protection locked="0"/>
    </xf>
    <xf numFmtId="37" fontId="101" fillId="11" borderId="12" xfId="11551" quotePrefix="1" applyNumberFormat="1" applyFont="1" applyFill="1" applyBorder="1" applyAlignment="1" applyProtection="1">
      <alignment horizontal="right" vertical="center"/>
      <protection locked="0"/>
    </xf>
    <xf numFmtId="0" fontId="82" fillId="0" borderId="20" xfId="11530" applyNumberFormat="1" applyFont="1" applyFill="1" applyBorder="1" applyAlignment="1" applyProtection="1">
      <alignment horizontal="left" vertical="center"/>
      <protection locked="0"/>
    </xf>
    <xf numFmtId="49" fontId="102" fillId="0" borderId="20" xfId="11550" applyNumberFormat="1" applyFont="1" applyFill="1" applyBorder="1" applyAlignment="1"/>
    <xf numFmtId="37" fontId="101" fillId="11" borderId="17" xfId="11551" quotePrefix="1" applyNumberFormat="1" applyFont="1" applyFill="1" applyBorder="1" applyAlignment="1" applyProtection="1">
      <alignment horizontal="right" vertical="center"/>
      <protection locked="0"/>
    </xf>
    <xf numFmtId="37" fontId="101" fillId="11" borderId="7" xfId="11551" quotePrefix="1" applyNumberFormat="1" applyFont="1" applyFill="1" applyBorder="1" applyAlignment="1" applyProtection="1">
      <alignment horizontal="right" vertical="center"/>
      <protection locked="0"/>
    </xf>
    <xf numFmtId="37" fontId="101" fillId="11" borderId="64" xfId="11551" quotePrefix="1" applyNumberFormat="1" applyFont="1" applyFill="1" applyBorder="1" applyAlignment="1" applyProtection="1">
      <alignment horizontal="right" vertical="center"/>
      <protection locked="0"/>
    </xf>
    <xf numFmtId="0" fontId="102" fillId="0" borderId="20" xfId="11550" applyFont="1" applyFill="1" applyBorder="1" applyAlignment="1">
      <alignment horizontal="left"/>
    </xf>
    <xf numFmtId="37" fontId="101" fillId="11" borderId="64" xfId="11551" applyNumberFormat="1" applyFont="1" applyFill="1" applyBorder="1"/>
    <xf numFmtId="0" fontId="82" fillId="0" borderId="20" xfId="11530" quotePrefix="1" applyNumberFormat="1" applyFont="1" applyFill="1" applyBorder="1" applyAlignment="1" applyProtection="1">
      <alignment horizontal="left" vertical="center"/>
      <protection locked="0"/>
    </xf>
    <xf numFmtId="191" fontId="35" fillId="0" borderId="0" xfId="45" applyNumberFormat="1" applyFont="1"/>
    <xf numFmtId="0" fontId="102" fillId="0" borderId="20" xfId="11550" applyFont="1" applyFill="1" applyBorder="1" applyAlignment="1">
      <alignment horizontal="left" wrapText="1"/>
    </xf>
    <xf numFmtId="49" fontId="102" fillId="0" borderId="20" xfId="11550" applyNumberFormat="1" applyFont="1" applyFill="1" applyBorder="1" applyAlignment="1">
      <alignment vertical="center"/>
    </xf>
    <xf numFmtId="39" fontId="32" fillId="0" borderId="0" xfId="45" applyNumberFormat="1" applyFont="1"/>
    <xf numFmtId="37" fontId="101" fillId="11" borderId="20" xfId="11551" quotePrefix="1" applyNumberFormat="1" applyFont="1" applyFill="1" applyBorder="1" applyAlignment="1" applyProtection="1">
      <alignment horizontal="right" vertical="center"/>
      <protection locked="0"/>
    </xf>
    <xf numFmtId="0" fontId="82" fillId="0" borderId="65" xfId="11530" applyNumberFormat="1" applyFont="1" applyFill="1" applyBorder="1" applyAlignment="1" applyProtection="1">
      <alignment horizontal="left" vertical="center"/>
      <protection locked="0"/>
    </xf>
    <xf numFmtId="37" fontId="101" fillId="11" borderId="65" xfId="11551" quotePrefix="1" applyNumberFormat="1" applyFont="1" applyFill="1" applyBorder="1" applyAlignment="1" applyProtection="1">
      <alignment horizontal="right" vertical="center"/>
      <protection locked="0"/>
    </xf>
    <xf numFmtId="37" fontId="32" fillId="0" borderId="151" xfId="45" applyNumberFormat="1" applyFont="1" applyBorder="1"/>
    <xf numFmtId="37" fontId="101" fillId="11" borderId="151" xfId="45" applyNumberFormat="1" applyFont="1" applyFill="1" applyBorder="1"/>
    <xf numFmtId="37" fontId="101" fillId="11" borderId="152" xfId="45" applyNumberFormat="1" applyFont="1" applyFill="1" applyBorder="1"/>
    <xf numFmtId="37" fontId="101" fillId="11" borderId="13" xfId="11551" quotePrefix="1" applyNumberFormat="1" applyFont="1" applyFill="1" applyBorder="1" applyAlignment="1" applyProtection="1">
      <alignment horizontal="right" vertical="center"/>
      <protection locked="0"/>
    </xf>
    <xf numFmtId="37" fontId="101" fillId="11" borderId="14" xfId="11551" quotePrefix="1" applyNumberFormat="1" applyFont="1" applyFill="1" applyBorder="1" applyAlignment="1" applyProtection="1">
      <alignment horizontal="right" vertical="center"/>
      <protection locked="0"/>
    </xf>
    <xf numFmtId="37" fontId="101" fillId="11" borderId="15" xfId="11551" quotePrefix="1" applyNumberFormat="1" applyFont="1" applyFill="1" applyBorder="1" applyAlignment="1" applyProtection="1">
      <alignment horizontal="right" vertical="center"/>
      <protection locked="0"/>
    </xf>
    <xf numFmtId="37" fontId="36" fillId="41" borderId="49" xfId="48" applyNumberFormat="1" applyFont="1" applyFill="1" applyBorder="1" applyAlignment="1">
      <alignment horizontal="right"/>
    </xf>
    <xf numFmtId="0" fontId="33" fillId="7" borderId="142" xfId="5869" quotePrefix="1" applyFont="1" applyFill="1" applyAlignment="1" applyProtection="1">
      <alignment horizontal="left" vertical="center" indent="1"/>
      <protection locked="0"/>
    </xf>
    <xf numFmtId="0" fontId="33" fillId="7" borderId="142" xfId="5869" applyFont="1" applyFill="1" applyAlignment="1" applyProtection="1">
      <alignment horizontal="left" vertical="center" indent="1"/>
      <protection locked="0"/>
    </xf>
    <xf numFmtId="0" fontId="33" fillId="7" borderId="142" xfId="5828" quotePrefix="1" applyFont="1" applyFill="1" applyAlignment="1" applyProtection="1">
      <alignment horizontal="left" vertical="center" indent="1"/>
      <protection locked="0"/>
    </xf>
    <xf numFmtId="4" fontId="10" fillId="0" borderId="0" xfId="11203" applyNumberFormat="1" applyFont="1"/>
    <xf numFmtId="0" fontId="101" fillId="11" borderId="142" xfId="11162" applyFont="1" applyFill="1" applyProtection="1">
      <alignment horizontal="left" vertical="center" indent="1"/>
      <protection locked="0"/>
    </xf>
    <xf numFmtId="37" fontId="101" fillId="11" borderId="142" xfId="1" applyNumberFormat="1" applyFont="1" applyFill="1" applyBorder="1" applyAlignment="1" applyProtection="1">
      <alignment horizontal="right" vertical="center"/>
      <protection locked="0"/>
    </xf>
    <xf numFmtId="0" fontId="101" fillId="11" borderId="142" xfId="11162" quotePrefix="1" applyFont="1" applyFill="1" applyProtection="1">
      <alignment horizontal="left" vertical="center" indent="1"/>
      <protection locked="0"/>
    </xf>
    <xf numFmtId="0" fontId="139" fillId="0" borderId="0" xfId="11203" applyFont="1" applyFill="1"/>
    <xf numFmtId="0" fontId="33" fillId="0" borderId="137" xfId="11162" applyFont="1" applyFill="1" applyBorder="1" applyAlignment="1" applyProtection="1">
      <alignment horizontal="right" vertical="center" indent="1"/>
      <protection locked="0"/>
    </xf>
    <xf numFmtId="37" fontId="158" fillId="0" borderId="144" xfId="1" applyNumberFormat="1" applyFont="1" applyFill="1" applyBorder="1"/>
    <xf numFmtId="4" fontId="10" fillId="0" borderId="0" xfId="11203" applyNumberFormat="1"/>
    <xf numFmtId="0" fontId="10" fillId="0" borderId="0" xfId="11203" applyFont="1"/>
    <xf numFmtId="37" fontId="101" fillId="41" borderId="124" xfId="57" applyNumberFormat="1" applyFont="1" applyFill="1" applyBorder="1" applyAlignment="1"/>
    <xf numFmtId="0" fontId="102" fillId="0" borderId="0" xfId="11203" applyFont="1"/>
    <xf numFmtId="0" fontId="139" fillId="0" borderId="0" xfId="11203" applyFont="1"/>
    <xf numFmtId="0" fontId="10" fillId="0" borderId="0" xfId="11203"/>
    <xf numFmtId="0" fontId="158" fillId="0" borderId="0" xfId="11203" applyFont="1"/>
    <xf numFmtId="37" fontId="101" fillId="11" borderId="20" xfId="1" applyNumberFormat="1" applyFont="1" applyFill="1" applyBorder="1"/>
    <xf numFmtId="10" fontId="188" fillId="0" borderId="7" xfId="26" applyNumberFormat="1" applyFont="1" applyBorder="1" applyAlignment="1">
      <alignment horizontal="right" vertical="top"/>
    </xf>
    <xf numFmtId="0" fontId="9" fillId="0" borderId="0" xfId="16084"/>
    <xf numFmtId="0" fontId="147" fillId="0" borderId="0" xfId="5916" applyFont="1" applyFill="1"/>
    <xf numFmtId="199"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59" fillId="0" borderId="0" xfId="0" applyFont="1" applyBorder="1" applyAlignment="1">
      <alignment horizontal="center" wrapText="1"/>
    </xf>
    <xf numFmtId="0" fontId="101" fillId="11" borderId="0" xfId="57" applyFont="1" applyFill="1" applyBorder="1" applyAlignment="1">
      <alignment horizontal="left"/>
    </xf>
    <xf numFmtId="0" fontId="190" fillId="0" borderId="0" xfId="57" applyFont="1" applyFill="1" applyBorder="1" applyAlignment="1">
      <alignment horizontal="center" vertical="top"/>
    </xf>
    <xf numFmtId="0" fontId="190" fillId="0" borderId="153" xfId="57" applyFont="1" applyFill="1" applyBorder="1" applyAlignment="1">
      <alignment horizontal="center" vertical="top"/>
    </xf>
    <xf numFmtId="37" fontId="36" fillId="0" borderId="70" xfId="1" applyNumberFormat="1" applyFont="1" applyFill="1" applyBorder="1" applyAlignment="1"/>
    <xf numFmtId="37" fontId="156" fillId="11" borderId="0" xfId="1" applyNumberFormat="1" applyFont="1" applyFill="1" applyBorder="1" applyAlignment="1"/>
    <xf numFmtId="37" fontId="34" fillId="0" borderId="36" xfId="1" applyNumberFormat="1" applyFont="1" applyFill="1" applyBorder="1" applyAlignment="1"/>
    <xf numFmtId="37" fontId="36" fillId="0" borderId="76" xfId="1" applyNumberFormat="1" applyFont="1" applyFill="1" applyBorder="1" applyAlignment="1"/>
    <xf numFmtId="0" fontId="142" fillId="11" borderId="7" xfId="0" applyFont="1" applyFill="1" applyBorder="1" applyAlignment="1">
      <alignment horizontal="center"/>
    </xf>
    <xf numFmtId="0" fontId="36" fillId="0" borderId="82" xfId="0" applyNumberFormat="1" applyFont="1" applyFill="1" applyBorder="1" applyAlignment="1">
      <alignment horizontal="center"/>
    </xf>
    <xf numFmtId="10" fontId="36" fillId="0" borderId="0" xfId="13" quotePrefix="1" applyNumberFormat="1" applyFont="1" applyFill="1" applyBorder="1" applyAlignment="1">
      <alignment horizontal="center"/>
    </xf>
    <xf numFmtId="0" fontId="142" fillId="11" borderId="7" xfId="0" quotePrefix="1" applyNumberFormat="1" applyFont="1" applyFill="1" applyBorder="1" applyAlignment="1"/>
    <xf numFmtId="0" fontId="32" fillId="0" borderId="16" xfId="0" applyFont="1" applyBorder="1" applyAlignment="1">
      <alignment horizontal="center" vertical="top"/>
    </xf>
    <xf numFmtId="0" fontId="32" fillId="0" borderId="16" xfId="0" applyFont="1" applyFill="1" applyBorder="1" applyAlignment="1">
      <alignment vertical="top"/>
    </xf>
    <xf numFmtId="0" fontId="32" fillId="0" borderId="36" xfId="0" applyFont="1" applyFill="1" applyBorder="1" applyAlignment="1">
      <alignment vertical="top"/>
    </xf>
    <xf numFmtId="0" fontId="0" fillId="0" borderId="36" xfId="0" applyBorder="1" applyAlignment="1">
      <alignment vertical="top"/>
    </xf>
    <xf numFmtId="0" fontId="32" fillId="0" borderId="36" xfId="0" applyFont="1" applyBorder="1" applyAlignment="1">
      <alignment vertical="top"/>
    </xf>
    <xf numFmtId="0" fontId="36" fillId="0" borderId="0" xfId="57" applyFont="1" applyFill="1" applyAlignment="1"/>
    <xf numFmtId="0" fontId="32" fillId="0" borderId="0" xfId="57" applyFont="1" applyFill="1" applyAlignment="1"/>
    <xf numFmtId="37" fontId="32" fillId="0" borderId="4" xfId="57" applyNumberFormat="1" applyFont="1" applyFill="1" applyBorder="1" applyAlignment="1"/>
    <xf numFmtId="172" fontId="32" fillId="0" borderId="4" xfId="57" applyNumberFormat="1" applyFont="1" applyFill="1" applyBorder="1" applyAlignment="1"/>
    <xf numFmtId="37" fontId="33" fillId="0" borderId="0" xfId="57" applyNumberFormat="1" applyFont="1" applyFill="1" applyAlignment="1"/>
    <xf numFmtId="37" fontId="32" fillId="0" borderId="167" xfId="57" applyNumberFormat="1" applyFont="1" applyFill="1" applyBorder="1" applyAlignment="1"/>
    <xf numFmtId="0" fontId="55" fillId="0" borderId="0" xfId="57" applyFont="1" applyFill="1" applyAlignment="1"/>
    <xf numFmtId="0" fontId="50" fillId="0" borderId="0" xfId="57" applyFont="1" applyFill="1" applyAlignment="1"/>
    <xf numFmtId="37" fontId="32" fillId="0" borderId="153" xfId="57" applyNumberFormat="1" applyFont="1" applyFill="1" applyBorder="1" applyAlignment="1">
      <alignment wrapText="1"/>
    </xf>
    <xf numFmtId="175" fontId="33" fillId="11" borderId="156" xfId="10" applyNumberFormat="1" applyFont="1" applyFill="1" applyBorder="1" applyAlignment="1" applyProtection="1">
      <alignment horizontal="left"/>
      <protection locked="0"/>
    </xf>
    <xf numFmtId="175" fontId="32" fillId="11" borderId="167" xfId="10" applyNumberFormat="1" applyFont="1" applyFill="1" applyBorder="1" applyAlignment="1" applyProtection="1">
      <protection locked="0"/>
    </xf>
    <xf numFmtId="37" fontId="32" fillId="11" borderId="153" xfId="57" applyNumberFormat="1" applyFont="1" applyFill="1" applyBorder="1" applyAlignment="1">
      <alignment wrapText="1"/>
    </xf>
    <xf numFmtId="175" fontId="32" fillId="11" borderId="156" xfId="10" applyNumberFormat="1" applyFont="1" applyFill="1" applyBorder="1" applyAlignment="1" applyProtection="1">
      <alignment horizontal="center"/>
      <protection locked="0"/>
    </xf>
    <xf numFmtId="182" fontId="32" fillId="11" borderId="167" xfId="10" applyNumberFormat="1" applyFont="1" applyFill="1" applyBorder="1" applyAlignment="1" applyProtection="1">
      <alignment horizontal="center"/>
      <protection locked="0"/>
    </xf>
    <xf numFmtId="175" fontId="32" fillId="11" borderId="155" xfId="10" applyNumberFormat="1" applyFont="1" applyFill="1" applyBorder="1" applyAlignment="1" applyProtection="1">
      <alignment vertical="top"/>
      <protection locked="0"/>
    </xf>
    <xf numFmtId="0" fontId="32" fillId="11" borderId="153" xfId="57" applyFont="1" applyFill="1" applyBorder="1" applyAlignment="1">
      <alignment horizontal="left" vertical="top" wrapText="1"/>
    </xf>
    <xf numFmtId="37" fontId="101" fillId="11" borderId="153" xfId="57" applyNumberFormat="1" applyFont="1" applyFill="1" applyBorder="1" applyAlignment="1">
      <alignment wrapText="1"/>
    </xf>
    <xf numFmtId="0" fontId="32" fillId="0" borderId="167" xfId="57" applyFont="1" applyFill="1" applyBorder="1" applyAlignment="1"/>
    <xf numFmtId="0" fontId="102" fillId="0" borderId="153" xfId="57" applyFont="1" applyFill="1" applyBorder="1" applyAlignment="1">
      <alignment wrapText="1"/>
    </xf>
    <xf numFmtId="0" fontId="33" fillId="0" borderId="156" xfId="57" applyFont="1" applyFill="1" applyBorder="1" applyAlignment="1"/>
    <xf numFmtId="0" fontId="33" fillId="0" borderId="167" xfId="57" applyFont="1" applyFill="1" applyBorder="1" applyAlignment="1"/>
    <xf numFmtId="0" fontId="33" fillId="0" borderId="168" xfId="57" applyFont="1" applyFill="1" applyBorder="1" applyAlignment="1"/>
    <xf numFmtId="0" fontId="32" fillId="0" borderId="143" xfId="57" applyFont="1" applyFill="1" applyBorder="1" applyAlignment="1">
      <alignment wrapText="1"/>
    </xf>
    <xf numFmtId="37" fontId="32" fillId="0" borderId="143" xfId="57" applyNumberFormat="1" applyFont="1" applyFill="1" applyBorder="1" applyAlignment="1">
      <alignment wrapText="1"/>
    </xf>
    <xf numFmtId="37" fontId="32" fillId="0" borderId="143" xfId="57" applyNumberFormat="1" applyFont="1" applyFill="1" applyBorder="1" applyAlignment="1">
      <alignment horizontal="center" wrapText="1"/>
    </xf>
    <xf numFmtId="0" fontId="32" fillId="0" borderId="169" xfId="57" applyFont="1" applyFill="1" applyBorder="1" applyAlignment="1">
      <alignment horizontal="center" wrapText="1"/>
    </xf>
    <xf numFmtId="0" fontId="33" fillId="0" borderId="156" xfId="11" applyFont="1" applyFill="1" applyBorder="1" applyAlignment="1">
      <alignment horizontal="left"/>
    </xf>
    <xf numFmtId="0" fontId="33" fillId="0" borderId="167" xfId="11" applyFont="1" applyFill="1" applyBorder="1" applyAlignment="1">
      <alignment horizontal="left"/>
    </xf>
    <xf numFmtId="0" fontId="33" fillId="0" borderId="167" xfId="11" applyFont="1" applyFill="1" applyBorder="1" applyAlignment="1">
      <alignment horizontal="left" wrapText="1"/>
    </xf>
    <xf numFmtId="0" fontId="33" fillId="0" borderId="153" xfId="11" applyFont="1" applyFill="1" applyBorder="1" applyAlignment="1">
      <alignment wrapText="1"/>
    </xf>
    <xf numFmtId="37" fontId="102" fillId="0" borderId="153" xfId="57" applyNumberFormat="1" applyFont="1" applyFill="1" applyBorder="1" applyAlignment="1">
      <alignment wrapText="1"/>
    </xf>
    <xf numFmtId="0" fontId="33" fillId="0" borderId="153" xfId="57" applyFont="1" applyFill="1" applyBorder="1" applyAlignment="1">
      <alignment wrapText="1"/>
    </xf>
    <xf numFmtId="0" fontId="33" fillId="11" borderId="167" xfId="11" applyFont="1" applyFill="1" applyBorder="1" applyAlignment="1">
      <alignment horizontal="left"/>
    </xf>
    <xf numFmtId="0" fontId="33" fillId="11" borderId="167" xfId="11" applyFont="1" applyFill="1" applyBorder="1" applyAlignment="1">
      <alignment horizontal="left" wrapText="1"/>
    </xf>
    <xf numFmtId="0" fontId="33" fillId="11" borderId="153" xfId="11" applyFont="1" applyFill="1" applyBorder="1" applyAlignment="1">
      <alignment wrapText="1"/>
    </xf>
    <xf numFmtId="0" fontId="32" fillId="11" borderId="153" xfId="57" applyFont="1" applyFill="1" applyBorder="1" applyAlignment="1">
      <alignment wrapText="1"/>
    </xf>
    <xf numFmtId="37" fontId="101" fillId="11" borderId="153" xfId="57" applyNumberFormat="1" applyFont="1" applyFill="1" applyBorder="1" applyAlignment="1"/>
    <xf numFmtId="0" fontId="32" fillId="11" borderId="153" xfId="57" applyNumberFormat="1" applyFont="1" applyFill="1" applyBorder="1" applyAlignment="1">
      <alignment horizontal="left" vertical="top" wrapText="1"/>
    </xf>
    <xf numFmtId="0" fontId="32" fillId="0" borderId="156" xfId="57" applyFont="1" applyFill="1" applyBorder="1" applyAlignment="1">
      <alignment horizontal="center"/>
    </xf>
    <xf numFmtId="0" fontId="32" fillId="0" borderId="167" xfId="57" applyFont="1" applyFill="1" applyBorder="1" applyAlignment="1">
      <alignment horizontal="center"/>
    </xf>
    <xf numFmtId="0" fontId="32" fillId="0" borderId="155" xfId="57" applyFont="1" applyFill="1" applyBorder="1" applyAlignment="1">
      <alignment horizontal="center"/>
    </xf>
    <xf numFmtId="0" fontId="32" fillId="0" borderId="155" xfId="57" applyFont="1" applyFill="1" applyBorder="1"/>
    <xf numFmtId="37" fontId="32" fillId="0" borderId="153" xfId="57" applyNumberFormat="1" applyFont="1" applyFill="1" applyBorder="1" applyAlignment="1"/>
    <xf numFmtId="37" fontId="102" fillId="0" borderId="153" xfId="57" applyNumberFormat="1" applyFont="1" applyFill="1" applyBorder="1" applyAlignment="1"/>
    <xf numFmtId="0" fontId="33" fillId="0" borderId="168" xfId="57" applyFont="1" applyFill="1" applyBorder="1"/>
    <xf numFmtId="0" fontId="32" fillId="0" borderId="143" xfId="57" applyFont="1" applyFill="1" applyBorder="1"/>
    <xf numFmtId="0" fontId="32" fillId="0" borderId="143" xfId="57" applyFont="1" applyFill="1" applyBorder="1" applyAlignment="1"/>
    <xf numFmtId="0" fontId="32" fillId="0" borderId="143" xfId="57" applyFont="1" applyFill="1" applyBorder="1" applyAlignment="1">
      <alignment horizontal="center"/>
    </xf>
    <xf numFmtId="0" fontId="32" fillId="0" borderId="169" xfId="57" applyFont="1" applyFill="1" applyBorder="1" applyAlignment="1">
      <alignment horizontal="center"/>
    </xf>
    <xf numFmtId="0" fontId="102" fillId="0" borderId="0" xfId="57" applyFont="1" applyFill="1" applyBorder="1" applyAlignment="1"/>
    <xf numFmtId="0" fontId="64" fillId="0" borderId="156" xfId="11" applyFont="1" applyFill="1" applyBorder="1" applyAlignment="1">
      <alignment horizontal="left"/>
    </xf>
    <xf numFmtId="0" fontId="64" fillId="0" borderId="167" xfId="11" applyFont="1" applyFill="1" applyBorder="1" applyAlignment="1">
      <alignment horizontal="left"/>
    </xf>
    <xf numFmtId="0" fontId="64" fillId="0" borderId="167" xfId="11" applyFont="1" applyFill="1" applyBorder="1" applyAlignment="1">
      <alignment horizontal="left" wrapText="1"/>
    </xf>
    <xf numFmtId="0" fontId="64" fillId="0" borderId="155" xfId="11" applyFont="1" applyFill="1" applyBorder="1" applyAlignment="1">
      <alignment horizontal="left" wrapText="1"/>
    </xf>
    <xf numFmtId="0" fontId="74" fillId="0" borderId="153" xfId="11" applyFont="1" applyFill="1" applyBorder="1" applyAlignment="1">
      <alignment wrapText="1"/>
    </xf>
    <xf numFmtId="0" fontId="64" fillId="0" borderId="153" xfId="57" applyFont="1" applyFill="1" applyBorder="1" applyAlignment="1">
      <alignment wrapText="1"/>
    </xf>
    <xf numFmtId="38" fontId="32" fillId="0" borderId="0" xfId="57" applyNumberFormat="1" applyFont="1" applyFill="1" applyBorder="1" applyAlignment="1"/>
    <xf numFmtId="0" fontId="50" fillId="0" borderId="0" xfId="57" applyFont="1" applyFill="1" applyBorder="1" applyAlignment="1"/>
    <xf numFmtId="0" fontId="64" fillId="0" borderId="155" xfId="11" applyFont="1" applyFill="1" applyBorder="1" applyAlignment="1">
      <alignment horizontal="left"/>
    </xf>
    <xf numFmtId="38" fontId="32" fillId="0" borderId="153" xfId="57" applyNumberFormat="1" applyFont="1" applyFill="1" applyBorder="1" applyAlignment="1"/>
    <xf numFmtId="0" fontId="32" fillId="11" borderId="153" xfId="57" applyFont="1" applyFill="1" applyBorder="1" applyAlignment="1">
      <alignment vertical="top" wrapText="1"/>
    </xf>
    <xf numFmtId="0" fontId="102" fillId="11" borderId="153" xfId="57" applyFont="1" applyFill="1" applyBorder="1" applyAlignment="1">
      <alignment vertical="top" wrapText="1"/>
    </xf>
    <xf numFmtId="0" fontId="102" fillId="0" borderId="153" xfId="57" applyFont="1" applyFill="1" applyBorder="1" applyAlignment="1">
      <alignment vertical="top"/>
    </xf>
    <xf numFmtId="37" fontId="32" fillId="0" borderId="0" xfId="57" applyNumberFormat="1" applyFont="1" applyFill="1" applyBorder="1" applyAlignment="1"/>
    <xf numFmtId="0" fontId="32" fillId="0" borderId="17" xfId="57" applyFont="1" applyFill="1" applyBorder="1" applyAlignment="1">
      <alignment wrapText="1"/>
    </xf>
    <xf numFmtId="43" fontId="32" fillId="0" borderId="0" xfId="1" applyFill="1" applyBorder="1" applyAlignment="1"/>
    <xf numFmtId="0" fontId="32" fillId="0" borderId="0" xfId="57" applyAlignment="1"/>
    <xf numFmtId="0" fontId="55" fillId="0" borderId="0" xfId="57" applyFont="1" applyAlignment="1"/>
    <xf numFmtId="37" fontId="32" fillId="0" borderId="126" xfId="57" applyNumberFormat="1" applyFont="1" applyFill="1" applyBorder="1" applyAlignment="1"/>
    <xf numFmtId="0" fontId="133" fillId="0" borderId="0" xfId="52844" applyFont="1" applyFill="1"/>
    <xf numFmtId="0" fontId="133" fillId="0" borderId="0" xfId="52844" applyFont="1" applyFill="1" applyAlignment="1">
      <alignment horizontal="centerContinuous"/>
    </xf>
    <xf numFmtId="0" fontId="132" fillId="0" borderId="0" xfId="52844" applyFont="1" applyFill="1" applyAlignment="1">
      <alignment horizontal="centerContinuous"/>
    </xf>
    <xf numFmtId="0" fontId="132" fillId="0" borderId="0" xfId="52844" applyFont="1" applyAlignment="1">
      <alignment horizontal="centerContinuous"/>
    </xf>
    <xf numFmtId="0" fontId="132" fillId="0" borderId="0" xfId="52844" applyFont="1"/>
    <xf numFmtId="0" fontId="133" fillId="0" borderId="0" xfId="52844" quotePrefix="1" applyFont="1" applyFill="1"/>
    <xf numFmtId="0" fontId="133" fillId="0" borderId="0" xfId="52844" applyFont="1" applyAlignment="1">
      <alignment horizontal="centerContinuous"/>
    </xf>
    <xf numFmtId="0" fontId="133" fillId="0" borderId="0" xfId="52844" applyFont="1" applyFill="1" applyAlignment="1"/>
    <xf numFmtId="0" fontId="132" fillId="0" borderId="1" xfId="52844" applyFont="1" applyBorder="1"/>
    <xf numFmtId="43" fontId="132" fillId="0" borderId="1" xfId="52845" applyFont="1" applyBorder="1" applyAlignment="1"/>
    <xf numFmtId="43" fontId="132" fillId="0" borderId="0" xfId="52845" applyFont="1" applyFill="1" applyBorder="1" applyAlignment="1"/>
    <xf numFmtId="0" fontId="132" fillId="0" borderId="10" xfId="52844" applyFont="1" applyBorder="1"/>
    <xf numFmtId="0" fontId="132" fillId="0" borderId="0" xfId="52844" applyFont="1" applyBorder="1"/>
    <xf numFmtId="0" fontId="132" fillId="0" borderId="0" xfId="52844" applyFont="1" applyFill="1"/>
    <xf numFmtId="164" fontId="132" fillId="0" borderId="0" xfId="52845" applyNumberFormat="1" applyFont="1" applyFill="1" applyBorder="1" applyAlignment="1">
      <alignment horizontal="center"/>
    </xf>
    <xf numFmtId="0" fontId="132" fillId="0" borderId="8" xfId="52844" applyFont="1" applyBorder="1"/>
    <xf numFmtId="164" fontId="132" fillId="0" borderId="6" xfId="52845" applyNumberFormat="1" applyFont="1" applyFill="1" applyBorder="1" applyAlignment="1">
      <alignment horizontal="center"/>
    </xf>
    <xf numFmtId="164" fontId="132" fillId="11" borderId="6" xfId="52845" applyNumberFormat="1" applyFont="1" applyFill="1" applyBorder="1" applyAlignment="1">
      <alignment horizontal="center"/>
    </xf>
    <xf numFmtId="164" fontId="132" fillId="11" borderId="5" xfId="52845" applyNumberFormat="1" applyFont="1" applyFill="1" applyBorder="1" applyAlignment="1">
      <alignment horizontal="center"/>
    </xf>
    <xf numFmtId="164" fontId="132" fillId="0" borderId="23" xfId="52845" applyNumberFormat="1" applyFont="1" applyFill="1" applyBorder="1" applyAlignment="1">
      <alignment horizontal="center"/>
    </xf>
    <xf numFmtId="164" fontId="132" fillId="11" borderId="10" xfId="52845" applyNumberFormat="1" applyFont="1" applyFill="1" applyBorder="1" applyAlignment="1">
      <alignment horizontal="center"/>
    </xf>
    <xf numFmtId="164" fontId="132" fillId="11" borderId="11" xfId="52845" applyNumberFormat="1" applyFont="1" applyFill="1" applyBorder="1" applyAlignment="1">
      <alignment horizontal="center"/>
    </xf>
    <xf numFmtId="164" fontId="132" fillId="11" borderId="32" xfId="52845" applyNumberFormat="1" applyFont="1" applyFill="1" applyBorder="1" applyAlignment="1">
      <alignment horizontal="center"/>
    </xf>
    <xf numFmtId="0" fontId="132" fillId="0" borderId="10" xfId="52844" applyFont="1" applyBorder="1" applyAlignment="1">
      <alignment wrapText="1"/>
    </xf>
    <xf numFmtId="164" fontId="134" fillId="11" borderId="11" xfId="52845" applyNumberFormat="1" applyFont="1" applyFill="1" applyBorder="1" applyAlignment="1">
      <alignment horizontal="center" wrapText="1"/>
    </xf>
    <xf numFmtId="0" fontId="134" fillId="11" borderId="10" xfId="52844" applyFont="1" applyFill="1" applyBorder="1" applyAlignment="1">
      <alignment horizontal="center" wrapText="1"/>
    </xf>
    <xf numFmtId="0" fontId="134" fillId="11" borderId="11" xfId="52844" applyFont="1" applyFill="1" applyBorder="1" applyAlignment="1">
      <alignment horizontal="center" wrapText="1"/>
    </xf>
    <xf numFmtId="43" fontId="132" fillId="0" borderId="13" xfId="52845" applyFont="1" applyFill="1" applyBorder="1" applyAlignment="1">
      <alignment horizontal="center"/>
    </xf>
    <xf numFmtId="0" fontId="134" fillId="11" borderId="0" xfId="52844" applyFont="1" applyFill="1" applyBorder="1" applyAlignment="1">
      <alignment horizontal="center" wrapText="1"/>
    </xf>
    <xf numFmtId="164" fontId="132" fillId="0" borderId="14" xfId="52845" applyNumberFormat="1" applyFont="1" applyFill="1" applyBorder="1" applyAlignment="1">
      <alignment horizontal="center"/>
    </xf>
    <xf numFmtId="0" fontId="132" fillId="0" borderId="8" xfId="52844" applyFont="1" applyBorder="1" applyAlignment="1">
      <alignment wrapText="1"/>
    </xf>
    <xf numFmtId="164" fontId="134" fillId="11" borderId="0" xfId="52845" applyNumberFormat="1" applyFont="1" applyFill="1" applyBorder="1" applyAlignment="1">
      <alignment horizontal="center" wrapText="1"/>
    </xf>
    <xf numFmtId="0" fontId="134" fillId="11" borderId="8" xfId="52844" applyFont="1" applyFill="1" applyBorder="1" applyAlignment="1">
      <alignment horizontal="center" wrapText="1"/>
    </xf>
    <xf numFmtId="43" fontId="49" fillId="0" borderId="14" xfId="52845" applyFont="1" applyFill="1" applyBorder="1" applyAlignment="1">
      <alignment horizontal="center" wrapText="1"/>
    </xf>
    <xf numFmtId="0" fontId="132" fillId="0" borderId="24" xfId="52844" applyFont="1" applyBorder="1"/>
    <xf numFmtId="0" fontId="132" fillId="0" borderId="9" xfId="52844" applyFont="1" applyBorder="1"/>
    <xf numFmtId="164" fontId="134" fillId="11" borderId="1" xfId="52845" applyNumberFormat="1" applyFont="1" applyFill="1" applyBorder="1" applyAlignment="1">
      <alignment horizontal="center"/>
    </xf>
    <xf numFmtId="0" fontId="134" fillId="11" borderId="24" xfId="52844" applyFont="1" applyFill="1" applyBorder="1" applyAlignment="1">
      <alignment horizontal="center" wrapText="1"/>
    </xf>
    <xf numFmtId="0" fontId="134" fillId="11" borderId="1" xfId="52844" applyFont="1" applyFill="1" applyBorder="1" applyAlignment="1">
      <alignment horizontal="center" wrapText="1"/>
    </xf>
    <xf numFmtId="43" fontId="49" fillId="0" borderId="15" xfId="52845" applyFont="1" applyFill="1" applyBorder="1" applyAlignment="1">
      <alignment horizontal="center" wrapText="1"/>
    </xf>
    <xf numFmtId="164" fontId="132" fillId="0" borderId="15" xfId="52845" applyNumberFormat="1" applyFont="1" applyFill="1" applyBorder="1"/>
    <xf numFmtId="0" fontId="132" fillId="0" borderId="7" xfId="52844" applyFont="1" applyBorder="1"/>
    <xf numFmtId="164" fontId="134" fillId="11" borderId="0" xfId="52845" applyNumberFormat="1" applyFont="1" applyFill="1" applyBorder="1"/>
    <xf numFmtId="43" fontId="134" fillId="11" borderId="8" xfId="52845" applyFont="1" applyFill="1" applyBorder="1"/>
    <xf numFmtId="43" fontId="134" fillId="11" borderId="0" xfId="52845" applyFont="1" applyFill="1" applyBorder="1"/>
    <xf numFmtId="164" fontId="132" fillId="0" borderId="14" xfId="52845" applyNumberFormat="1" applyFont="1" applyFill="1" applyBorder="1"/>
    <xf numFmtId="164" fontId="134" fillId="11" borderId="8" xfId="52845" applyNumberFormat="1" applyFont="1" applyFill="1" applyBorder="1"/>
    <xf numFmtId="164" fontId="132" fillId="0" borderId="0" xfId="52845" applyNumberFormat="1" applyFont="1" applyFill="1" applyBorder="1"/>
    <xf numFmtId="164" fontId="134" fillId="11" borderId="14" xfId="52845" applyNumberFormat="1" applyFont="1" applyFill="1" applyBorder="1"/>
    <xf numFmtId="164" fontId="134" fillId="11" borderId="1" xfId="52845" applyNumberFormat="1" applyFont="1" applyFill="1" applyBorder="1"/>
    <xf numFmtId="43" fontId="134" fillId="11" borderId="24" xfId="52845" applyFont="1" applyFill="1" applyBorder="1"/>
    <xf numFmtId="43" fontId="134" fillId="11" borderId="1" xfId="52845" applyFont="1" applyFill="1" applyBorder="1"/>
    <xf numFmtId="164" fontId="134" fillId="11" borderId="24" xfId="52845" applyNumberFormat="1" applyFont="1" applyFill="1" applyBorder="1"/>
    <xf numFmtId="164" fontId="134" fillId="11" borderId="9" xfId="52845" applyNumberFormat="1" applyFont="1" applyFill="1" applyBorder="1"/>
    <xf numFmtId="0" fontId="132" fillId="0" borderId="6" xfId="52844" applyFont="1" applyFill="1" applyBorder="1"/>
    <xf numFmtId="0" fontId="132" fillId="0" borderId="5" xfId="52844" applyFont="1" applyFill="1" applyBorder="1"/>
    <xf numFmtId="0" fontId="132" fillId="0" borderId="32" xfId="52844" applyFont="1" applyFill="1" applyBorder="1"/>
    <xf numFmtId="164" fontId="132" fillId="0" borderId="1" xfId="52845" applyNumberFormat="1" applyFont="1" applyFill="1" applyBorder="1"/>
    <xf numFmtId="164" fontId="132" fillId="0" borderId="24" xfId="52845" applyNumberFormat="1" applyFont="1" applyFill="1" applyBorder="1"/>
    <xf numFmtId="164" fontId="132" fillId="0" borderId="0" xfId="52844" applyNumberFormat="1" applyFont="1"/>
    <xf numFmtId="0" fontId="132" fillId="0" borderId="24" xfId="52844" applyFont="1" applyFill="1" applyBorder="1"/>
    <xf numFmtId="0" fontId="132" fillId="0" borderId="1" xfId="52844" applyFont="1" applyFill="1" applyBorder="1"/>
    <xf numFmtId="0" fontId="132" fillId="0" borderId="9" xfId="52844" applyFont="1" applyFill="1" applyBorder="1"/>
    <xf numFmtId="164" fontId="132" fillId="0" borderId="32" xfId="52845" applyNumberFormat="1" applyFont="1" applyFill="1" applyBorder="1"/>
    <xf numFmtId="164" fontId="132" fillId="0" borderId="5" xfId="52845" applyNumberFormat="1" applyFont="1" applyFill="1" applyBorder="1"/>
    <xf numFmtId="164" fontId="132" fillId="0" borderId="6" xfId="52845" applyNumberFormat="1" applyFont="1" applyFill="1" applyBorder="1"/>
    <xf numFmtId="43" fontId="132" fillId="0" borderId="0" xfId="52845" applyFont="1" applyFill="1" applyBorder="1"/>
    <xf numFmtId="0" fontId="132" fillId="0" borderId="11" xfId="52844" applyFont="1" applyBorder="1"/>
    <xf numFmtId="164" fontId="132" fillId="11" borderId="6" xfId="52846" applyNumberFormat="1" applyFont="1" applyFill="1" applyBorder="1" applyAlignment="1">
      <alignment horizontal="center"/>
    </xf>
    <xf numFmtId="164" fontId="132" fillId="11" borderId="5" xfId="52846" applyNumberFormat="1" applyFont="1" applyFill="1" applyBorder="1" applyAlignment="1">
      <alignment horizontal="center"/>
    </xf>
    <xf numFmtId="164" fontId="132" fillId="0" borderId="23" xfId="52846" applyNumberFormat="1" applyFont="1" applyFill="1" applyBorder="1" applyAlignment="1">
      <alignment horizontal="center"/>
    </xf>
    <xf numFmtId="164" fontId="134" fillId="11" borderId="10" xfId="52846" applyNumberFormat="1" applyFont="1" applyFill="1" applyBorder="1" applyAlignment="1">
      <alignment horizontal="center" wrapText="1"/>
    </xf>
    <xf numFmtId="164" fontId="134" fillId="11" borderId="11" xfId="52846" applyNumberFormat="1" applyFont="1" applyFill="1" applyBorder="1" applyAlignment="1">
      <alignment horizontal="center" wrapText="1"/>
    </xf>
    <xf numFmtId="43" fontId="132" fillId="0" borderId="13" xfId="52846" applyFont="1" applyFill="1" applyBorder="1" applyAlignment="1">
      <alignment horizontal="center"/>
    </xf>
    <xf numFmtId="164" fontId="133" fillId="0" borderId="13" xfId="52845" applyNumberFormat="1" applyFont="1" applyFill="1" applyBorder="1" applyAlignment="1">
      <alignment horizontal="center" wrapText="1"/>
    </xf>
    <xf numFmtId="164" fontId="134" fillId="11" borderId="8" xfId="52846" applyNumberFormat="1" applyFont="1" applyFill="1" applyBorder="1" applyAlignment="1">
      <alignment horizontal="center" wrapText="1"/>
    </xf>
    <xf numFmtId="164" fontId="134" fillId="11" borderId="0" xfId="52846" applyNumberFormat="1" applyFont="1" applyFill="1" applyBorder="1" applyAlignment="1">
      <alignment horizontal="center" wrapText="1"/>
    </xf>
    <xf numFmtId="164" fontId="134" fillId="11" borderId="0" xfId="52846" applyNumberFormat="1" applyFont="1" applyFill="1" applyBorder="1" applyAlignment="1">
      <alignment horizontal="center"/>
    </xf>
    <xf numFmtId="164" fontId="132" fillId="0" borderId="14" xfId="52846" applyNumberFormat="1" applyFont="1" applyFill="1" applyBorder="1" applyAlignment="1">
      <alignment horizontal="center" wrapText="1"/>
    </xf>
    <xf numFmtId="0" fontId="49" fillId="0" borderId="13" xfId="52844" applyFont="1" applyFill="1" applyBorder="1" applyAlignment="1">
      <alignment horizontal="center" wrapText="1"/>
    </xf>
    <xf numFmtId="9" fontId="49" fillId="0" borderId="13" xfId="52844" applyNumberFormat="1" applyFont="1" applyFill="1" applyBorder="1" applyAlignment="1">
      <alignment horizontal="center" wrapText="1"/>
    </xf>
    <xf numFmtId="164" fontId="134" fillId="11" borderId="24" xfId="52846" applyNumberFormat="1" applyFont="1" applyFill="1" applyBorder="1" applyAlignment="1">
      <alignment horizontal="center"/>
    </xf>
    <xf numFmtId="164" fontId="134" fillId="11" borderId="1" xfId="52846" applyNumberFormat="1" applyFont="1" applyFill="1" applyBorder="1" applyAlignment="1">
      <alignment horizontal="center"/>
    </xf>
    <xf numFmtId="164" fontId="132" fillId="0" borderId="15" xfId="52846" applyNumberFormat="1" applyFont="1" applyFill="1" applyBorder="1" applyAlignment="1">
      <alignment horizontal="center"/>
    </xf>
    <xf numFmtId="0" fontId="49" fillId="0" borderId="15" xfId="52844" applyFont="1" applyFill="1" applyBorder="1" applyAlignment="1">
      <alignment horizontal="center" wrapText="1"/>
    </xf>
    <xf numFmtId="0" fontId="132" fillId="0" borderId="15" xfId="52844" applyFont="1" applyFill="1" applyBorder="1" applyAlignment="1">
      <alignment horizontal="center" wrapText="1"/>
    </xf>
    <xf numFmtId="164" fontId="134" fillId="11" borderId="8" xfId="52846" applyNumberFormat="1" applyFont="1" applyFill="1" applyBorder="1"/>
    <xf numFmtId="164" fontId="134" fillId="11" borderId="0" xfId="52846" applyNumberFormat="1" applyFont="1" applyFill="1" applyBorder="1"/>
    <xf numFmtId="164" fontId="132" fillId="0" borderId="14" xfId="52846" applyNumberFormat="1" applyFont="1" applyFill="1" applyBorder="1"/>
    <xf numFmtId="164" fontId="134" fillId="11" borderId="13" xfId="52844" applyNumberFormat="1" applyFont="1" applyFill="1" applyBorder="1" applyAlignment="1">
      <alignment horizontal="center" wrapText="1"/>
    </xf>
    <xf numFmtId="164" fontId="134" fillId="11" borderId="13" xfId="52844" applyNumberFormat="1" applyFont="1" applyFill="1" applyBorder="1"/>
    <xf numFmtId="164" fontId="132" fillId="0" borderId="13" xfId="52844" applyNumberFormat="1" applyFont="1" applyFill="1" applyBorder="1"/>
    <xf numFmtId="164" fontId="132" fillId="0" borderId="14" xfId="52844" applyNumberFormat="1" applyFont="1" applyFill="1" applyBorder="1"/>
    <xf numFmtId="164" fontId="134" fillId="11" borderId="14" xfId="52844" applyNumberFormat="1" applyFont="1" applyFill="1" applyBorder="1" applyAlignment="1">
      <alignment horizontal="center" wrapText="1"/>
    </xf>
    <xf numFmtId="164" fontId="134" fillId="11" borderId="14" xfId="52844" applyNumberFormat="1" applyFont="1" applyFill="1" applyBorder="1"/>
    <xf numFmtId="164" fontId="134" fillId="11" borderId="15" xfId="52844" applyNumberFormat="1" applyFont="1" applyFill="1" applyBorder="1" applyAlignment="1">
      <alignment horizontal="center" wrapText="1"/>
    </xf>
    <xf numFmtId="164" fontId="134" fillId="11" borderId="15" xfId="52844" applyNumberFormat="1" applyFont="1" applyFill="1" applyBorder="1"/>
    <xf numFmtId="164" fontId="132" fillId="0" borderId="15" xfId="52844" applyNumberFormat="1" applyFont="1" applyFill="1" applyBorder="1"/>
    <xf numFmtId="164" fontId="132" fillId="0" borderId="23" xfId="52846" applyNumberFormat="1" applyFont="1" applyFill="1" applyBorder="1"/>
    <xf numFmtId="164" fontId="132" fillId="0" borderId="23" xfId="52845" applyNumberFormat="1" applyFont="1" applyFill="1" applyBorder="1"/>
    <xf numFmtId="164" fontId="133" fillId="0" borderId="23" xfId="52845" applyNumberFormat="1" applyFont="1" applyFill="1" applyBorder="1"/>
    <xf numFmtId="43" fontId="132" fillId="0" borderId="0" xfId="52845" applyFont="1"/>
    <xf numFmtId="43" fontId="132" fillId="0" borderId="0" xfId="52844" applyNumberFormat="1" applyFont="1"/>
    <xf numFmtId="0" fontId="151" fillId="0" borderId="0" xfId="52844" applyFont="1" applyFill="1" applyAlignment="1">
      <alignment horizontal="centerContinuous"/>
    </xf>
    <xf numFmtId="0" fontId="139" fillId="0" borderId="0" xfId="52844" applyFont="1" applyAlignment="1">
      <alignment horizontal="centerContinuous"/>
    </xf>
    <xf numFmtId="164" fontId="152" fillId="0" borderId="0" xfId="52845" applyNumberFormat="1" applyFont="1" applyAlignment="1">
      <alignment horizontal="centerContinuous"/>
    </xf>
    <xf numFmtId="43" fontId="152" fillId="0" borderId="0" xfId="52845" applyFont="1" applyAlignment="1">
      <alignment horizontal="centerContinuous"/>
    </xf>
    <xf numFmtId="164" fontId="0" fillId="0" borderId="0" xfId="52845" applyNumberFormat="1" applyFont="1"/>
    <xf numFmtId="164" fontId="152" fillId="0" borderId="0" xfId="52845" applyNumberFormat="1" applyFont="1" applyFill="1" applyAlignment="1">
      <alignment horizontal="centerContinuous"/>
    </xf>
    <xf numFmtId="0" fontId="101" fillId="11" borderId="0" xfId="57" applyFont="1" applyFill="1" applyAlignment="1">
      <alignment horizontal="center"/>
    </xf>
    <xf numFmtId="164" fontId="132" fillId="0" borderId="0" xfId="52845" applyNumberFormat="1" applyFont="1"/>
    <xf numFmtId="0" fontId="132" fillId="0" borderId="12" xfId="52844" applyFont="1" applyBorder="1"/>
    <xf numFmtId="164" fontId="132" fillId="0" borderId="10" xfId="52845" applyNumberFormat="1" applyFont="1" applyFill="1" applyBorder="1" applyAlignment="1">
      <alignment horizontal="center"/>
    </xf>
    <xf numFmtId="164" fontId="132" fillId="0" borderId="13" xfId="52845" applyNumberFormat="1" applyFont="1" applyFill="1" applyBorder="1" applyAlignment="1">
      <alignment horizontal="center"/>
    </xf>
    <xf numFmtId="0" fontId="132" fillId="0" borderId="13" xfId="52844" applyFont="1" applyBorder="1" applyAlignment="1">
      <alignment wrapText="1"/>
    </xf>
    <xf numFmtId="164" fontId="134" fillId="11" borderId="10" xfId="52845" applyNumberFormat="1" applyFont="1" applyFill="1" applyBorder="1" applyAlignment="1">
      <alignment horizontal="center" wrapText="1"/>
    </xf>
    <xf numFmtId="0" fontId="132" fillId="0" borderId="14" xfId="52844" applyFont="1" applyBorder="1" applyAlignment="1">
      <alignment wrapText="1"/>
    </xf>
    <xf numFmtId="164" fontId="134" fillId="11" borderId="8" xfId="52845" applyNumberFormat="1" applyFont="1" applyFill="1" applyBorder="1" applyAlignment="1">
      <alignment horizontal="center" wrapText="1"/>
    </xf>
    <xf numFmtId="0" fontId="132" fillId="0" borderId="15" xfId="52844" applyFont="1" applyBorder="1"/>
    <xf numFmtId="0" fontId="132" fillId="0" borderId="15" xfId="52844" applyFont="1" applyBorder="1" applyAlignment="1">
      <alignment horizontal="center"/>
    </xf>
    <xf numFmtId="0" fontId="132" fillId="0" borderId="14" xfId="52844" applyFont="1" applyBorder="1"/>
    <xf numFmtId="0" fontId="134" fillId="11" borderId="8" xfId="52844" applyFont="1" applyFill="1" applyBorder="1" applyAlignment="1">
      <alignment horizontal="center"/>
    </xf>
    <xf numFmtId="0" fontId="134" fillId="11" borderId="14" xfId="52844" applyFont="1" applyFill="1" applyBorder="1" applyAlignment="1">
      <alignment horizontal="center"/>
    </xf>
    <xf numFmtId="0" fontId="7" fillId="0" borderId="0" xfId="52844"/>
    <xf numFmtId="0" fontId="132" fillId="0" borderId="6" xfId="52844" applyFont="1" applyBorder="1"/>
    <xf numFmtId="0" fontId="132" fillId="0" borderId="5" xfId="52844" applyFont="1" applyBorder="1"/>
    <xf numFmtId="0" fontId="132" fillId="0" borderId="32" xfId="52844" applyFont="1" applyBorder="1"/>
    <xf numFmtId="164" fontId="132" fillId="0" borderId="0" xfId="52845" applyNumberFormat="1" applyFont="1" applyFill="1"/>
    <xf numFmtId="43" fontId="0" fillId="0" borderId="0" xfId="52845" applyFont="1"/>
    <xf numFmtId="164" fontId="0" fillId="0" borderId="0" xfId="52845" quotePrefix="1" applyNumberFormat="1" applyFont="1"/>
    <xf numFmtId="0" fontId="134" fillId="0" borderId="8" xfId="52844" applyFont="1" applyFill="1" applyBorder="1" applyAlignment="1">
      <alignment horizontal="center"/>
    </xf>
    <xf numFmtId="0" fontId="134" fillId="0" borderId="14" xfId="52844" applyFont="1" applyFill="1" applyBorder="1" applyAlignment="1">
      <alignment horizontal="center"/>
    </xf>
    <xf numFmtId="164" fontId="134" fillId="11" borderId="7" xfId="52845" applyNumberFormat="1" applyFont="1" applyFill="1" applyBorder="1"/>
    <xf numFmtId="0" fontId="134" fillId="11" borderId="24" xfId="52844" applyFont="1" applyFill="1" applyBorder="1" applyAlignment="1">
      <alignment horizontal="center"/>
    </xf>
    <xf numFmtId="0" fontId="134" fillId="11" borderId="15" xfId="52844" applyFont="1" applyFill="1" applyBorder="1" applyAlignment="1">
      <alignment horizontal="center"/>
    </xf>
    <xf numFmtId="0" fontId="132" fillId="0" borderId="0" xfId="52844" applyFont="1" applyFill="1" applyBorder="1"/>
    <xf numFmtId="0" fontId="159" fillId="11" borderId="0" xfId="57" applyFont="1" applyFill="1" applyAlignment="1">
      <alignment horizontal="center"/>
    </xf>
    <xf numFmtId="0" fontId="34" fillId="0" borderId="0" xfId="57" applyFont="1" applyFill="1" applyAlignment="1">
      <alignment horizontal="centerContinuous"/>
    </xf>
    <xf numFmtId="0" fontId="36" fillId="0" borderId="0" xfId="57" applyFont="1" applyFill="1" applyAlignment="1">
      <alignment horizontal="centerContinuous"/>
    </xf>
    <xf numFmtId="0" fontId="148" fillId="36" borderId="0" xfId="57" applyFont="1" applyFill="1" applyAlignment="1">
      <alignment horizontal="center"/>
    </xf>
    <xf numFmtId="0" fontId="143" fillId="36" borderId="0" xfId="57" applyFont="1" applyFill="1"/>
    <xf numFmtId="0" fontId="143" fillId="36" borderId="0" xfId="57" applyFont="1" applyFill="1" applyAlignment="1">
      <alignment horizontal="center"/>
    </xf>
    <xf numFmtId="0" fontId="32" fillId="0" borderId="0" xfId="57" applyFill="1" applyAlignment="1">
      <alignment horizontal="center"/>
    </xf>
    <xf numFmtId="0" fontId="54" fillId="0" borderId="0" xfId="57" applyFont="1" applyFill="1" applyAlignment="1">
      <alignment horizontal="right"/>
    </xf>
    <xf numFmtId="0" fontId="33" fillId="0" borderId="0" xfId="57" applyFont="1" applyFill="1" applyAlignment="1"/>
    <xf numFmtId="0" fontId="101" fillId="0" borderId="0" xfId="57" applyFont="1" applyFill="1" applyAlignment="1">
      <alignment horizontal="center" vertical="top"/>
    </xf>
    <xf numFmtId="0" fontId="32" fillId="0" borderId="0" xfId="57" applyFill="1" applyAlignment="1">
      <alignment horizontal="left" vertical="center"/>
    </xf>
    <xf numFmtId="0" fontId="32" fillId="0" borderId="0" xfId="57" applyFill="1" applyAlignment="1">
      <alignment horizontal="center" vertical="center"/>
    </xf>
    <xf numFmtId="0" fontId="32" fillId="0" borderId="0" xfId="57" applyFill="1" applyAlignment="1">
      <alignment horizontal="center" vertical="top"/>
    </xf>
    <xf numFmtId="0" fontId="85" fillId="0" borderId="0" xfId="57" applyFont="1" applyFill="1" applyAlignment="1">
      <alignment horizontal="center" vertical="center"/>
    </xf>
    <xf numFmtId="0" fontId="32" fillId="0" borderId="0" xfId="57" applyFont="1" applyFill="1" applyAlignment="1">
      <alignment horizontal="left" vertical="center"/>
    </xf>
    <xf numFmtId="0" fontId="33" fillId="0" borderId="143" xfId="57" applyFont="1" applyFill="1" applyBorder="1" applyAlignment="1">
      <alignment horizontal="left" indent="1"/>
    </xf>
    <xf numFmtId="0" fontId="32" fillId="0" borderId="143" xfId="57" applyBorder="1"/>
    <xf numFmtId="37" fontId="33" fillId="0" borderId="143" xfId="1" applyNumberFormat="1" applyFont="1" applyFill="1" applyBorder="1" applyAlignment="1">
      <alignment wrapText="1"/>
    </xf>
    <xf numFmtId="0" fontId="96" fillId="0" borderId="0" xfId="57" applyFont="1"/>
    <xf numFmtId="0" fontId="32" fillId="0" borderId="0" xfId="57" applyFill="1" applyAlignment="1"/>
    <xf numFmtId="0" fontId="32" fillId="6" borderId="0" xfId="57" applyFill="1"/>
    <xf numFmtId="0" fontId="101" fillId="0" borderId="0" xfId="57" applyFont="1" applyFill="1" applyAlignment="1">
      <alignment horizontal="center" vertical="center"/>
    </xf>
    <xf numFmtId="0" fontId="32" fillId="0" borderId="0" xfId="57" applyFont="1" applyFill="1" applyAlignment="1">
      <alignment horizontal="left" vertical="center" wrapText="1"/>
    </xf>
    <xf numFmtId="0" fontId="32" fillId="0" borderId="0" xfId="57" applyFont="1" applyFill="1" applyAlignment="1">
      <alignment vertical="center" wrapText="1"/>
    </xf>
    <xf numFmtId="0" fontId="32" fillId="0" borderId="0" xfId="57" applyFill="1" applyAlignment="1">
      <alignment horizontal="center" vertical="center" wrapText="1"/>
    </xf>
    <xf numFmtId="0" fontId="33" fillId="0" borderId="143" xfId="57" applyFont="1" applyFill="1" applyBorder="1" applyAlignment="1">
      <alignment horizontal="left" vertical="center"/>
    </xf>
    <xf numFmtId="0" fontId="32" fillId="0" borderId="143" xfId="57" applyFont="1" applyFill="1" applyBorder="1" applyAlignment="1">
      <alignment horizontal="center" vertical="center"/>
    </xf>
    <xf numFmtId="37" fontId="33" fillId="0" borderId="143" xfId="57" applyNumberFormat="1" applyFont="1" applyFill="1" applyBorder="1" applyAlignment="1">
      <alignment vertical="center"/>
    </xf>
    <xf numFmtId="0" fontId="33" fillId="0" borderId="143" xfId="57" applyFont="1" applyFill="1" applyBorder="1" applyAlignment="1"/>
    <xf numFmtId="164" fontId="32" fillId="0" borderId="0" xfId="1" applyNumberFormat="1" applyFont="1" applyFill="1" applyBorder="1" applyAlignment="1"/>
    <xf numFmtId="0" fontId="32" fillId="0" borderId="1" xfId="57" applyFill="1" applyBorder="1" applyAlignment="1">
      <alignment horizontal="center"/>
    </xf>
    <xf numFmtId="0" fontId="32" fillId="0" borderId="1" xfId="57" applyFill="1" applyBorder="1" applyAlignment="1"/>
    <xf numFmtId="0" fontId="32" fillId="0" borderId="1" xfId="57" applyFont="1" applyFill="1" applyBorder="1"/>
    <xf numFmtId="164" fontId="32" fillId="0" borderId="1" xfId="1" applyNumberFormat="1" applyFont="1" applyFill="1" applyBorder="1" applyAlignment="1"/>
    <xf numFmtId="0" fontId="85" fillId="0" borderId="0" xfId="57" applyFont="1" applyFill="1" applyAlignment="1"/>
    <xf numFmtId="0" fontId="101" fillId="11" borderId="0" xfId="57" applyFont="1" applyFill="1" applyAlignment="1"/>
    <xf numFmtId="0" fontId="32" fillId="0" borderId="0" xfId="57" applyFont="1" applyFill="1" applyAlignment="1">
      <alignment horizontal="left" indent="1"/>
    </xf>
    <xf numFmtId="37" fontId="32" fillId="0" borderId="0" xfId="57" applyNumberFormat="1" applyFill="1"/>
    <xf numFmtId="0" fontId="33" fillId="0" borderId="0" xfId="57" applyFont="1" applyFill="1" applyAlignment="1">
      <alignment horizontal="left" indent="1"/>
    </xf>
    <xf numFmtId="37" fontId="33" fillId="0" borderId="0" xfId="57" applyNumberFormat="1" applyFont="1" applyFill="1"/>
    <xf numFmtId="164" fontId="32" fillId="0" borderId="0" xfId="57" applyNumberFormat="1" applyFill="1"/>
    <xf numFmtId="0" fontId="32" fillId="11" borderId="0" xfId="57" applyFont="1" applyFill="1" applyAlignment="1"/>
    <xf numFmtId="0" fontId="149" fillId="36" borderId="0" xfId="57" applyFont="1" applyFill="1" applyAlignment="1"/>
    <xf numFmtId="0" fontId="148" fillId="36" borderId="0" xfId="57" applyFont="1" applyFill="1"/>
    <xf numFmtId="0" fontId="33" fillId="0" borderId="0" xfId="57" applyFont="1" applyFill="1" applyAlignment="1">
      <alignment horizontal="center" vertical="top"/>
    </xf>
    <xf numFmtId="0" fontId="32" fillId="0" borderId="0" xfId="57" applyFont="1" applyFill="1" applyAlignment="1">
      <alignment vertical="top" wrapText="1"/>
    </xf>
    <xf numFmtId="0" fontId="43" fillId="0" borderId="0" xfId="57" applyFont="1" applyFill="1"/>
    <xf numFmtId="164" fontId="32" fillId="0" borderId="0" xfId="1" applyNumberFormat="1" applyFont="1" applyFill="1" applyAlignment="1"/>
    <xf numFmtId="0" fontId="49" fillId="0" borderId="0" xfId="57" applyFont="1" applyFill="1" applyAlignment="1">
      <alignment vertical="center" wrapText="1"/>
    </xf>
    <xf numFmtId="0" fontId="53" fillId="0" borderId="0" xfId="57" applyFont="1" applyFill="1" applyAlignment="1">
      <alignment vertical="center" wrapText="1"/>
    </xf>
    <xf numFmtId="0" fontId="32" fillId="0" borderId="1" xfId="57" applyFill="1" applyBorder="1"/>
    <xf numFmtId="0" fontId="63" fillId="0" borderId="0" xfId="57" applyFont="1" applyFill="1"/>
    <xf numFmtId="164" fontId="32" fillId="0" borderId="0" xfId="57" applyNumberFormat="1" applyFont="1" applyFill="1"/>
    <xf numFmtId="0" fontId="32" fillId="0" borderId="0" xfId="57" applyAlignment="1">
      <alignment horizontal="center"/>
    </xf>
    <xf numFmtId="0" fontId="32" fillId="0" borderId="0" xfId="57" applyFont="1" applyFill="1" applyAlignment="1">
      <alignment horizontal="center" vertical="top"/>
    </xf>
    <xf numFmtId="0" fontId="151" fillId="0" borderId="0" xfId="52847" applyFont="1" applyAlignment="1">
      <alignment horizontal="centerContinuous"/>
    </xf>
    <xf numFmtId="0" fontId="139" fillId="0" borderId="0" xfId="52847" applyFont="1" applyAlignment="1">
      <alignment horizontal="centerContinuous"/>
    </xf>
    <xf numFmtId="0" fontId="139" fillId="0" borderId="0" xfId="52847" applyFont="1"/>
    <xf numFmtId="0" fontId="7" fillId="0" borderId="0" xfId="52847"/>
    <xf numFmtId="0" fontId="141" fillId="0" borderId="0" xfId="52847" applyFont="1"/>
    <xf numFmtId="0" fontId="152" fillId="0" borderId="0" xfId="52847" applyFont="1"/>
    <xf numFmtId="0" fontId="140" fillId="0" borderId="0" xfId="52847" applyFont="1"/>
    <xf numFmtId="0" fontId="151" fillId="0" borderId="0" xfId="52847" applyFont="1"/>
    <xf numFmtId="0" fontId="153" fillId="0" borderId="0" xfId="52847" applyFont="1"/>
    <xf numFmtId="0" fontId="140" fillId="0" borderId="4" xfId="52847" applyFont="1" applyBorder="1"/>
    <xf numFmtId="0" fontId="140" fillId="0" borderId="4" xfId="52847" applyFont="1" applyBorder="1" applyAlignment="1">
      <alignment horizontal="center"/>
    </xf>
    <xf numFmtId="0" fontId="139" fillId="0" borderId="0" xfId="52847" applyFont="1" applyAlignment="1">
      <alignment horizontal="center"/>
    </xf>
    <xf numFmtId="0" fontId="161" fillId="0" borderId="4" xfId="52847" applyFont="1" applyBorder="1" applyAlignment="1">
      <alignment horizontal="center" wrapText="1"/>
    </xf>
    <xf numFmtId="0" fontId="139" fillId="0" borderId="0" xfId="52847" applyFont="1" applyFill="1"/>
    <xf numFmtId="37" fontId="147" fillId="11" borderId="0" xfId="52847" applyNumberFormat="1" applyFont="1" applyFill="1" applyAlignment="1">
      <alignment horizontal="right"/>
    </xf>
    <xf numFmtId="189" fontId="147" fillId="11" borderId="0" xfId="52847" applyNumberFormat="1" applyFont="1" applyFill="1" applyAlignment="1">
      <alignment horizontal="right"/>
    </xf>
    <xf numFmtId="0" fontId="147" fillId="0" borderId="0" xfId="52847" applyFont="1"/>
    <xf numFmtId="0" fontId="64" fillId="0" borderId="143" xfId="52847" applyFont="1" applyBorder="1"/>
    <xf numFmtId="37" fontId="140" fillId="0" borderId="143" xfId="1" applyNumberFormat="1" applyFont="1" applyFill="1" applyBorder="1"/>
    <xf numFmtId="0" fontId="139" fillId="0" borderId="0" xfId="52847" applyFont="1" applyBorder="1"/>
    <xf numFmtId="189" fontId="139" fillId="0" borderId="143" xfId="1" applyNumberFormat="1" applyFont="1" applyFill="1" applyBorder="1"/>
    <xf numFmtId="0" fontId="139" fillId="0" borderId="0" xfId="52847" applyFont="1" applyAlignment="1">
      <alignment horizontal="left" indent="1"/>
    </xf>
    <xf numFmtId="37" fontId="147" fillId="11" borderId="0" xfId="52848" applyNumberFormat="1" applyFont="1" applyFill="1"/>
    <xf numFmtId="37" fontId="147" fillId="11" borderId="4" xfId="52848" applyNumberFormat="1" applyFont="1" applyFill="1" applyBorder="1"/>
    <xf numFmtId="0" fontId="139" fillId="0" borderId="143" xfId="52847" applyFont="1" applyBorder="1"/>
    <xf numFmtId="37" fontId="139" fillId="0" borderId="0" xfId="52847" applyNumberFormat="1" applyFont="1"/>
    <xf numFmtId="164" fontId="139" fillId="0" borderId="0" xfId="52847" applyNumberFormat="1" applyFont="1"/>
    <xf numFmtId="0" fontId="140" fillId="0" borderId="143" xfId="52847" applyFont="1" applyBorder="1"/>
    <xf numFmtId="37" fontId="140" fillId="0" borderId="143" xfId="52847" applyNumberFormat="1" applyFont="1" applyBorder="1"/>
    <xf numFmtId="0" fontId="7" fillId="0" borderId="0" xfId="52847" applyFill="1"/>
    <xf numFmtId="0" fontId="93" fillId="0" borderId="0" xfId="52847" applyFont="1"/>
    <xf numFmtId="0" fontId="101" fillId="0" borderId="0" xfId="57" applyFont="1"/>
    <xf numFmtId="37" fontId="139" fillId="0" borderId="0" xfId="52847" applyNumberFormat="1" applyFont="1" applyFill="1"/>
    <xf numFmtId="37" fontId="147" fillId="11" borderId="0" xfId="52847" applyNumberFormat="1" applyFont="1" applyFill="1" applyBorder="1" applyAlignment="1">
      <alignment horizontal="center"/>
    </xf>
    <xf numFmtId="37" fontId="154" fillId="0" borderId="0" xfId="52847" applyNumberFormat="1" applyFont="1" applyFill="1"/>
    <xf numFmtId="37" fontId="139" fillId="0" borderId="0" xfId="52847" applyNumberFormat="1" applyFont="1" applyAlignment="1">
      <alignment horizontal="right"/>
    </xf>
    <xf numFmtId="37" fontId="142" fillId="0" borderId="0" xfId="0" applyNumberFormat="1" applyFont="1" applyFill="1" applyAlignment="1"/>
    <xf numFmtId="171" fontId="142" fillId="11" borderId="0" xfId="13" applyNumberFormat="1" applyFont="1" applyFill="1" applyAlignment="1">
      <alignment horizontal="right"/>
    </xf>
    <xf numFmtId="37" fontId="101" fillId="11" borderId="0" xfId="57" applyNumberFormat="1" applyFont="1" applyFill="1" applyAlignment="1"/>
    <xf numFmtId="0" fontId="132" fillId="0" borderId="0" xfId="52844" applyFont="1" applyAlignment="1">
      <alignment vertical="top"/>
    </xf>
    <xf numFmtId="0" fontId="64" fillId="0" borderId="1" xfId="57" applyFont="1" applyFill="1" applyBorder="1" applyAlignment="1">
      <alignment horizontal="center"/>
    </xf>
    <xf numFmtId="0" fontId="34" fillId="0" borderId="1" xfId="57" applyFont="1" applyFill="1" applyBorder="1" applyAlignment="1">
      <alignment horizontal="center"/>
    </xf>
    <xf numFmtId="0" fontId="34" fillId="0" borderId="1" xfId="57" applyFont="1" applyFill="1" applyBorder="1" applyAlignment="1">
      <alignment horizontal="center" wrapText="1"/>
    </xf>
    <xf numFmtId="0" fontId="6" fillId="0" borderId="0" xfId="52849"/>
    <xf numFmtId="0" fontId="36" fillId="11" borderId="0" xfId="0" applyFont="1" applyFill="1" applyBorder="1"/>
    <xf numFmtId="0" fontId="142" fillId="11" borderId="0" xfId="0" applyFont="1" applyFill="1" applyBorder="1" applyAlignment="1">
      <alignment horizontal="left" indent="1"/>
    </xf>
    <xf numFmtId="0" fontId="142" fillId="11" borderId="0" xfId="0" applyFont="1" applyFill="1" applyBorder="1" applyAlignment="1">
      <alignment horizontal="left"/>
    </xf>
    <xf numFmtId="37" fontId="101" fillId="41" borderId="0" xfId="1" applyNumberFormat="1" applyFont="1" applyFill="1" applyAlignment="1">
      <alignment vertical="center"/>
    </xf>
    <xf numFmtId="0" fontId="33" fillId="11" borderId="156" xfId="11" applyFont="1" applyFill="1" applyBorder="1" applyAlignment="1">
      <alignment horizontal="left"/>
    </xf>
    <xf numFmtId="0" fontId="169" fillId="0" borderId="153" xfId="37" applyFont="1" applyFill="1" applyBorder="1" applyAlignment="1" applyProtection="1">
      <alignment horizontal="right" vertical="center" wrapText="1"/>
    </xf>
    <xf numFmtId="0" fontId="169" fillId="0" borderId="153" xfId="37" applyFont="1" applyFill="1" applyBorder="1" applyAlignment="1" applyProtection="1">
      <alignment vertical="center" wrapText="1"/>
    </xf>
    <xf numFmtId="180" fontId="169" fillId="0" borderId="153" xfId="37" applyNumberFormat="1" applyFont="1" applyFill="1" applyBorder="1" applyAlignment="1" applyProtection="1">
      <alignment horizontal="right" vertical="center" wrapText="1"/>
    </xf>
    <xf numFmtId="0" fontId="230" fillId="0" borderId="0" xfId="0" applyFont="1" applyBorder="1" applyAlignment="1">
      <alignment vertical="center"/>
    </xf>
    <xf numFmtId="0" fontId="231" fillId="0" borderId="8" xfId="0" applyFont="1" applyBorder="1" applyAlignment="1">
      <alignment horizontal="center"/>
    </xf>
    <xf numFmtId="0" fontId="232" fillId="0" borderId="0" xfId="0" applyFont="1" applyBorder="1" applyAlignment="1">
      <alignment horizontal="center"/>
    </xf>
    <xf numFmtId="180" fontId="187" fillId="0" borderId="38" xfId="37" applyNumberFormat="1" applyFont="1" applyFill="1" applyBorder="1" applyAlignment="1" applyProtection="1">
      <alignment vertical="center" wrapText="1"/>
    </xf>
    <xf numFmtId="0" fontId="95" fillId="10" borderId="153" xfId="37" applyFont="1" applyFill="1" applyBorder="1" applyAlignment="1" applyProtection="1">
      <alignment vertical="center"/>
    </xf>
    <xf numFmtId="0" fontId="232" fillId="0" borderId="5" xfId="0" applyFont="1" applyBorder="1" applyAlignment="1">
      <alignment vertical="center"/>
    </xf>
    <xf numFmtId="164" fontId="32" fillId="39" borderId="107" xfId="1" quotePrefix="1" applyNumberFormat="1" applyFont="1" applyFill="1" applyBorder="1" applyAlignment="1">
      <alignment horizontal="left"/>
    </xf>
    <xf numFmtId="0" fontId="0" fillId="0" borderId="157" xfId="0" applyBorder="1" applyAlignment="1">
      <alignment horizontal="center"/>
    </xf>
    <xf numFmtId="0" fontId="0" fillId="0" borderId="153" xfId="0" applyBorder="1"/>
    <xf numFmtId="0" fontId="101" fillId="11" borderId="153" xfId="57" applyFont="1" applyFill="1" applyBorder="1" applyAlignment="1">
      <alignment horizontal="left"/>
    </xf>
    <xf numFmtId="37" fontId="32" fillId="39" borderId="153" xfId="57" quotePrefix="1" applyNumberFormat="1" applyFont="1" applyFill="1" applyBorder="1" applyAlignment="1">
      <alignment horizontal="left"/>
    </xf>
    <xf numFmtId="0" fontId="101" fillId="39" borderId="153" xfId="0" applyFont="1" applyFill="1" applyBorder="1" applyAlignment="1">
      <alignment horizontal="left"/>
    </xf>
    <xf numFmtId="38" fontId="101" fillId="39" borderId="154" xfId="0" applyNumberFormat="1" applyFont="1" applyFill="1" applyBorder="1"/>
    <xf numFmtId="41" fontId="0" fillId="0" borderId="153" xfId="0" applyNumberFormat="1" applyFill="1" applyBorder="1"/>
    <xf numFmtId="37" fontId="32" fillId="0" borderId="126" xfId="57" quotePrefix="1" applyNumberFormat="1" applyFont="1" applyFill="1" applyBorder="1" applyAlignment="1">
      <alignment horizontal="left"/>
    </xf>
    <xf numFmtId="0" fontId="101" fillId="0" borderId="126" xfId="0" applyFont="1" applyFill="1" applyBorder="1" applyAlignment="1">
      <alignment horizontal="left"/>
    </xf>
    <xf numFmtId="38" fontId="101" fillId="0" borderId="128" xfId="0" applyNumberFormat="1" applyFont="1" applyFill="1" applyBorder="1"/>
    <xf numFmtId="37" fontId="32" fillId="0" borderId="153" xfId="57" quotePrefix="1" applyNumberFormat="1" applyFont="1" applyFill="1" applyBorder="1" applyAlignment="1">
      <alignment horizontal="left"/>
    </xf>
    <xf numFmtId="0" fontId="101" fillId="0" borderId="153" xfId="0" applyFont="1" applyFill="1" applyBorder="1" applyAlignment="1">
      <alignment horizontal="left"/>
    </xf>
    <xf numFmtId="38" fontId="101" fillId="0" borderId="154" xfId="0" applyNumberFormat="1" applyFont="1" applyFill="1" applyBorder="1"/>
    <xf numFmtId="37" fontId="0" fillId="0" borderId="22" xfId="0" applyNumberFormat="1" applyFill="1" applyBorder="1"/>
    <xf numFmtId="37" fontId="0" fillId="0" borderId="126" xfId="0" applyNumberFormat="1" applyFill="1" applyBorder="1"/>
    <xf numFmtId="0" fontId="101" fillId="0" borderId="126" xfId="57" applyFont="1" applyFill="1" applyBorder="1" applyAlignment="1">
      <alignment horizontal="left"/>
    </xf>
    <xf numFmtId="37" fontId="0" fillId="0" borderId="153" xfId="0" applyNumberFormat="1" applyFill="1" applyBorder="1"/>
    <xf numFmtId="0" fontId="101" fillId="0" borderId="153" xfId="57" applyFont="1" applyFill="1" applyBorder="1" applyAlignment="1">
      <alignment horizontal="left"/>
    </xf>
    <xf numFmtId="0" fontId="0" fillId="0" borderId="22" xfId="0" applyFill="1" applyBorder="1"/>
    <xf numFmtId="37" fontId="101" fillId="0" borderId="153" xfId="57" quotePrefix="1" applyNumberFormat="1" applyFont="1" applyFill="1" applyBorder="1" applyAlignment="1">
      <alignment horizontal="left"/>
    </xf>
    <xf numFmtId="0" fontId="101" fillId="11" borderId="153" xfId="0" applyFont="1" applyFill="1" applyBorder="1" applyAlignment="1">
      <alignment horizontal="left"/>
    </xf>
    <xf numFmtId="0" fontId="32" fillId="0" borderId="153" xfId="0" applyFont="1" applyFill="1" applyBorder="1"/>
    <xf numFmtId="164" fontId="32" fillId="0" borderId="153" xfId="1" quotePrefix="1" applyNumberFormat="1" applyFont="1" applyFill="1" applyBorder="1" applyAlignment="1">
      <alignment horizontal="left"/>
    </xf>
    <xf numFmtId="38" fontId="32" fillId="39" borderId="153" xfId="0" quotePrefix="1" applyNumberFormat="1" applyFont="1" applyFill="1" applyBorder="1"/>
    <xf numFmtId="38" fontId="32" fillId="0" borderId="153" xfId="0" quotePrefix="1" applyNumberFormat="1" applyFont="1" applyFill="1" applyBorder="1"/>
    <xf numFmtId="37" fontId="32" fillId="0" borderId="153" xfId="0" applyNumberFormat="1" applyFont="1" applyFill="1" applyBorder="1"/>
    <xf numFmtId="0" fontId="32" fillId="0" borderId="153" xfId="0" applyFont="1" applyBorder="1" applyAlignment="1">
      <alignment horizontal="center"/>
    </xf>
    <xf numFmtId="38" fontId="159" fillId="39" borderId="153" xfId="0" applyNumberFormat="1" applyFont="1" applyFill="1" applyBorder="1"/>
    <xf numFmtId="37" fontId="159" fillId="11" borderId="153" xfId="0" applyNumberFormat="1" applyFont="1" applyFill="1" applyBorder="1"/>
    <xf numFmtId="0" fontId="0" fillId="39" borderId="153" xfId="13" applyNumberFormat="1" applyFont="1" applyFill="1" applyBorder="1" applyAlignment="1">
      <alignment horizontal="center"/>
    </xf>
    <xf numFmtId="0" fontId="101" fillId="39" borderId="153" xfId="0" applyFont="1" applyFill="1" applyBorder="1"/>
    <xf numFmtId="38" fontId="32" fillId="39" borderId="36" xfId="0" quotePrefix="1" applyNumberFormat="1" applyFont="1" applyFill="1" applyBorder="1" applyAlignment="1">
      <alignment horizontal="left"/>
    </xf>
    <xf numFmtId="0" fontId="92" fillId="0" borderId="0" xfId="0" applyFont="1" applyAlignment="1">
      <alignment horizontal="left"/>
    </xf>
    <xf numFmtId="164" fontId="45" fillId="0" borderId="0" xfId="1" applyNumberFormat="1" applyFont="1" applyAlignment="1">
      <alignment horizontal="centerContinuous"/>
    </xf>
    <xf numFmtId="164" fontId="92" fillId="0" borderId="0" xfId="1" applyNumberFormat="1" applyFont="1" applyFill="1" applyBorder="1" applyAlignment="1">
      <alignment vertical="center"/>
    </xf>
    <xf numFmtId="164" fontId="159" fillId="0" borderId="0" xfId="1" applyNumberFormat="1" applyFont="1" applyFill="1" applyBorder="1" applyAlignment="1">
      <alignment horizontal="center" vertical="center" wrapText="1"/>
    </xf>
    <xf numFmtId="164" fontId="0" fillId="0" borderId="0" xfId="1" applyNumberFormat="1" applyFont="1" applyFill="1"/>
    <xf numFmtId="164" fontId="36" fillId="0" borderId="0" xfId="1" applyNumberFormat="1" applyFont="1"/>
    <xf numFmtId="0" fontId="95" fillId="10" borderId="153" xfId="37" applyFont="1" applyFill="1" applyBorder="1" applyAlignment="1" applyProtection="1">
      <alignment horizontal="center" vertical="center"/>
    </xf>
    <xf numFmtId="3" fontId="36" fillId="11" borderId="186" xfId="37" applyNumberFormat="1" applyFont="1" applyFill="1" applyBorder="1" applyAlignment="1">
      <alignment horizontal="center"/>
    </xf>
    <xf numFmtId="4" fontId="36" fillId="0" borderId="0" xfId="37" applyNumberFormat="1" applyFont="1" applyBorder="1" applyAlignment="1"/>
    <xf numFmtId="0" fontId="36" fillId="0" borderId="0" xfId="37" applyFont="1" applyFill="1" applyBorder="1" applyAlignment="1">
      <alignment horizontal="right" wrapText="1"/>
    </xf>
    <xf numFmtId="0" fontId="36" fillId="0" borderId="0" xfId="37" applyFont="1" applyBorder="1" applyAlignment="1">
      <alignment horizontal="right"/>
    </xf>
    <xf numFmtId="4" fontId="36" fillId="0" borderId="0" xfId="37" applyNumberFormat="1" applyFont="1" applyFill="1" applyBorder="1" applyAlignment="1">
      <alignment horizontal="center" wrapText="1"/>
    </xf>
    <xf numFmtId="3" fontId="36" fillId="0" borderId="0" xfId="37" applyNumberFormat="1" applyFont="1" applyFill="1" applyBorder="1" applyAlignment="1">
      <alignment horizontal="right" wrapText="1"/>
    </xf>
    <xf numFmtId="0" fontId="102" fillId="11" borderId="189" xfId="57" applyFont="1" applyFill="1" applyBorder="1"/>
    <xf numFmtId="0" fontId="101" fillId="11" borderId="191" xfId="57" applyFont="1" applyFill="1" applyBorder="1"/>
    <xf numFmtId="0" fontId="144" fillId="37" borderId="79" xfId="0" applyFont="1" applyFill="1" applyBorder="1" applyAlignment="1"/>
    <xf numFmtId="164" fontId="36" fillId="0" borderId="8" xfId="37" applyNumberFormat="1" applyFont="1" applyFill="1" applyBorder="1"/>
    <xf numFmtId="0" fontId="32" fillId="0" borderId="7" xfId="37" applyFont="1" applyBorder="1"/>
    <xf numFmtId="164" fontId="32" fillId="0" borderId="0" xfId="57" applyNumberFormat="1" applyFont="1" applyFill="1" applyAlignment="1">
      <alignment vertical="top"/>
    </xf>
    <xf numFmtId="0" fontId="132" fillId="0" borderId="0" xfId="52844" applyFont="1" applyFill="1" applyAlignment="1">
      <alignment vertical="top"/>
    </xf>
    <xf numFmtId="0" fontId="132" fillId="0" borderId="8" xfId="52844" applyFont="1" applyBorder="1" applyAlignment="1">
      <alignment vertical="top" wrapText="1"/>
    </xf>
    <xf numFmtId="0" fontId="132" fillId="0" borderId="14" xfId="52844" applyFont="1" applyBorder="1" applyAlignment="1">
      <alignment vertical="top" wrapText="1"/>
    </xf>
    <xf numFmtId="164" fontId="134" fillId="11" borderId="8"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xf>
    <xf numFmtId="164" fontId="132" fillId="0" borderId="14" xfId="52846" applyNumberFormat="1" applyFont="1" applyFill="1" applyBorder="1" applyAlignment="1">
      <alignment horizontal="center" vertical="top" wrapText="1"/>
    </xf>
    <xf numFmtId="0" fontId="49" fillId="0" borderId="13" xfId="52844" applyFont="1" applyFill="1" applyBorder="1" applyAlignment="1">
      <alignment horizontal="center" vertical="top" wrapText="1"/>
    </xf>
    <xf numFmtId="0" fontId="132" fillId="0" borderId="0" xfId="52844" applyFont="1" applyAlignment="1">
      <alignment vertical="center"/>
    </xf>
    <xf numFmtId="0" fontId="132" fillId="0" borderId="10" xfId="52844" applyFont="1" applyBorder="1" applyAlignment="1">
      <alignment vertical="center" wrapText="1"/>
    </xf>
    <xf numFmtId="0" fontId="132" fillId="0" borderId="13" xfId="52844" applyFont="1" applyBorder="1" applyAlignment="1">
      <alignment vertical="center" wrapText="1"/>
    </xf>
    <xf numFmtId="0" fontId="132" fillId="0" borderId="12" xfId="52844" applyFont="1" applyBorder="1" applyAlignment="1">
      <alignment vertical="center" wrapText="1"/>
    </xf>
    <xf numFmtId="164" fontId="134" fillId="11" borderId="10" xfId="52846"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wrapText="1"/>
    </xf>
    <xf numFmtId="43" fontId="132" fillId="0" borderId="13" xfId="52846" applyFont="1" applyFill="1" applyBorder="1" applyAlignment="1">
      <alignment horizontal="center" vertical="center"/>
    </xf>
    <xf numFmtId="0" fontId="132" fillId="0" borderId="0" xfId="52844" applyFont="1" applyFill="1" applyAlignment="1">
      <alignment vertical="center"/>
    </xf>
    <xf numFmtId="164" fontId="133" fillId="0" borderId="13" xfId="52845"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xf>
    <xf numFmtId="164" fontId="134" fillId="11" borderId="24" xfId="52846" applyNumberFormat="1" applyFont="1" applyFill="1" applyBorder="1" applyAlignment="1">
      <alignment horizontal="center" vertical="center"/>
    </xf>
    <xf numFmtId="164" fontId="134" fillId="11" borderId="1" xfId="52846" applyNumberFormat="1" applyFont="1" applyFill="1" applyBorder="1" applyAlignment="1">
      <alignment horizontal="center" vertical="center"/>
    </xf>
    <xf numFmtId="0" fontId="132" fillId="0" borderId="24" xfId="52844" applyFont="1" applyBorder="1" applyAlignment="1">
      <alignment horizontal="center" vertical="center"/>
    </xf>
    <xf numFmtId="0" fontId="132" fillId="0" borderId="15" xfId="52844" applyFont="1" applyBorder="1" applyAlignment="1">
      <alignment horizontal="center" vertical="center"/>
    </xf>
    <xf numFmtId="0" fontId="132" fillId="0" borderId="7" xfId="52844" applyFont="1" applyBorder="1" applyAlignment="1">
      <alignment horizontal="center" vertical="center" wrapText="1"/>
    </xf>
    <xf numFmtId="0" fontId="132" fillId="0" borderId="13" xfId="52844" applyFont="1" applyBorder="1"/>
    <xf numFmtId="43" fontId="134" fillId="11" borderId="0" xfId="52845" applyNumberFormat="1" applyFont="1" applyFill="1" applyBorder="1"/>
    <xf numFmtId="175" fontId="32" fillId="11" borderId="156" xfId="10" applyNumberFormat="1" applyFont="1" applyFill="1" applyBorder="1" applyAlignment="1" applyProtection="1">
      <alignment horizontal="left"/>
      <protection locked="0"/>
    </xf>
    <xf numFmtId="37" fontId="207" fillId="11" borderId="0" xfId="57" applyNumberFormat="1" applyFont="1" applyFill="1" applyBorder="1" applyAlignment="1">
      <alignment vertical="top" wrapText="1"/>
    </xf>
    <xf numFmtId="37" fontId="101" fillId="11" borderId="153" xfId="57" applyNumberFormat="1" applyFont="1" applyFill="1" applyBorder="1" applyAlignment="1">
      <alignment vertical="top" wrapText="1"/>
    </xf>
    <xf numFmtId="37" fontId="101" fillId="11" borderId="153" xfId="57" applyNumberFormat="1" applyFont="1" applyFill="1" applyBorder="1" applyAlignment="1">
      <alignment vertical="top"/>
    </xf>
    <xf numFmtId="0" fontId="32" fillId="11" borderId="153" xfId="57" applyFont="1" applyFill="1" applyBorder="1" applyAlignment="1">
      <alignment horizontal="left" vertical="top"/>
    </xf>
    <xf numFmtId="0" fontId="32" fillId="0" borderId="36" xfId="0" applyFont="1" applyFill="1" applyBorder="1" applyAlignment="1">
      <alignment horizontal="center" vertical="top"/>
    </xf>
    <xf numFmtId="0" fontId="32" fillId="39" borderId="36" xfId="0" applyFont="1" applyFill="1" applyBorder="1" applyAlignment="1">
      <alignment vertical="top"/>
    </xf>
    <xf numFmtId="38" fontId="159" fillId="39" borderId="36" xfId="0" applyNumberFormat="1" applyFont="1" applyFill="1" applyBorder="1" applyAlignment="1">
      <alignment vertical="top"/>
    </xf>
    <xf numFmtId="38" fontId="159" fillId="11" borderId="36" xfId="0" applyNumberFormat="1" applyFont="1" applyFill="1" applyBorder="1" applyAlignment="1">
      <alignment vertical="top"/>
    </xf>
    <xf numFmtId="0" fontId="32" fillId="0" borderId="36" xfId="0" applyFont="1" applyBorder="1" applyAlignment="1">
      <alignment horizontal="center" vertical="top"/>
    </xf>
    <xf numFmtId="37" fontId="32" fillId="39" borderId="36" xfId="0" quotePrefix="1" applyNumberFormat="1" applyFont="1" applyFill="1" applyBorder="1" applyAlignment="1">
      <alignment horizontal="left" vertical="top"/>
    </xf>
    <xf numFmtId="0" fontId="32" fillId="39" borderId="36" xfId="0" applyFont="1" applyFill="1" applyBorder="1" applyAlignment="1">
      <alignment horizontal="center" vertical="top"/>
    </xf>
    <xf numFmtId="0" fontId="101" fillId="39" borderId="36" xfId="0" applyFont="1" applyFill="1" applyBorder="1" applyAlignment="1">
      <alignment horizontal="left" vertical="top"/>
    </xf>
    <xf numFmtId="0" fontId="101" fillId="39" borderId="38" xfId="0" applyFont="1" applyFill="1" applyBorder="1" applyAlignment="1">
      <alignment vertical="top" wrapText="1"/>
    </xf>
    <xf numFmtId="171" fontId="0" fillId="0" borderId="0" xfId="13" applyNumberFormat="1" applyFont="1"/>
    <xf numFmtId="171" fontId="0" fillId="0" borderId="0" xfId="0" applyNumberFormat="1"/>
    <xf numFmtId="0" fontId="32" fillId="0" borderId="36" xfId="0" applyFont="1" applyBorder="1" applyAlignment="1">
      <alignment vertical="top" wrapText="1"/>
    </xf>
    <xf numFmtId="10" fontId="36" fillId="0" borderId="0" xfId="13" applyNumberFormat="1" applyFont="1"/>
    <xf numFmtId="0" fontId="233" fillId="0" borderId="0" xfId="0" applyFont="1"/>
    <xf numFmtId="0" fontId="233" fillId="0" borderId="0" xfId="0" applyFont="1" applyBorder="1"/>
    <xf numFmtId="0" fontId="236" fillId="0" borderId="0" xfId="0" applyFont="1" applyFill="1" applyBorder="1"/>
    <xf numFmtId="0" fontId="101" fillId="0" borderId="156" xfId="0" applyFont="1" applyFill="1" applyBorder="1" applyAlignment="1">
      <alignment horizontal="left" vertical="top" wrapText="1"/>
    </xf>
    <xf numFmtId="0" fontId="143" fillId="38" borderId="5" xfId="0" applyFont="1" applyFill="1" applyBorder="1" applyAlignment="1"/>
    <xf numFmtId="0" fontId="232" fillId="0" borderId="0" xfId="0" applyFont="1" applyBorder="1" applyAlignment="1">
      <alignment horizontal="right"/>
    </xf>
    <xf numFmtId="37" fontId="32" fillId="39" borderId="28" xfId="57" quotePrefix="1" applyNumberFormat="1" applyFont="1" applyFill="1" applyBorder="1" applyAlignment="1">
      <alignment horizontal="right"/>
    </xf>
    <xf numFmtId="37" fontId="32" fillId="39" borderId="107" xfId="57" quotePrefix="1" applyNumberFormat="1" applyFont="1" applyFill="1" applyBorder="1" applyAlignment="1">
      <alignment horizontal="right"/>
    </xf>
    <xf numFmtId="37" fontId="32" fillId="39" borderId="153" xfId="57" quotePrefix="1" applyNumberFormat="1" applyFont="1" applyFill="1" applyBorder="1" applyAlignment="1">
      <alignment horizontal="right"/>
    </xf>
    <xf numFmtId="37" fontId="32" fillId="0" borderId="126" xfId="57" quotePrefix="1" applyNumberFormat="1" applyFont="1" applyFill="1" applyBorder="1" applyAlignment="1">
      <alignment horizontal="right"/>
    </xf>
    <xf numFmtId="37" fontId="32" fillId="39" borderId="126" xfId="57" quotePrefix="1" applyNumberFormat="1" applyFont="1" applyFill="1" applyBorder="1" applyAlignment="1">
      <alignment horizontal="right"/>
    </xf>
    <xf numFmtId="37" fontId="32" fillId="0" borderId="153" xfId="57" quotePrefix="1" applyNumberFormat="1" applyFont="1" applyFill="1" applyBorder="1" applyAlignment="1">
      <alignment horizontal="right"/>
    </xf>
    <xf numFmtId="0" fontId="139" fillId="0" borderId="189" xfId="5916" applyBorder="1"/>
    <xf numFmtId="0" fontId="139" fillId="0" borderId="189" xfId="5916" applyBorder="1" applyAlignment="1">
      <alignment horizontal="center"/>
    </xf>
    <xf numFmtId="0" fontId="140" fillId="0" borderId="189" xfId="5916" applyFont="1" applyBorder="1" applyAlignment="1">
      <alignment horizontal="center"/>
    </xf>
    <xf numFmtId="0" fontId="140" fillId="0" borderId="189" xfId="5916" applyFont="1" applyFill="1" applyBorder="1" applyAlignment="1">
      <alignment horizontal="center"/>
    </xf>
    <xf numFmtId="43" fontId="64" fillId="0" borderId="189" xfId="5854" applyFont="1" applyBorder="1" applyAlignment="1">
      <alignment horizontal="center" wrapText="1"/>
    </xf>
    <xf numFmtId="0" fontId="140" fillId="0" borderId="189" xfId="5916" applyFont="1" applyBorder="1" applyAlignment="1">
      <alignment horizontal="center" wrapText="1"/>
    </xf>
    <xf numFmtId="0" fontId="140" fillId="0" borderId="189" xfId="5916" applyFont="1" applyFill="1" applyBorder="1" applyAlignment="1">
      <alignment horizontal="center" wrapText="1"/>
    </xf>
    <xf numFmtId="0" fontId="55" fillId="0" borderId="189" xfId="5916" quotePrefix="1" applyFont="1" applyBorder="1"/>
    <xf numFmtId="0" fontId="55" fillId="0" borderId="189" xfId="5916" applyFont="1" applyBorder="1"/>
    <xf numFmtId="0" fontId="139" fillId="0" borderId="189" xfId="5916" applyFill="1" applyBorder="1" applyAlignment="1">
      <alignment horizontal="center"/>
    </xf>
    <xf numFmtId="43" fontId="55" fillId="0" borderId="189" xfId="5854" applyFont="1" applyBorder="1"/>
    <xf numFmtId="0" fontId="139" fillId="0" borderId="189" xfId="5916" applyBorder="1" applyAlignment="1">
      <alignment wrapText="1"/>
    </xf>
    <xf numFmtId="164" fontId="147" fillId="0" borderId="189" xfId="11120" applyNumberFormat="1" applyFont="1" applyBorder="1"/>
    <xf numFmtId="164" fontId="147" fillId="0" borderId="189" xfId="5916" applyNumberFormat="1" applyFont="1" applyBorder="1"/>
    <xf numFmtId="164" fontId="147" fillId="0" borderId="189" xfId="16083" applyNumberFormat="1" applyFont="1" applyBorder="1"/>
    <xf numFmtId="164" fontId="139" fillId="0" borderId="189" xfId="5916" applyNumberFormat="1" applyFont="1" applyFill="1" applyBorder="1"/>
    <xf numFmtId="164" fontId="55" fillId="0" borderId="189" xfId="5854" applyNumberFormat="1" applyFont="1" applyBorder="1"/>
    <xf numFmtId="164" fontId="64" fillId="0" borderId="189" xfId="5854" applyNumberFormat="1" applyFont="1" applyBorder="1"/>
    <xf numFmtId="43" fontId="55" fillId="0" borderId="189" xfId="5854" applyNumberFormat="1" applyFont="1" applyBorder="1"/>
    <xf numFmtId="43" fontId="64" fillId="0" borderId="189" xfId="5854" applyNumberFormat="1" applyFont="1" applyBorder="1"/>
    <xf numFmtId="164" fontId="147" fillId="0" borderId="189" xfId="16083" applyNumberFormat="1" applyFont="1" applyFill="1" applyBorder="1"/>
    <xf numFmtId="0" fontId="189" fillId="0" borderId="189" xfId="16084" applyFont="1" applyBorder="1"/>
    <xf numFmtId="164" fontId="147" fillId="11" borderId="189" xfId="16083" applyNumberFormat="1" applyFont="1" applyFill="1" applyBorder="1"/>
    <xf numFmtId="0" fontId="9" fillId="0" borderId="189" xfId="16084" applyBorder="1"/>
    <xf numFmtId="0" fontId="9" fillId="0" borderId="189" xfId="16084" applyFill="1" applyBorder="1"/>
    <xf numFmtId="0" fontId="139" fillId="0" borderId="189" xfId="5916" applyFill="1" applyBorder="1" applyAlignment="1">
      <alignment horizontal="center" wrapText="1"/>
    </xf>
    <xf numFmtId="0" fontId="59" fillId="0" borderId="189" xfId="11130" applyFont="1" applyBorder="1" applyAlignment="1">
      <alignment horizontal="center"/>
    </xf>
    <xf numFmtId="0" fontId="59" fillId="0" borderId="189" xfId="45" applyFont="1" applyBorder="1" applyAlignment="1">
      <alignment horizontal="center"/>
    </xf>
    <xf numFmtId="0" fontId="170" fillId="0" borderId="189" xfId="45" applyFont="1" applyFill="1" applyBorder="1" applyAlignment="1">
      <alignment horizontal="center"/>
    </xf>
    <xf numFmtId="0" fontId="233" fillId="0" borderId="0" xfId="0" applyFont="1" applyFill="1"/>
    <xf numFmtId="0" fontId="237" fillId="0" borderId="0" xfId="0" applyFont="1" applyFill="1"/>
    <xf numFmtId="164" fontId="36" fillId="0" borderId="0" xfId="1" applyNumberFormat="1" applyFont="1" applyFill="1"/>
    <xf numFmtId="164" fontId="238" fillId="0" borderId="8" xfId="0" applyNumberFormat="1" applyFont="1" applyBorder="1"/>
    <xf numFmtId="164" fontId="238" fillId="0" borderId="0" xfId="0" applyNumberFormat="1" applyFont="1" applyBorder="1"/>
    <xf numFmtId="164" fontId="238" fillId="0" borderId="0" xfId="1" applyNumberFormat="1" applyFont="1" applyFill="1" applyBorder="1"/>
    <xf numFmtId="37" fontId="36" fillId="0" borderId="8" xfId="0" applyNumberFormat="1" applyFont="1" applyFill="1" applyBorder="1"/>
    <xf numFmtId="0" fontId="42" fillId="0" borderId="0" xfId="0" applyFont="1" applyFill="1" applyAlignment="1">
      <alignment horizontal="centerContinuous"/>
    </xf>
    <xf numFmtId="0" fontId="34" fillId="0" borderId="0" xfId="0" applyFont="1" applyFill="1" applyAlignment="1">
      <alignment horizontal="centerContinuous"/>
    </xf>
    <xf numFmtId="0" fontId="36" fillId="0" borderId="8" xfId="37" applyFont="1" applyFill="1" applyBorder="1"/>
    <xf numFmtId="0" fontId="36" fillId="0" borderId="8" xfId="37" applyFont="1" applyFill="1" applyBorder="1" applyAlignment="1">
      <alignment horizontal="center"/>
    </xf>
    <xf numFmtId="37" fontId="36" fillId="0" borderId="8" xfId="37" applyNumberFormat="1" applyFont="1" applyFill="1" applyBorder="1"/>
    <xf numFmtId="0" fontId="32" fillId="0" borderId="8" xfId="37" applyFont="1" applyFill="1" applyBorder="1"/>
    <xf numFmtId="0" fontId="36" fillId="0" borderId="8" xfId="0" applyFont="1" applyFill="1" applyBorder="1"/>
    <xf numFmtId="0" fontId="144" fillId="0" borderId="78" xfId="0" applyFont="1" applyFill="1" applyBorder="1" applyAlignment="1"/>
    <xf numFmtId="43" fontId="101" fillId="11" borderId="44" xfId="62576" applyFont="1" applyFill="1" applyBorder="1" applyAlignment="1">
      <alignment horizontal="right" vertical="top"/>
    </xf>
    <xf numFmtId="43" fontId="101" fillId="0" borderId="44" xfId="62576" applyFont="1" applyFill="1" applyBorder="1" applyAlignment="1">
      <alignment horizontal="right" vertical="top"/>
    </xf>
    <xf numFmtId="0" fontId="147" fillId="0" borderId="0" xfId="29" applyFont="1"/>
    <xf numFmtId="0" fontId="0" fillId="0" borderId="0" xfId="1" applyNumberFormat="1" applyFont="1" applyFill="1" applyAlignment="1">
      <alignment wrapText="1"/>
    </xf>
    <xf numFmtId="0" fontId="81" fillId="0" borderId="0" xfId="37" quotePrefix="1" applyFont="1" applyFill="1" applyBorder="1" applyAlignment="1">
      <alignment vertical="top" wrapText="1"/>
    </xf>
    <xf numFmtId="171" fontId="81" fillId="0" borderId="0" xfId="13" quotePrefix="1" applyNumberFormat="1" applyFont="1" applyFill="1" applyBorder="1" applyAlignment="1">
      <alignment horizontal="left" vertical="top" wrapText="1"/>
    </xf>
    <xf numFmtId="43" fontId="36" fillId="0" borderId="7" xfId="1" applyFont="1" applyFill="1" applyBorder="1" applyAlignment="1">
      <alignment horizontal="center" wrapText="1"/>
    </xf>
    <xf numFmtId="43" fontId="36" fillId="0" borderId="0" xfId="1" applyFont="1"/>
    <xf numFmtId="43" fontId="32" fillId="0" borderId="0" xfId="1" applyFont="1"/>
    <xf numFmtId="43" fontId="36" fillId="0" borderId="0" xfId="1" applyFont="1" applyFill="1" applyBorder="1" applyAlignment="1">
      <alignment horizontal="right" wrapText="1"/>
    </xf>
    <xf numFmtId="43" fontId="36" fillId="0" borderId="0" xfId="1" applyFont="1" applyFill="1" applyBorder="1" applyAlignment="1">
      <alignment horizontal="center"/>
    </xf>
    <xf numFmtId="0" fontId="189" fillId="0" borderId="189" xfId="16084" applyFont="1" applyFill="1" applyBorder="1"/>
    <xf numFmtId="0" fontId="55" fillId="0" borderId="189" xfId="5916" applyFont="1" applyFill="1" applyBorder="1"/>
    <xf numFmtId="164" fontId="139" fillId="0" borderId="189" xfId="5854" applyNumberFormat="1" applyFont="1" applyFill="1" applyBorder="1"/>
    <xf numFmtId="43" fontId="55" fillId="0" borderId="189" xfId="5854" applyNumberFormat="1" applyFont="1" applyFill="1" applyBorder="1"/>
    <xf numFmtId="164" fontId="55" fillId="0" borderId="189" xfId="5854" applyNumberFormat="1" applyFont="1" applyFill="1" applyBorder="1"/>
    <xf numFmtId="0" fontId="9" fillId="0" borderId="0" xfId="16084" applyFill="1"/>
    <xf numFmtId="164" fontId="140" fillId="0" borderId="189" xfId="5854" applyNumberFormat="1" applyFont="1" applyFill="1" applyBorder="1"/>
    <xf numFmtId="43" fontId="64" fillId="0" borderId="189" xfId="5854" applyNumberFormat="1" applyFont="1" applyFill="1" applyBorder="1"/>
    <xf numFmtId="0" fontId="101" fillId="0" borderId="0" xfId="0" applyFont="1"/>
    <xf numFmtId="3" fontId="101" fillId="11" borderId="193" xfId="57" applyNumberFormat="1" applyFont="1" applyFill="1" applyBorder="1" applyAlignment="1">
      <alignment horizontal="right"/>
    </xf>
    <xf numFmtId="0" fontId="101" fillId="11" borderId="193" xfId="57" applyFont="1" applyFill="1" applyBorder="1"/>
    <xf numFmtId="0" fontId="101" fillId="11" borderId="194" xfId="57" applyFont="1" applyFill="1" applyBorder="1" applyAlignment="1">
      <alignment horizontal="left" vertical="top" wrapText="1"/>
    </xf>
    <xf numFmtId="0" fontId="101" fillId="11" borderId="195" xfId="57" applyFont="1" applyFill="1" applyBorder="1" applyAlignment="1">
      <alignment horizontal="left" vertical="top" indent="2"/>
    </xf>
    <xf numFmtId="0" fontId="101" fillId="11" borderId="196" xfId="57" applyFont="1" applyFill="1" applyBorder="1" applyAlignment="1">
      <alignment horizontal="left" indent="2"/>
    </xf>
    <xf numFmtId="0" fontId="101" fillId="11" borderId="21" xfId="57" applyFont="1" applyFill="1" applyBorder="1" applyAlignment="1">
      <alignment horizontal="left" indent="2"/>
    </xf>
    <xf numFmtId="0" fontId="101" fillId="11" borderId="194" xfId="57" applyFont="1" applyFill="1" applyBorder="1" applyAlignment="1">
      <alignment horizontal="center" vertical="top" wrapText="1"/>
    </xf>
    <xf numFmtId="0" fontId="101" fillId="11" borderId="195" xfId="57" applyFont="1" applyFill="1" applyBorder="1" applyAlignment="1">
      <alignment horizontal="center"/>
    </xf>
    <xf numFmtId="0" fontId="101" fillId="11" borderId="196" xfId="57" applyFont="1" applyFill="1" applyBorder="1" applyAlignment="1">
      <alignment horizontal="center"/>
    </xf>
    <xf numFmtId="0" fontId="101" fillId="11" borderId="21" xfId="57" applyFont="1" applyFill="1" applyBorder="1" applyAlignment="1">
      <alignment horizontal="center"/>
    </xf>
    <xf numFmtId="164" fontId="101" fillId="11" borderId="194" xfId="1" applyNumberFormat="1" applyFont="1" applyFill="1" applyBorder="1" applyAlignment="1">
      <alignment horizontal="center" vertical="top"/>
    </xf>
    <xf numFmtId="0" fontId="101" fillId="11" borderId="195" xfId="57" applyNumberFormat="1" applyFont="1" applyFill="1" applyBorder="1" applyAlignment="1">
      <alignment horizontal="center"/>
    </xf>
    <xf numFmtId="0" fontId="101" fillId="11" borderId="196" xfId="57" applyNumberFormat="1" applyFont="1" applyFill="1" applyBorder="1" applyAlignment="1">
      <alignment horizontal="center"/>
    </xf>
    <xf numFmtId="0" fontId="101" fillId="11" borderId="21" xfId="57" applyNumberFormat="1" applyFont="1" applyFill="1" applyBorder="1" applyAlignment="1">
      <alignment horizontal="center"/>
    </xf>
    <xf numFmtId="0" fontId="101" fillId="11" borderId="194" xfId="57" applyFont="1" applyFill="1" applyBorder="1" applyAlignment="1">
      <alignment horizontal="center" vertical="top"/>
    </xf>
    <xf numFmtId="0" fontId="101" fillId="11" borderId="22" xfId="57" quotePrefix="1" applyFont="1" applyFill="1" applyBorder="1" applyAlignment="1">
      <alignment horizontal="center"/>
    </xf>
    <xf numFmtId="164" fontId="32" fillId="11" borderId="194" xfId="1" applyNumberFormat="1" applyFont="1" applyFill="1" applyBorder="1" applyAlignment="1">
      <alignment vertical="top"/>
    </xf>
    <xf numFmtId="0" fontId="101" fillId="11" borderId="22" xfId="57" applyFont="1" applyFill="1" applyBorder="1" applyAlignment="1">
      <alignment horizontal="right"/>
    </xf>
    <xf numFmtId="3" fontId="101" fillId="11" borderId="194" xfId="57" applyNumberFormat="1" applyFont="1" applyFill="1" applyBorder="1" applyAlignment="1">
      <alignment horizontal="right"/>
    </xf>
    <xf numFmtId="0" fontId="101" fillId="11" borderId="194" xfId="57" applyFont="1" applyFill="1" applyBorder="1" applyAlignment="1">
      <alignment vertical="top" wrapText="1"/>
    </xf>
    <xf numFmtId="0" fontId="101" fillId="11" borderId="194" xfId="57" applyFont="1" applyFill="1" applyBorder="1"/>
    <xf numFmtId="43" fontId="32" fillId="0" borderId="0" xfId="57" applyNumberFormat="1" applyFont="1"/>
    <xf numFmtId="43" fontId="32" fillId="0" borderId="0" xfId="1" applyFont="1" applyBorder="1"/>
    <xf numFmtId="43" fontId="33" fillId="0" borderId="0" xfId="57" applyNumberFormat="1" applyFont="1" applyBorder="1"/>
    <xf numFmtId="43" fontId="96" fillId="0" borderId="0" xfId="57" applyNumberFormat="1" applyFont="1" applyBorder="1"/>
    <xf numFmtId="0" fontId="240" fillId="0" borderId="0" xfId="37" applyFont="1"/>
    <xf numFmtId="0" fontId="142" fillId="0" borderId="0" xfId="57" applyFont="1"/>
    <xf numFmtId="0" fontId="36" fillId="0" borderId="0" xfId="0" quotePrefix="1" applyFont="1" applyBorder="1"/>
    <xf numFmtId="0" fontId="36" fillId="0" borderId="7" xfId="0" quotePrefix="1" applyNumberFormat="1" applyFont="1" applyFill="1" applyBorder="1" applyAlignment="1"/>
    <xf numFmtId="0" fontId="32" fillId="11" borderId="189" xfId="57" applyFont="1" applyFill="1" applyBorder="1" applyAlignment="1">
      <alignment horizontal="left" vertical="top" wrapText="1"/>
    </xf>
    <xf numFmtId="0" fontId="0" fillId="11" borderId="189" xfId="57" applyFont="1" applyFill="1" applyBorder="1" applyAlignment="1">
      <alignment horizontal="left" vertical="top" wrapText="1"/>
    </xf>
    <xf numFmtId="37" fontId="102" fillId="11" borderId="197" xfId="57" applyNumberFormat="1" applyFont="1" applyFill="1" applyBorder="1" applyAlignment="1">
      <alignment vertical="top"/>
    </xf>
    <xf numFmtId="175" fontId="32" fillId="11" borderId="197" xfId="10" applyNumberFormat="1" applyFont="1" applyFill="1" applyBorder="1" applyAlignment="1" applyProtection="1">
      <alignment vertical="top"/>
      <protection locked="0"/>
    </xf>
    <xf numFmtId="0" fontId="0" fillId="0" borderId="0" xfId="57" applyFont="1"/>
    <xf numFmtId="175" fontId="32" fillId="11" borderId="191" xfId="10" applyNumberFormat="1" applyFont="1" applyFill="1" applyBorder="1" applyAlignment="1" applyProtection="1">
      <alignment horizontal="center" vertical="top"/>
      <protection locked="0"/>
    </xf>
    <xf numFmtId="182" fontId="32" fillId="11" borderId="192" xfId="10" applyNumberFormat="1" applyFont="1" applyFill="1" applyBorder="1" applyAlignment="1" applyProtection="1">
      <alignment horizontal="center" vertical="top"/>
      <protection locked="0"/>
    </xf>
    <xf numFmtId="37" fontId="102" fillId="11" borderId="192" xfId="57" applyNumberFormat="1" applyFont="1" applyFill="1" applyBorder="1" applyAlignment="1">
      <alignment vertical="top"/>
    </xf>
    <xf numFmtId="37" fontId="101" fillId="11" borderId="189" xfId="57" applyNumberFormat="1" applyFont="1" applyFill="1" applyBorder="1" applyAlignment="1">
      <alignment vertical="top" wrapText="1"/>
    </xf>
    <xf numFmtId="175" fontId="32" fillId="11" borderId="192" xfId="10" applyNumberFormat="1" applyFont="1" applyFill="1" applyBorder="1" applyAlignment="1" applyProtection="1">
      <alignment vertical="top"/>
      <protection locked="0"/>
    </xf>
    <xf numFmtId="0" fontId="32" fillId="0" borderId="156" xfId="57" applyFont="1" applyFill="1" applyBorder="1" applyAlignment="1">
      <alignment horizontal="center" vertical="top"/>
    </xf>
    <xf numFmtId="0" fontId="64" fillId="0" borderId="167" xfId="11" applyFont="1" applyFill="1" applyBorder="1" applyAlignment="1">
      <alignment horizontal="left" vertical="top"/>
    </xf>
    <xf numFmtId="0" fontId="64" fillId="0" borderId="155" xfId="11" applyFont="1" applyFill="1" applyBorder="1" applyAlignment="1">
      <alignment horizontal="left" vertical="top" wrapText="1"/>
    </xf>
    <xf numFmtId="0" fontId="33" fillId="0" borderId="153" xfId="57" applyFont="1" applyFill="1" applyBorder="1" applyAlignment="1">
      <alignment vertical="top"/>
    </xf>
    <xf numFmtId="0" fontId="33" fillId="0" borderId="155" xfId="57" applyFont="1" applyFill="1" applyBorder="1" applyAlignment="1">
      <alignment vertical="top"/>
    </xf>
    <xf numFmtId="0" fontId="32" fillId="0" borderId="167" xfId="57" applyFont="1" applyFill="1" applyBorder="1" applyAlignment="1">
      <alignment vertical="top"/>
    </xf>
    <xf numFmtId="0" fontId="32" fillId="0" borderId="155" xfId="57" applyFont="1" applyFill="1" applyBorder="1" applyAlignment="1">
      <alignment vertical="top"/>
    </xf>
    <xf numFmtId="37" fontId="32" fillId="0" borderId="153" xfId="57" applyNumberFormat="1" applyFont="1" applyFill="1" applyBorder="1" applyAlignment="1">
      <alignment vertical="top"/>
    </xf>
    <xf numFmtId="37" fontId="32" fillId="0" borderId="153" xfId="57" applyNumberFormat="1" applyFont="1" applyFill="1" applyBorder="1" applyAlignment="1">
      <alignment vertical="top" wrapText="1"/>
    </xf>
    <xf numFmtId="37" fontId="32" fillId="11" borderId="153" xfId="57" applyNumberFormat="1" applyFont="1" applyFill="1" applyBorder="1" applyAlignment="1">
      <alignment vertical="top"/>
    </xf>
    <xf numFmtId="0" fontId="32" fillId="0" borderId="153" xfId="57" applyFont="1" applyFill="1" applyBorder="1" applyAlignment="1">
      <alignment vertical="top" wrapText="1"/>
    </xf>
    <xf numFmtId="0" fontId="33" fillId="0" borderId="170" xfId="57" applyFont="1" applyFill="1" applyBorder="1" applyAlignment="1">
      <alignment vertical="top"/>
    </xf>
    <xf numFmtId="0" fontId="33" fillId="0" borderId="169" xfId="57" applyFont="1" applyFill="1" applyBorder="1" applyAlignment="1">
      <alignment vertical="top"/>
    </xf>
    <xf numFmtId="0" fontId="32" fillId="0" borderId="143" xfId="57" applyFont="1" applyFill="1" applyBorder="1" applyAlignment="1">
      <alignment vertical="top"/>
    </xf>
    <xf numFmtId="0" fontId="32" fillId="0" borderId="169" xfId="57" applyFont="1" applyFill="1" applyBorder="1" applyAlignment="1">
      <alignment vertical="top"/>
    </xf>
    <xf numFmtId="0" fontId="33" fillId="0" borderId="156" xfId="57" applyFont="1" applyFill="1" applyBorder="1" applyAlignment="1">
      <alignment vertical="top"/>
    </xf>
    <xf numFmtId="0" fontId="33" fillId="0" borderId="167" xfId="57" applyFont="1" applyFill="1" applyBorder="1" applyAlignment="1">
      <alignment vertical="top"/>
    </xf>
    <xf numFmtId="0" fontId="33" fillId="11" borderId="156" xfId="11" applyFont="1" applyFill="1" applyBorder="1" applyAlignment="1">
      <alignment horizontal="left" vertical="top"/>
    </xf>
    <xf numFmtId="0" fontId="32" fillId="11" borderId="156" xfId="11" applyFont="1" applyFill="1" applyBorder="1" applyAlignment="1">
      <alignment horizontal="center" vertical="top"/>
    </xf>
    <xf numFmtId="183" fontId="32" fillId="11" borderId="4" xfId="11" applyNumberFormat="1" applyFont="1" applyFill="1" applyBorder="1" applyAlignment="1">
      <alignment horizontal="center" vertical="top"/>
    </xf>
    <xf numFmtId="0" fontId="32" fillId="11" borderId="4" xfId="11" applyFont="1" applyFill="1" applyBorder="1" applyAlignment="1">
      <alignment horizontal="left" vertical="top"/>
    </xf>
    <xf numFmtId="0" fontId="32" fillId="0" borderId="155" xfId="57" applyFont="1" applyFill="1" applyBorder="1" applyAlignment="1">
      <alignment horizontal="left" vertical="top"/>
    </xf>
    <xf numFmtId="0" fontId="33" fillId="0" borderId="21" xfId="57" applyFont="1" applyFill="1" applyBorder="1" applyAlignment="1">
      <alignment vertical="top"/>
    </xf>
    <xf numFmtId="0" fontId="33" fillId="0" borderId="4" xfId="57" applyFont="1" applyFill="1" applyBorder="1" applyAlignment="1">
      <alignment vertical="top"/>
    </xf>
    <xf numFmtId="0" fontId="32" fillId="0" borderId="4" xfId="57" applyFont="1" applyFill="1" applyBorder="1" applyAlignment="1">
      <alignment vertical="top"/>
    </xf>
    <xf numFmtId="0" fontId="32" fillId="0" borderId="19" xfId="57" applyFont="1" applyFill="1" applyBorder="1" applyAlignment="1">
      <alignment vertical="top"/>
    </xf>
    <xf numFmtId="37" fontId="32" fillId="0" borderId="153" xfId="1" applyNumberFormat="1" applyFont="1" applyFill="1" applyBorder="1" applyAlignment="1">
      <alignment horizontal="right" vertical="top"/>
    </xf>
    <xf numFmtId="0" fontId="64" fillId="0" borderId="167" xfId="57" applyFont="1" applyFill="1" applyBorder="1" applyAlignment="1">
      <alignment horizontal="left" vertical="top"/>
    </xf>
    <xf numFmtId="0" fontId="64" fillId="0" borderId="155" xfId="57" applyFont="1" applyFill="1" applyBorder="1" applyAlignment="1">
      <alignment horizontal="left" vertical="top"/>
    </xf>
    <xf numFmtId="0" fontId="64" fillId="0" borderId="153" xfId="57" applyFont="1" applyFill="1" applyBorder="1" applyAlignment="1">
      <alignment vertical="top"/>
    </xf>
    <xf numFmtId="37" fontId="32" fillId="11" borderId="189" xfId="57" applyNumberFormat="1" applyFont="1" applyFill="1" applyBorder="1" applyAlignment="1">
      <alignment vertical="top" wrapText="1"/>
    </xf>
    <xf numFmtId="0" fontId="32" fillId="11" borderId="189" xfId="57" applyFont="1" applyFill="1" applyBorder="1" applyAlignment="1">
      <alignment horizontal="left" vertical="top"/>
    </xf>
    <xf numFmtId="37" fontId="206" fillId="11" borderId="189" xfId="57" applyNumberFormat="1" applyFont="1" applyFill="1" applyBorder="1" applyAlignment="1">
      <alignment vertical="top" wrapText="1"/>
    </xf>
    <xf numFmtId="37" fontId="207" fillId="11" borderId="189" xfId="57" applyNumberFormat="1" applyFont="1" applyFill="1" applyBorder="1" applyAlignment="1">
      <alignment vertical="top" wrapText="1"/>
    </xf>
    <xf numFmtId="175" fontId="32" fillId="0" borderId="167" xfId="10" applyNumberFormat="1" applyFont="1" applyFill="1" applyBorder="1" applyAlignment="1" applyProtection="1">
      <alignment horizontal="left" vertical="top"/>
      <protection locked="0"/>
    </xf>
    <xf numFmtId="175" fontId="32" fillId="0" borderId="155" xfId="10" applyNumberFormat="1" applyFont="1" applyFill="1" applyBorder="1" applyAlignment="1" applyProtection="1">
      <alignment horizontal="left" vertical="top"/>
      <protection locked="0"/>
    </xf>
    <xf numFmtId="0" fontId="102" fillId="0" borderId="153" xfId="57" applyFont="1" applyFill="1" applyBorder="1" applyAlignment="1">
      <alignment vertical="top" wrapText="1"/>
    </xf>
    <xf numFmtId="0" fontId="32" fillId="0" borderId="0" xfId="57" applyFont="1" applyFill="1" applyBorder="1" applyAlignment="1">
      <alignment vertical="top"/>
    </xf>
    <xf numFmtId="0" fontId="32" fillId="0" borderId="17" xfId="57" applyFont="1" applyFill="1" applyBorder="1" applyAlignment="1">
      <alignment vertical="top"/>
    </xf>
    <xf numFmtId="0" fontId="64" fillId="0" borderId="156" xfId="57" applyFont="1" applyFill="1" applyBorder="1" applyAlignment="1">
      <alignment horizontal="left" vertical="top"/>
    </xf>
    <xf numFmtId="0" fontId="32" fillId="0" borderId="156" xfId="57" applyFont="1" applyFill="1" applyBorder="1" applyAlignment="1">
      <alignment vertical="top"/>
    </xf>
    <xf numFmtId="0" fontId="33" fillId="0" borderId="22" xfId="57" applyFont="1" applyFill="1" applyBorder="1" applyAlignment="1">
      <alignment vertical="top"/>
    </xf>
    <xf numFmtId="0" fontId="33" fillId="0" borderId="19" xfId="57" applyFont="1" applyFill="1" applyBorder="1" applyAlignment="1">
      <alignment vertical="top"/>
    </xf>
    <xf numFmtId="0" fontId="33" fillId="0" borderId="20" xfId="57" applyFont="1" applyFill="1" applyBorder="1" applyAlignment="1">
      <alignment vertical="top"/>
    </xf>
    <xf numFmtId="0" fontId="33" fillId="0" borderId="17" xfId="57" applyFont="1" applyFill="1" applyBorder="1" applyAlignment="1">
      <alignment vertical="top"/>
    </xf>
    <xf numFmtId="37" fontId="32" fillId="0" borderId="0" xfId="57" applyNumberFormat="1"/>
    <xf numFmtId="0" fontId="169" fillId="0" borderId="189" xfId="37" applyFont="1" applyFill="1" applyBorder="1" applyAlignment="1" applyProtection="1">
      <alignment horizontal="right" vertical="center" wrapText="1"/>
    </xf>
    <xf numFmtId="180" fontId="187" fillId="0" borderId="189" xfId="37" applyNumberFormat="1" applyFont="1" applyFill="1" applyBorder="1" applyAlignment="1" applyProtection="1">
      <alignment vertical="center" wrapText="1"/>
    </xf>
    <xf numFmtId="0" fontId="169" fillId="0" borderId="189" xfId="37" applyFont="1" applyFill="1" applyBorder="1" applyAlignment="1" applyProtection="1">
      <alignment vertical="center" wrapText="1"/>
    </xf>
    <xf numFmtId="180" fontId="169" fillId="0" borderId="189" xfId="37" applyNumberFormat="1" applyFont="1" applyFill="1" applyBorder="1" applyAlignment="1" applyProtection="1">
      <alignment horizontal="right" vertical="center" wrapText="1"/>
    </xf>
    <xf numFmtId="164" fontId="132" fillId="0" borderId="6" xfId="52845" applyNumberFormat="1" applyFont="1" applyFill="1" applyBorder="1" applyAlignment="1">
      <alignment horizontal="center"/>
    </xf>
    <xf numFmtId="0" fontId="241" fillId="0" borderId="0" xfId="52844" applyFont="1" applyFill="1" applyAlignment="1"/>
    <xf numFmtId="0" fontId="134" fillId="0" borderId="24" xfId="52844" applyFont="1" applyFill="1" applyBorder="1" applyAlignment="1">
      <alignment horizontal="center"/>
    </xf>
    <xf numFmtId="0" fontId="134" fillId="0" borderId="15" xfId="52844" applyFont="1" applyFill="1" applyBorder="1" applyAlignment="1">
      <alignment horizontal="center"/>
    </xf>
    <xf numFmtId="0" fontId="151" fillId="0" borderId="0" xfId="52844" applyFont="1" applyFill="1" applyAlignment="1"/>
    <xf numFmtId="164" fontId="36" fillId="0" borderId="0" xfId="1" applyNumberFormat="1" applyFont="1" applyFill="1" applyBorder="1" applyAlignment="1">
      <alignment horizontal="center" wrapText="1"/>
    </xf>
    <xf numFmtId="164" fontId="36" fillId="0" borderId="0" xfId="1" quotePrefix="1" applyNumberFormat="1" applyFont="1" applyFill="1" applyBorder="1" applyAlignment="1">
      <alignment vertical="top" wrapText="1"/>
    </xf>
    <xf numFmtId="164" fontId="36" fillId="0" borderId="0" xfId="1" applyNumberFormat="1" applyFont="1" applyFill="1" applyBorder="1" applyAlignment="1">
      <alignment wrapText="1"/>
    </xf>
    <xf numFmtId="37" fontId="0" fillId="0" borderId="0" xfId="0" applyNumberFormat="1" applyAlignment="1">
      <alignment vertical="center"/>
    </xf>
    <xf numFmtId="37" fontId="36" fillId="11" borderId="0" xfId="45" applyNumberFormat="1" applyFont="1" applyFill="1"/>
    <xf numFmtId="0" fontId="132" fillId="0" borderId="23" xfId="52844" applyFont="1" applyFill="1" applyBorder="1" applyAlignment="1">
      <alignment horizontal="center"/>
    </xf>
    <xf numFmtId="0" fontId="134" fillId="11" borderId="12" xfId="52844" applyFont="1" applyFill="1" applyBorder="1" applyAlignment="1">
      <alignment horizontal="center" wrapText="1"/>
    </xf>
    <xf numFmtId="0" fontId="134" fillId="11" borderId="7" xfId="52844" applyFont="1" applyFill="1" applyBorder="1" applyAlignment="1">
      <alignment horizontal="center" wrapText="1"/>
    </xf>
    <xf numFmtId="0" fontId="134" fillId="11" borderId="9" xfId="52844" applyFont="1" applyFill="1" applyBorder="1" applyAlignment="1">
      <alignment horizontal="center" wrapText="1"/>
    </xf>
    <xf numFmtId="43" fontId="134" fillId="11" borderId="7" xfId="52845" applyNumberFormat="1" applyFont="1" applyFill="1" applyBorder="1"/>
    <xf numFmtId="43" fontId="134" fillId="11" borderId="1" xfId="52845" applyNumberFormat="1" applyFont="1" applyFill="1" applyBorder="1"/>
    <xf numFmtId="43" fontId="132" fillId="0" borderId="1" xfId="52845" applyNumberFormat="1" applyFont="1" applyFill="1" applyBorder="1"/>
    <xf numFmtId="43" fontId="134" fillId="11" borderId="11" xfId="52845" applyNumberFormat="1" applyFont="1" applyFill="1" applyBorder="1"/>
    <xf numFmtId="43" fontId="134" fillId="11" borderId="12" xfId="52845" applyNumberFormat="1" applyFont="1" applyFill="1" applyBorder="1"/>
    <xf numFmtId="43" fontId="132" fillId="0" borderId="12" xfId="52845" applyFont="1" applyFill="1" applyBorder="1" applyAlignment="1">
      <alignment horizontal="center"/>
    </xf>
    <xf numFmtId="43" fontId="49" fillId="0" borderId="7" xfId="52845" applyFont="1" applyFill="1" applyBorder="1" applyAlignment="1">
      <alignment horizontal="center" wrapText="1"/>
    </xf>
    <xf numFmtId="43" fontId="49" fillId="0" borderId="9" xfId="52845" applyFont="1" applyFill="1" applyBorder="1" applyAlignment="1">
      <alignment horizontal="center" wrapText="1"/>
    </xf>
    <xf numFmtId="164" fontId="132" fillId="0" borderId="7" xfId="52845" applyNumberFormat="1" applyFont="1" applyFill="1" applyBorder="1"/>
    <xf numFmtId="164" fontId="134" fillId="11" borderId="13" xfId="52845" applyNumberFormat="1" applyFont="1" applyFill="1" applyBorder="1" applyAlignment="1">
      <alignment horizontal="center" wrapText="1"/>
    </xf>
    <xf numFmtId="164" fontId="134" fillId="11" borderId="14" xfId="52845" applyNumberFormat="1" applyFont="1" applyFill="1" applyBorder="1" applyAlignment="1">
      <alignment horizontal="center" wrapText="1"/>
    </xf>
    <xf numFmtId="164" fontId="134" fillId="11" borderId="15" xfId="52845" applyNumberFormat="1" applyFont="1" applyFill="1" applyBorder="1" applyAlignment="1">
      <alignment horizontal="center"/>
    </xf>
    <xf numFmtId="164" fontId="134" fillId="11" borderId="13" xfId="52845" applyNumberFormat="1" applyFont="1" applyFill="1" applyBorder="1"/>
    <xf numFmtId="164" fontId="134" fillId="11" borderId="15" xfId="52845" applyNumberFormat="1" applyFont="1" applyFill="1" applyBorder="1"/>
    <xf numFmtId="43" fontId="133" fillId="0" borderId="5" xfId="52845" applyNumberFormat="1" applyFont="1" applyFill="1" applyBorder="1"/>
    <xf numFmtId="164" fontId="133" fillId="0" borderId="6" xfId="52845" applyNumberFormat="1" applyFont="1" applyFill="1" applyBorder="1"/>
    <xf numFmtId="164" fontId="133" fillId="0" borderId="5" xfId="52845" applyNumberFormat="1" applyFont="1" applyFill="1" applyBorder="1"/>
    <xf numFmtId="164" fontId="133" fillId="0" borderId="23" xfId="52846" applyNumberFormat="1" applyFont="1" applyFill="1" applyBorder="1"/>
    <xf numFmtId="164" fontId="132" fillId="0" borderId="0" xfId="52844" applyNumberFormat="1" applyFont="1" applyFill="1"/>
    <xf numFmtId="0" fontId="34" fillId="0" borderId="75" xfId="0" applyFont="1" applyFill="1" applyBorder="1" applyAlignment="1">
      <alignment horizontal="center" vertical="center"/>
    </xf>
    <xf numFmtId="0" fontId="32" fillId="0" borderId="0" xfId="37" applyFont="1" applyFill="1"/>
    <xf numFmtId="0" fontId="81" fillId="0" borderId="0" xfId="37" applyFont="1" applyFill="1" applyBorder="1" applyAlignment="1"/>
    <xf numFmtId="0" fontId="36" fillId="0" borderId="0" xfId="37" applyFont="1" applyFill="1" applyAlignment="1">
      <alignment horizontal="center"/>
    </xf>
    <xf numFmtId="43" fontId="36" fillId="0" borderId="7" xfId="1" applyFont="1" applyFill="1" applyBorder="1" applyAlignment="1"/>
    <xf numFmtId="164" fontId="36" fillId="0" borderId="7" xfId="1" applyNumberFormat="1" applyFont="1" applyFill="1" applyBorder="1" applyAlignment="1"/>
    <xf numFmtId="164" fontId="36" fillId="0" borderId="0" xfId="1" applyNumberFormat="1" applyFont="1" applyFill="1" applyBorder="1" applyAlignment="1"/>
    <xf numFmtId="0" fontId="36" fillId="0" borderId="7" xfId="37" applyFont="1" applyFill="1" applyBorder="1" applyAlignment="1"/>
    <xf numFmtId="43" fontId="36" fillId="0" borderId="7" xfId="37" applyNumberFormat="1" applyFont="1" applyFill="1" applyBorder="1" applyAlignment="1">
      <alignment horizontal="center" wrapText="1"/>
    </xf>
    <xf numFmtId="0" fontId="32" fillId="0" borderId="0" xfId="37" applyFont="1" applyFill="1" applyBorder="1"/>
    <xf numFmtId="43" fontId="32" fillId="0" borderId="0" xfId="1" applyFont="1" applyFill="1" applyBorder="1"/>
    <xf numFmtId="0" fontId="33" fillId="0" borderId="0" xfId="37" applyFont="1" applyFill="1" applyBorder="1"/>
    <xf numFmtId="43" fontId="32" fillId="0" borderId="0" xfId="37" applyNumberFormat="1" applyFont="1" applyFill="1" applyBorder="1"/>
    <xf numFmtId="43" fontId="33" fillId="0" borderId="0" xfId="37" applyNumberFormat="1" applyFont="1" applyFill="1" applyBorder="1"/>
    <xf numFmtId="164" fontId="33" fillId="0" borderId="0" xfId="37" applyNumberFormat="1" applyFont="1" applyFill="1" applyBorder="1"/>
    <xf numFmtId="164" fontId="92" fillId="0" borderId="0" xfId="37" applyNumberFormat="1" applyFont="1" applyFill="1" applyBorder="1"/>
    <xf numFmtId="43" fontId="239" fillId="0" borderId="0" xfId="1" applyFont="1" applyFill="1" applyBorder="1"/>
    <xf numFmtId="0" fontId="11" fillId="0" borderId="0" xfId="5917" applyFill="1" applyBorder="1" applyAlignment="1">
      <alignment horizontal="center" wrapText="1"/>
    </xf>
    <xf numFmtId="164" fontId="32" fillId="0" borderId="0" xfId="1" applyNumberFormat="1" applyFont="1" applyFill="1" applyBorder="1"/>
    <xf numFmtId="43" fontId="92" fillId="0" borderId="0" xfId="37" applyNumberFormat="1" applyFont="1" applyFill="1" applyBorder="1"/>
    <xf numFmtId="37" fontId="101" fillId="11" borderId="4" xfId="57" applyNumberFormat="1" applyFont="1" applyFill="1" applyBorder="1" applyAlignment="1"/>
    <xf numFmtId="0" fontId="142" fillId="0" borderId="0" xfId="57" applyFont="1" applyAlignment="1">
      <alignment horizontal="right"/>
    </xf>
    <xf numFmtId="43" fontId="132" fillId="0" borderId="24" xfId="52845" applyNumberFormat="1" applyFont="1" applyFill="1" applyBorder="1"/>
    <xf numFmtId="43" fontId="132" fillId="0" borderId="5" xfId="52845" applyNumberFormat="1" applyFont="1" applyFill="1" applyBorder="1"/>
    <xf numFmtId="164" fontId="139" fillId="0" borderId="189" xfId="5854" applyNumberFormat="1" applyFont="1" applyBorder="1"/>
    <xf numFmtId="164" fontId="140" fillId="0" borderId="189" xfId="5854" applyNumberFormat="1" applyFont="1" applyBorder="1"/>
    <xf numFmtId="10" fontId="32" fillId="0" borderId="0" xfId="26" applyNumberFormat="1" applyFont="1"/>
    <xf numFmtId="0" fontId="0" fillId="11" borderId="0" xfId="0" applyFill="1"/>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102" fillId="0" borderId="0" xfId="62577" applyFont="1"/>
    <xf numFmtId="37" fontId="33" fillId="0" borderId="0" xfId="57" applyNumberFormat="1" applyFont="1" applyAlignment="1"/>
    <xf numFmtId="37" fontId="99" fillId="0" borderId="0" xfId="57" applyNumberFormat="1" applyFont="1" applyAlignment="1"/>
    <xf numFmtId="0" fontId="139" fillId="0" borderId="0" xfId="62577" applyFont="1"/>
    <xf numFmtId="0" fontId="140" fillId="0" borderId="0" xfId="62577" applyFont="1" applyAlignment="1">
      <alignment horizontal="centerContinuous"/>
    </xf>
    <xf numFmtId="0" fontId="139" fillId="0" borderId="0" xfId="62577" applyFont="1" applyAlignment="1">
      <alignment horizontal="centerContinuous"/>
    </xf>
    <xf numFmtId="0" fontId="2" fillId="0" borderId="0" xfId="62577"/>
    <xf numFmtId="37" fontId="2" fillId="0" borderId="0" xfId="62577" applyNumberFormat="1"/>
    <xf numFmtId="44" fontId="32" fillId="0" borderId="0" xfId="57" applyNumberFormat="1" applyFont="1"/>
    <xf numFmtId="0" fontId="33" fillId="7" borderId="6" xfId="62572" quotePrefix="1" applyFont="1" applyFill="1" applyBorder="1" applyAlignment="1" applyProtection="1">
      <alignment horizontal="center" wrapText="1"/>
      <protection locked="0"/>
    </xf>
    <xf numFmtId="0" fontId="33" fillId="7" borderId="23" xfId="62572" quotePrefix="1" applyFont="1" applyFill="1" applyBorder="1" applyAlignment="1" applyProtection="1">
      <alignment horizontal="center" wrapText="1"/>
      <protection locked="0"/>
    </xf>
    <xf numFmtId="0" fontId="33" fillId="7" borderId="23" xfId="62572" applyFont="1" applyFill="1" applyBorder="1" applyAlignment="1" applyProtection="1">
      <alignment horizontal="center" wrapText="1"/>
      <protection locked="0"/>
    </xf>
    <xf numFmtId="0" fontId="33" fillId="0" borderId="23" xfId="62572" applyFont="1" applyFill="1" applyBorder="1" applyAlignment="1" applyProtection="1">
      <alignment horizontal="center" wrapText="1"/>
      <protection locked="0"/>
    </xf>
    <xf numFmtId="0" fontId="83" fillId="0" borderId="23" xfId="62578" applyFont="1" applyFill="1" applyBorder="1" applyAlignment="1">
      <alignment horizontal="center" wrapText="1"/>
    </xf>
    <xf numFmtId="0" fontId="83" fillId="5" borderId="23" xfId="62578" applyFont="1" applyFill="1" applyBorder="1" applyAlignment="1">
      <alignment horizontal="center" wrapText="1"/>
    </xf>
    <xf numFmtId="0" fontId="33" fillId="7" borderId="23" xfId="62574" quotePrefix="1" applyFont="1" applyFill="1" applyBorder="1" applyAlignment="1" applyProtection="1">
      <alignment horizontal="center" wrapText="1"/>
      <protection locked="0"/>
    </xf>
    <xf numFmtId="0" fontId="102" fillId="11" borderId="22" xfId="57" applyFont="1" applyFill="1" applyBorder="1"/>
    <xf numFmtId="0" fontId="101" fillId="11" borderId="35" xfId="57" applyFont="1" applyFill="1" applyBorder="1"/>
    <xf numFmtId="42" fontId="101" fillId="11" borderId="22" xfId="57" applyNumberFormat="1" applyFont="1" applyFill="1" applyBorder="1" applyAlignment="1">
      <alignment horizontal="right"/>
    </xf>
    <xf numFmtId="42" fontId="102" fillId="0" borderId="35" xfId="62578" applyNumberFormat="1" applyFont="1" applyFill="1" applyBorder="1"/>
    <xf numFmtId="42" fontId="98" fillId="0" borderId="19" xfId="57" applyNumberFormat="1" applyFont="1" applyFill="1" applyBorder="1" applyAlignment="1">
      <alignment horizontal="right"/>
    </xf>
    <xf numFmtId="42" fontId="98" fillId="0" borderId="22" xfId="57" applyNumberFormat="1" applyFont="1" applyFill="1" applyBorder="1" applyAlignment="1">
      <alignment horizontal="right"/>
    </xf>
    <xf numFmtId="42" fontId="98" fillId="0" borderId="35" xfId="57" applyNumberFormat="1" applyFont="1" applyFill="1" applyBorder="1" applyAlignment="1">
      <alignment horizontal="right"/>
    </xf>
    <xf numFmtId="42" fontId="2" fillId="0" borderId="0" xfId="62577" applyNumberFormat="1"/>
    <xf numFmtId="39" fontId="2" fillId="0" borderId="0" xfId="62577" applyNumberFormat="1"/>
    <xf numFmtId="0" fontId="101" fillId="11" borderId="190" xfId="57" applyFont="1" applyFill="1" applyBorder="1"/>
    <xf numFmtId="0" fontId="102" fillId="7" borderId="0" xfId="62577" applyFont="1" applyFill="1"/>
    <xf numFmtId="0" fontId="32" fillId="7" borderId="48" xfId="62579" applyFont="1" applyFill="1" applyBorder="1" applyProtection="1">
      <alignment horizontal="left" vertical="center" indent="1"/>
      <protection locked="0"/>
    </xf>
    <xf numFmtId="0" fontId="32" fillId="7" borderId="1" xfId="62579" applyFont="1" applyFill="1" applyBorder="1" applyProtection="1">
      <alignment horizontal="left" vertical="center" indent="1"/>
      <protection locked="0"/>
    </xf>
    <xf numFmtId="42" fontId="102" fillId="7" borderId="41" xfId="62577" applyNumberFormat="1" applyFont="1" applyFill="1" applyBorder="1"/>
    <xf numFmtId="42" fontId="102" fillId="7" borderId="43" xfId="62577" applyNumberFormat="1" applyFont="1" applyFill="1" applyBorder="1"/>
    <xf numFmtId="42" fontId="102" fillId="7" borderId="42" xfId="62577" applyNumberFormat="1" applyFont="1" applyFill="1" applyBorder="1"/>
    <xf numFmtId="0" fontId="2" fillId="0" borderId="0" xfId="62577" applyFont="1"/>
    <xf numFmtId="42" fontId="0" fillId="0" borderId="0" xfId="62577" applyNumberFormat="1" applyFont="1"/>
    <xf numFmtId="0" fontId="33" fillId="11" borderId="0" xfId="57" applyFont="1" applyFill="1" applyAlignment="1">
      <alignment horizontal="left" vertical="center" wrapText="1"/>
    </xf>
    <xf numFmtId="0" fontId="33" fillId="11" borderId="0" xfId="57" quotePrefix="1" applyFont="1" applyFill="1" applyAlignment="1">
      <alignment horizontal="left" vertical="center" wrapText="1"/>
    </xf>
    <xf numFmtId="0" fontId="32" fillId="11" borderId="0" xfId="57" applyFont="1" applyFill="1" applyAlignment="1">
      <alignment vertical="top"/>
    </xf>
    <xf numFmtId="0" fontId="32" fillId="11" borderId="0" xfId="57" applyFont="1" applyFill="1" applyAlignment="1">
      <alignment horizontal="center" vertical="top" wrapText="1"/>
    </xf>
    <xf numFmtId="0" fontId="32" fillId="0" borderId="0" xfId="57" applyFont="1" applyFill="1" applyAlignment="1">
      <alignment horizontal="center" vertical="top" wrapText="1"/>
    </xf>
    <xf numFmtId="0" fontId="32" fillId="11" borderId="0" xfId="57" applyFont="1" applyFill="1" applyAlignment="1">
      <alignment horizontal="center" vertical="top"/>
    </xf>
    <xf numFmtId="189" fontId="101" fillId="11" borderId="0" xfId="1" applyNumberFormat="1" applyFont="1" applyFill="1" applyAlignment="1" applyProtection="1">
      <alignment vertical="top"/>
    </xf>
    <xf numFmtId="0" fontId="101" fillId="11" borderId="0" xfId="57" applyFont="1" applyFill="1" applyAlignment="1">
      <alignment horizontal="center" vertical="top"/>
    </xf>
    <xf numFmtId="189" fontId="32" fillId="0" borderId="0" xfId="57" applyNumberFormat="1" applyAlignment="1">
      <alignment vertical="top"/>
    </xf>
    <xf numFmtId="0" fontId="33" fillId="11" borderId="0" xfId="57" applyFont="1" applyFill="1" applyAlignment="1">
      <alignment horizontal="left" vertical="top"/>
    </xf>
    <xf numFmtId="0" fontId="147" fillId="11" borderId="0" xfId="12519" applyFont="1" applyFill="1"/>
    <xf numFmtId="0" fontId="64" fillId="0" borderId="156" xfId="57" applyFont="1" applyFill="1" applyBorder="1" applyAlignment="1">
      <alignment horizontal="left"/>
    </xf>
    <xf numFmtId="0" fontId="64" fillId="0" borderId="192" xfId="57" applyFont="1" applyFill="1" applyBorder="1" applyAlignment="1">
      <alignment horizontal="left"/>
    </xf>
    <xf numFmtId="0" fontId="64" fillId="0" borderId="197" xfId="57" applyFont="1" applyFill="1" applyBorder="1" applyAlignment="1">
      <alignment horizontal="left"/>
    </xf>
    <xf numFmtId="0" fontId="64" fillId="0" borderId="153" xfId="57" applyFont="1" applyFill="1" applyBorder="1" applyAlignment="1"/>
    <xf numFmtId="175" fontId="33" fillId="11" borderId="192" xfId="10" applyNumberFormat="1" applyFont="1" applyFill="1" applyBorder="1" applyAlignment="1" applyProtection="1">
      <alignment horizontal="left"/>
      <protection locked="0"/>
    </xf>
    <xf numFmtId="175" fontId="32" fillId="11" borderId="192" xfId="10" applyNumberFormat="1" applyFont="1" applyFill="1" applyBorder="1" applyAlignment="1" applyProtection="1">
      <protection locked="0"/>
    </xf>
    <xf numFmtId="175" fontId="32" fillId="11" borderId="197" xfId="10" applyNumberFormat="1" applyFont="1" applyFill="1" applyBorder="1" applyAlignment="1" applyProtection="1">
      <protection locked="0"/>
    </xf>
    <xf numFmtId="0" fontId="32" fillId="11" borderId="153" xfId="57" applyFont="1" applyFill="1" applyBorder="1" applyAlignment="1">
      <alignment horizontal="left"/>
    </xf>
    <xf numFmtId="0" fontId="0" fillId="11" borderId="153" xfId="57" applyFont="1" applyFill="1" applyBorder="1" applyAlignment="1">
      <alignment horizontal="left" vertical="top" wrapText="1"/>
    </xf>
    <xf numFmtId="0" fontId="102" fillId="11" borderId="153" xfId="57" applyFont="1" applyFill="1" applyBorder="1" applyAlignment="1">
      <alignment horizontal="left" vertical="top" wrapText="1"/>
    </xf>
    <xf numFmtId="0" fontId="33" fillId="11" borderId="197" xfId="11" applyFont="1" applyFill="1" applyBorder="1" applyAlignment="1">
      <alignment horizontal="left" vertical="top"/>
    </xf>
    <xf numFmtId="0" fontId="102" fillId="0" borderId="0" xfId="57" applyFont="1" applyFill="1" applyAlignment="1">
      <alignment vertical="top"/>
    </xf>
    <xf numFmtId="0" fontId="32" fillId="11" borderId="197" xfId="11" applyFont="1" applyFill="1" applyBorder="1" applyAlignment="1">
      <alignment horizontal="left" vertical="top"/>
    </xf>
    <xf numFmtId="175" fontId="32" fillId="11" borderId="156" xfId="10" applyNumberFormat="1" applyFont="1" applyFill="1" applyBorder="1" applyAlignment="1" applyProtection="1">
      <alignment horizontal="center" vertical="top"/>
      <protection locked="0"/>
    </xf>
    <xf numFmtId="37" fontId="206" fillId="11" borderId="153" xfId="57" applyNumberFormat="1" applyFont="1" applyFill="1" applyBorder="1" applyAlignment="1">
      <alignment vertical="top" wrapText="1"/>
    </xf>
    <xf numFmtId="37" fontId="207" fillId="11" borderId="153" xfId="57" applyNumberFormat="1" applyFont="1" applyFill="1" applyBorder="1" applyAlignment="1">
      <alignment vertical="top" wrapText="1"/>
    </xf>
    <xf numFmtId="175" fontId="33"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vertical="top"/>
    </xf>
    <xf numFmtId="175" fontId="32" fillId="0" borderId="192" xfId="10" applyNumberFormat="1" applyFont="1" applyFill="1" applyBorder="1" applyAlignment="1" applyProtection="1">
      <alignment horizontal="left" vertical="top"/>
      <protection locked="0"/>
    </xf>
    <xf numFmtId="175" fontId="32" fillId="0" borderId="197" xfId="10" applyNumberFormat="1" applyFont="1" applyFill="1" applyBorder="1" applyAlignment="1" applyProtection="1">
      <alignment horizontal="left" vertical="top"/>
      <protection locked="0"/>
    </xf>
    <xf numFmtId="0" fontId="33" fillId="0" borderId="192" xfId="57" applyFont="1" applyFill="1" applyBorder="1" applyAlignment="1">
      <alignment vertical="top"/>
    </xf>
    <xf numFmtId="0" fontId="32" fillId="0" borderId="197" xfId="57" applyFont="1" applyFill="1" applyBorder="1" applyAlignment="1">
      <alignment vertical="top"/>
    </xf>
    <xf numFmtId="0" fontId="33" fillId="0" borderId="193" xfId="57" applyFont="1" applyFill="1" applyBorder="1" applyAlignment="1">
      <alignment vertical="top"/>
    </xf>
    <xf numFmtId="0" fontId="55" fillId="0" borderId="0" xfId="57" applyFont="1" applyFill="1" applyBorder="1" applyAlignment="1">
      <alignment horizontal="left" vertical="top" wrapText="1"/>
    </xf>
    <xf numFmtId="0" fontId="64" fillId="0" borderId="0" xfId="57" applyFont="1" applyFill="1" applyBorder="1" applyAlignment="1">
      <alignment vertical="top" wrapText="1"/>
    </xf>
    <xf numFmtId="37" fontId="32" fillId="0" borderId="0" xfId="57" applyNumberFormat="1" applyFont="1" applyFill="1" applyBorder="1" applyAlignment="1">
      <alignment vertical="top" wrapText="1"/>
    </xf>
    <xf numFmtId="37" fontId="32" fillId="0" borderId="0" xfId="57" applyNumberFormat="1" applyFont="1" applyFill="1" applyBorder="1" applyAlignment="1">
      <alignment horizontal="center" vertical="top" wrapText="1"/>
    </xf>
    <xf numFmtId="0" fontId="32" fillId="0" borderId="0" xfId="57" applyFont="1" applyFill="1" applyBorder="1" applyAlignment="1">
      <alignment horizontal="center" vertical="top" wrapText="1"/>
    </xf>
    <xf numFmtId="0" fontId="55" fillId="0" borderId="0" xfId="57" applyFont="1" applyFill="1" applyBorder="1" applyAlignment="1">
      <alignment vertical="top" wrapText="1"/>
    </xf>
    <xf numFmtId="0" fontId="33" fillId="0" borderId="195" xfId="57" applyFont="1" applyFill="1" applyBorder="1" applyAlignment="1">
      <alignment vertical="top"/>
    </xf>
    <xf numFmtId="0" fontId="32" fillId="0" borderId="143" xfId="57" applyFont="1" applyFill="1" applyBorder="1" applyAlignment="1">
      <alignment vertical="top" wrapText="1"/>
    </xf>
    <xf numFmtId="37" fontId="32" fillId="0" borderId="143" xfId="57" applyNumberFormat="1" applyFont="1" applyFill="1" applyBorder="1" applyAlignment="1">
      <alignment vertical="top" wrapText="1"/>
    </xf>
    <xf numFmtId="37" fontId="32" fillId="0" borderId="143" xfId="57" applyNumberFormat="1" applyFont="1" applyFill="1" applyBorder="1" applyAlignment="1">
      <alignment horizontal="center" vertical="top" wrapText="1"/>
    </xf>
    <xf numFmtId="0" fontId="32" fillId="0" borderId="198" xfId="57" applyFont="1" applyFill="1" applyBorder="1" applyAlignment="1">
      <alignment horizontal="center" vertical="top" wrapText="1"/>
    </xf>
    <xf numFmtId="0" fontId="32" fillId="0" borderId="196" xfId="57" applyFont="1" applyFill="1" applyBorder="1" applyAlignment="1">
      <alignment horizontal="left" vertical="top"/>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37" fontId="55" fillId="0" borderId="0" xfId="57" applyNumberFormat="1" applyFont="1" applyFill="1" applyBorder="1" applyAlignment="1">
      <alignment vertical="top" wrapText="1"/>
    </xf>
    <xf numFmtId="0" fontId="32" fillId="0" borderId="17" xfId="57" applyFont="1" applyFill="1" applyBorder="1" applyAlignment="1">
      <alignment horizontal="center" vertical="top" wrapText="1"/>
    </xf>
    <xf numFmtId="0" fontId="105" fillId="0" borderId="0" xfId="57" applyFont="1" applyFill="1" applyBorder="1" applyAlignment="1">
      <alignment horizontal="center" vertical="top" wrapText="1"/>
    </xf>
    <xf numFmtId="0" fontId="51" fillId="0" borderId="0" xfId="57" applyFont="1" applyFill="1" applyBorder="1" applyAlignment="1">
      <alignment horizontal="center" vertical="top" wrapText="1"/>
    </xf>
    <xf numFmtId="0" fontId="33" fillId="0" borderId="0" xfId="57" applyFont="1" applyFill="1" applyBorder="1" applyAlignment="1">
      <alignment horizontal="center" vertical="top" wrapText="1"/>
    </xf>
    <xf numFmtId="0" fontId="43" fillId="0" borderId="0" xfId="57" applyFont="1" applyFill="1" applyBorder="1" applyAlignment="1">
      <alignment vertical="top"/>
    </xf>
    <xf numFmtId="0" fontId="35" fillId="0" borderId="0" xfId="57" applyFont="1" applyFill="1" applyBorder="1" applyAlignment="1">
      <alignment vertical="top" wrapText="1"/>
    </xf>
    <xf numFmtId="0" fontId="102" fillId="0" borderId="0" xfId="57" applyFont="1" applyFill="1" applyBorder="1" applyAlignment="1">
      <alignment vertical="top" wrapText="1"/>
    </xf>
    <xf numFmtId="0" fontId="50" fillId="0" borderId="0" xfId="57" applyFont="1" applyFill="1" applyBorder="1" applyAlignment="1">
      <alignment horizontal="left" vertical="top"/>
    </xf>
    <xf numFmtId="0" fontId="50" fillId="0" borderId="0" xfId="57" applyFont="1" applyFill="1" applyBorder="1" applyAlignment="1">
      <alignment horizontal="center" vertical="top" wrapText="1"/>
    </xf>
    <xf numFmtId="0" fontId="64" fillId="0" borderId="0" xfId="57" applyFont="1" applyFill="1" applyAlignment="1">
      <alignment horizontal="left" vertical="top"/>
    </xf>
    <xf numFmtId="0" fontId="50" fillId="0" borderId="0" xfId="57" applyFont="1" applyFill="1" applyBorder="1" applyAlignment="1">
      <alignment horizontal="center" vertical="top"/>
    </xf>
    <xf numFmtId="0" fontId="102" fillId="0" borderId="0" xfId="57" applyFont="1" applyFill="1" applyBorder="1" applyAlignment="1">
      <alignment horizontal="left" vertical="top"/>
    </xf>
    <xf numFmtId="0" fontId="159" fillId="0" borderId="0" xfId="57" applyFont="1" applyFill="1" applyAlignment="1">
      <alignment horizontal="center" vertical="top" wrapText="1"/>
    </xf>
    <xf numFmtId="0" fontId="101" fillId="0" borderId="0" xfId="57" applyFont="1" applyFill="1" applyAlignment="1">
      <alignment vertical="top"/>
    </xf>
    <xf numFmtId="0" fontId="102" fillId="0" borderId="0" xfId="57" applyFont="1" applyFill="1" applyAlignment="1">
      <alignment vertical="top" wrapText="1"/>
    </xf>
    <xf numFmtId="0" fontId="33" fillId="0" borderId="0" xfId="57" applyFont="1" applyFill="1" applyAlignment="1">
      <alignment horizontal="center" vertical="top" wrapText="1"/>
    </xf>
    <xf numFmtId="0" fontId="33" fillId="0" borderId="0" xfId="57" applyFont="1" applyFill="1" applyBorder="1" applyAlignment="1">
      <alignment vertical="top" wrapText="1"/>
    </xf>
    <xf numFmtId="0" fontId="33" fillId="0" borderId="156" xfId="11" applyFont="1" applyFill="1" applyBorder="1" applyAlignment="1">
      <alignment horizontal="left" vertical="top"/>
    </xf>
    <xf numFmtId="0" fontId="33" fillId="0" borderId="192" xfId="11" applyFont="1" applyFill="1" applyBorder="1" applyAlignment="1">
      <alignment horizontal="left" vertical="top"/>
    </xf>
    <xf numFmtId="0" fontId="33" fillId="0" borderId="192" xfId="11" applyFont="1" applyFill="1" applyBorder="1" applyAlignment="1">
      <alignment horizontal="left" vertical="top" wrapText="1"/>
    </xf>
    <xf numFmtId="0" fontId="33" fillId="0" borderId="153" xfId="11" applyFont="1" applyFill="1" applyBorder="1" applyAlignment="1">
      <alignment vertical="top" wrapText="1"/>
    </xf>
    <xf numFmtId="37" fontId="102" fillId="0" borderId="153" xfId="57" applyNumberFormat="1" applyFont="1" applyFill="1" applyBorder="1" applyAlignment="1">
      <alignment vertical="top" wrapText="1"/>
    </xf>
    <xf numFmtId="0" fontId="33" fillId="0" borderId="153" xfId="57" applyFont="1" applyFill="1" applyBorder="1" applyAlignment="1">
      <alignment vertical="top" wrapText="1"/>
    </xf>
    <xf numFmtId="0" fontId="33" fillId="11" borderId="192" xfId="11" applyFont="1" applyFill="1" applyBorder="1" applyAlignment="1">
      <alignment horizontal="left" vertical="top"/>
    </xf>
    <xf numFmtId="0" fontId="33" fillId="11" borderId="192" xfId="11" applyFont="1" applyFill="1" applyBorder="1" applyAlignment="1">
      <alignment horizontal="left" vertical="top" wrapText="1"/>
    </xf>
    <xf numFmtId="0" fontId="33" fillId="11" borderId="153" xfId="11" applyFont="1" applyFill="1" applyBorder="1" applyAlignment="1">
      <alignment vertical="top" wrapText="1"/>
    </xf>
    <xf numFmtId="37" fontId="32" fillId="11" borderId="153" xfId="57" applyNumberFormat="1" applyFont="1" applyFill="1" applyBorder="1" applyAlignment="1">
      <alignment vertical="top" wrapText="1"/>
    </xf>
    <xf numFmtId="175" fontId="32"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horizontal="center" vertical="top"/>
    </xf>
    <xf numFmtId="0" fontId="32" fillId="0" borderId="197" xfId="57" applyFont="1" applyFill="1" applyBorder="1" applyAlignment="1">
      <alignment horizontal="center" vertical="top"/>
    </xf>
    <xf numFmtId="37" fontId="102" fillId="0" borderId="153" xfId="57" applyNumberFormat="1" applyFont="1" applyFill="1" applyBorder="1" applyAlignment="1">
      <alignment vertical="top"/>
    </xf>
    <xf numFmtId="0" fontId="64" fillId="0" borderId="0" xfId="57" applyFont="1" applyFill="1" applyBorder="1" applyAlignment="1">
      <alignment vertical="top"/>
    </xf>
    <xf numFmtId="0" fontId="32" fillId="0" borderId="0" xfId="57" applyFont="1" applyFill="1" applyBorder="1" applyAlignment="1">
      <alignment horizontal="left" vertical="top"/>
    </xf>
    <xf numFmtId="0" fontId="32" fillId="0" borderId="143" xfId="57" applyFont="1" applyFill="1" applyBorder="1" applyAlignment="1">
      <alignment horizontal="center" vertical="top"/>
    </xf>
    <xf numFmtId="0" fontId="32" fillId="0" borderId="198" xfId="57" applyFont="1" applyFill="1" applyBorder="1" applyAlignment="1">
      <alignment horizontal="center" vertical="top"/>
    </xf>
    <xf numFmtId="0" fontId="32" fillId="0" borderId="0" xfId="57" applyFont="1" applyFill="1" applyBorder="1" applyAlignment="1">
      <alignment horizontal="center" vertical="top"/>
    </xf>
    <xf numFmtId="0" fontId="32" fillId="0" borderId="17" xfId="57" applyFont="1" applyFill="1" applyBorder="1" applyAlignment="1">
      <alignment horizontal="center" vertical="top"/>
    </xf>
    <xf numFmtId="0" fontId="102" fillId="0" borderId="0" xfId="57" applyFont="1" applyFill="1" applyBorder="1" applyAlignment="1">
      <alignment vertical="top"/>
    </xf>
    <xf numFmtId="0" fontId="43" fillId="0" borderId="0" xfId="57" applyFont="1" applyFill="1" applyBorder="1" applyAlignment="1">
      <alignment horizontal="left" vertical="top" wrapText="1"/>
    </xf>
    <xf numFmtId="0" fontId="105" fillId="0" borderId="0" xfId="57" applyFont="1" applyFill="1" applyBorder="1" applyAlignment="1">
      <alignment horizontal="left" vertical="top"/>
    </xf>
    <xf numFmtId="0" fontId="64" fillId="0" borderId="0" xfId="57" applyFont="1" applyFill="1" applyAlignment="1">
      <alignment horizontal="center" vertical="top"/>
    </xf>
    <xf numFmtId="0" fontId="64" fillId="0" borderId="156" xfId="11" applyFont="1" applyFill="1" applyBorder="1" applyAlignment="1">
      <alignment horizontal="left" vertical="top"/>
    </xf>
    <xf numFmtId="0" fontId="64" fillId="0" borderId="192" xfId="11" applyFont="1" applyFill="1" applyBorder="1" applyAlignment="1">
      <alignment horizontal="left" vertical="top"/>
    </xf>
    <xf numFmtId="0" fontId="64" fillId="0" borderId="192" xfId="11" applyFont="1" applyFill="1" applyBorder="1" applyAlignment="1">
      <alignment horizontal="left" vertical="top" wrapText="1"/>
    </xf>
    <xf numFmtId="0" fontId="64" fillId="0" borderId="197" xfId="11" applyFont="1" applyFill="1" applyBorder="1" applyAlignment="1">
      <alignment horizontal="left" vertical="top" wrapText="1"/>
    </xf>
    <xf numFmtId="0" fontId="74" fillId="0" borderId="153" xfId="11" applyFont="1" applyFill="1" applyBorder="1" applyAlignment="1">
      <alignment vertical="top" wrapText="1"/>
    </xf>
    <xf numFmtId="0" fontId="64" fillId="0" borderId="153" xfId="57" applyFont="1" applyFill="1" applyBorder="1" applyAlignment="1">
      <alignment vertical="top" wrapText="1"/>
    </xf>
    <xf numFmtId="0" fontId="33" fillId="0" borderId="197" xfId="57" applyFont="1" applyFill="1" applyBorder="1" applyAlignment="1">
      <alignment vertical="top"/>
    </xf>
    <xf numFmtId="0" fontId="33" fillId="0" borderId="194" xfId="57" applyFont="1" applyFill="1" applyBorder="1" applyAlignment="1">
      <alignment vertical="top"/>
    </xf>
    <xf numFmtId="0" fontId="33" fillId="0" borderId="198" xfId="57" applyFont="1" applyFill="1" applyBorder="1" applyAlignment="1">
      <alignment vertical="top"/>
    </xf>
    <xf numFmtId="0" fontId="32" fillId="0" borderId="198" xfId="57" applyFont="1" applyFill="1" applyBorder="1" applyAlignment="1">
      <alignment vertical="top"/>
    </xf>
    <xf numFmtId="0" fontId="55" fillId="0" borderId="0" xfId="57" applyFont="1" applyFill="1" applyBorder="1" applyAlignment="1">
      <alignment horizontal="left" vertical="top"/>
    </xf>
    <xf numFmtId="38" fontId="32" fillId="0" borderId="0" xfId="57" applyNumberFormat="1" applyFont="1" applyFill="1" applyBorder="1" applyAlignment="1">
      <alignment vertical="top"/>
    </xf>
    <xf numFmtId="38" fontId="32" fillId="0" borderId="0" xfId="57" applyNumberFormat="1" applyFont="1" applyFill="1" applyBorder="1" applyAlignment="1">
      <alignment horizontal="center" vertical="top"/>
    </xf>
    <xf numFmtId="0" fontId="32" fillId="0" borderId="196" xfId="57" applyFont="1" applyFill="1" applyBorder="1" applyAlignment="1">
      <alignment horizontal="left" vertical="top" wrapText="1"/>
    </xf>
    <xf numFmtId="0" fontId="55" fillId="0" borderId="0" xfId="57" applyFont="1" applyFill="1" applyBorder="1" applyAlignment="1">
      <alignment vertical="top"/>
    </xf>
    <xf numFmtId="0" fontId="64" fillId="0" borderId="0" xfId="57" applyFont="1" applyFill="1" applyBorder="1" applyAlignment="1">
      <alignment horizontal="left" vertical="top"/>
    </xf>
    <xf numFmtId="0" fontId="106" fillId="0" borderId="0" xfId="57" applyFont="1" applyFill="1" applyBorder="1" applyAlignment="1">
      <alignment horizontal="center" vertical="top"/>
    </xf>
    <xf numFmtId="0" fontId="55" fillId="0" borderId="0" xfId="57" applyFont="1" applyFill="1" applyBorder="1" applyAlignment="1">
      <alignment horizontal="center" vertical="top"/>
    </xf>
    <xf numFmtId="0" fontId="105" fillId="0" borderId="0" xfId="57" applyFont="1" applyFill="1" applyBorder="1" applyAlignment="1">
      <alignment horizontal="center" vertical="top"/>
    </xf>
    <xf numFmtId="0" fontId="51" fillId="0" borderId="0" xfId="57" applyFont="1" applyFill="1" applyBorder="1" applyAlignment="1">
      <alignment horizontal="center" vertical="top"/>
    </xf>
    <xf numFmtId="0" fontId="50" fillId="0" borderId="0" xfId="57" applyFont="1" applyFill="1" applyBorder="1" applyAlignment="1">
      <alignment vertical="top"/>
    </xf>
    <xf numFmtId="0" fontId="55" fillId="0" borderId="0" xfId="57" applyFont="1" applyFill="1" applyAlignment="1">
      <alignment vertical="top"/>
    </xf>
    <xf numFmtId="0" fontId="64" fillId="0" borderId="197" xfId="11" applyFont="1" applyFill="1" applyBorder="1" applyAlignment="1">
      <alignment horizontal="left" vertical="top"/>
    </xf>
    <xf numFmtId="38" fontId="32" fillId="0" borderId="153" xfId="57" applyNumberFormat="1" applyFont="1" applyFill="1" applyBorder="1" applyAlignment="1">
      <alignment vertical="top"/>
    </xf>
    <xf numFmtId="0" fontId="1" fillId="0" borderId="0" xfId="62582" applyAlignment="1">
      <alignment vertical="top"/>
    </xf>
    <xf numFmtId="183" fontId="32" fillId="11" borderId="192" xfId="11" applyNumberFormat="1" applyFont="1" applyFill="1" applyBorder="1" applyAlignment="1">
      <alignment horizontal="center" vertical="top"/>
    </xf>
    <xf numFmtId="0" fontId="32" fillId="11" borderId="192" xfId="11" applyFont="1" applyFill="1" applyBorder="1" applyAlignment="1">
      <alignment horizontal="left" vertical="top"/>
    </xf>
    <xf numFmtId="0" fontId="32" fillId="0" borderId="197" xfId="57" applyFont="1" applyFill="1" applyBorder="1" applyAlignment="1">
      <alignment horizontal="left" vertical="top"/>
    </xf>
    <xf numFmtId="0" fontId="33" fillId="0" borderId="0" xfId="57" applyFont="1" applyFill="1" applyBorder="1" applyAlignment="1">
      <alignment vertical="top"/>
    </xf>
    <xf numFmtId="37" fontId="32" fillId="0" borderId="0" xfId="57" applyNumberFormat="1" applyFont="1" applyFill="1" applyBorder="1" applyAlignment="1">
      <alignment vertical="top"/>
    </xf>
    <xf numFmtId="0" fontId="32" fillId="0" borderId="196" xfId="57" applyFont="1" applyFill="1" applyBorder="1" applyAlignment="1">
      <alignment vertical="top" wrapText="1"/>
    </xf>
    <xf numFmtId="0" fontId="32" fillId="0" borderId="17" xfId="57" applyFont="1" applyFill="1" applyBorder="1" applyAlignment="1">
      <alignment vertical="top" wrapText="1"/>
    </xf>
    <xf numFmtId="0" fontId="107" fillId="0" borderId="0" xfId="57" applyFont="1" applyFill="1" applyBorder="1" applyAlignment="1">
      <alignment vertical="top" wrapText="1"/>
    </xf>
    <xf numFmtId="0" fontId="32" fillId="0" borderId="0" xfId="57" applyFill="1" applyBorder="1" applyAlignment="1">
      <alignment vertical="top"/>
    </xf>
    <xf numFmtId="0" fontId="0" fillId="0" borderId="22" xfId="0" applyBorder="1" applyAlignment="1">
      <alignment horizontal="left"/>
    </xf>
    <xf numFmtId="0" fontId="147" fillId="0" borderId="0" xfId="52847" applyFont="1" applyFill="1"/>
    <xf numFmtId="43" fontId="132" fillId="0" borderId="0" xfId="52845" applyFont="1" applyBorder="1" applyAlignment="1"/>
    <xf numFmtId="164" fontId="132" fillId="0" borderId="7" xfId="52845" applyNumberFormat="1" applyFont="1" applyFill="1" applyBorder="1" applyAlignment="1">
      <alignment horizontal="center"/>
    </xf>
    <xf numFmtId="0" fontId="132" fillId="0" borderId="14" xfId="52844" applyFont="1" applyFill="1" applyBorder="1"/>
    <xf numFmtId="43" fontId="134" fillId="11" borderId="10" xfId="52845" applyFont="1" applyFill="1" applyBorder="1"/>
    <xf numFmtId="43" fontId="134" fillId="11" borderId="11" xfId="52845" applyFont="1" applyFill="1" applyBorder="1"/>
    <xf numFmtId="43" fontId="134" fillId="11" borderId="12" xfId="52845" applyFont="1" applyFill="1" applyBorder="1"/>
    <xf numFmtId="43" fontId="134" fillId="11" borderId="7" xfId="52845" applyFont="1" applyFill="1" applyBorder="1"/>
    <xf numFmtId="43" fontId="134" fillId="11" borderId="9" xfId="52845" applyFont="1" applyFill="1" applyBorder="1"/>
    <xf numFmtId="186" fontId="132" fillId="0" borderId="14" xfId="52845" applyNumberFormat="1" applyFont="1" applyFill="1" applyBorder="1"/>
    <xf numFmtId="186" fontId="132" fillId="0" borderId="15" xfId="52845" applyNumberFormat="1" applyFont="1" applyFill="1" applyBorder="1"/>
    <xf numFmtId="43" fontId="132" fillId="0" borderId="23" xfId="52845" applyNumberFormat="1" applyFont="1" applyFill="1" applyBorder="1"/>
    <xf numFmtId="0" fontId="134" fillId="11" borderId="10" xfId="698" applyFont="1" applyFill="1" applyBorder="1" applyAlignment="1">
      <alignment horizontal="center" wrapText="1"/>
    </xf>
    <xf numFmtId="0" fontId="134" fillId="11" borderId="11" xfId="698" applyFont="1" applyFill="1" applyBorder="1" applyAlignment="1">
      <alignment horizontal="center" wrapText="1"/>
    </xf>
    <xf numFmtId="0" fontId="134" fillId="11" borderId="8" xfId="698" applyFont="1" applyFill="1" applyBorder="1" applyAlignment="1">
      <alignment horizontal="center" wrapText="1"/>
    </xf>
    <xf numFmtId="0" fontId="134" fillId="11" borderId="0" xfId="698" applyFont="1" applyFill="1" applyBorder="1" applyAlignment="1">
      <alignment horizontal="center" wrapText="1"/>
    </xf>
    <xf numFmtId="164" fontId="134" fillId="11" borderId="10" xfId="52845" applyNumberFormat="1" applyFont="1" applyFill="1" applyBorder="1"/>
    <xf numFmtId="164" fontId="134" fillId="11" borderId="11" xfId="52845" applyNumberFormat="1" applyFont="1" applyFill="1" applyBorder="1"/>
    <xf numFmtId="164" fontId="134" fillId="11" borderId="12" xfId="52845" applyNumberFormat="1" applyFont="1" applyFill="1" applyBorder="1"/>
    <xf numFmtId="164" fontId="134" fillId="11" borderId="10" xfId="52846" applyNumberFormat="1" applyFont="1" applyFill="1" applyBorder="1"/>
    <xf numFmtId="164" fontId="134" fillId="11" borderId="11" xfId="52846" applyNumberFormat="1" applyFont="1" applyFill="1" applyBorder="1"/>
    <xf numFmtId="164" fontId="134" fillId="11" borderId="12" xfId="52846" applyNumberFormat="1" applyFont="1" applyFill="1" applyBorder="1"/>
    <xf numFmtId="164" fontId="134" fillId="11" borderId="7" xfId="52846" applyNumberFormat="1" applyFont="1" applyFill="1" applyBorder="1"/>
    <xf numFmtId="164" fontId="134" fillId="11" borderId="24" xfId="52846" applyNumberFormat="1" applyFont="1" applyFill="1" applyBorder="1"/>
    <xf numFmtId="164" fontId="134" fillId="11" borderId="1" xfId="52846" applyNumberFormat="1" applyFont="1" applyFill="1" applyBorder="1"/>
    <xf numFmtId="164" fontId="134" fillId="11" borderId="9" xfId="52846" applyNumberFormat="1" applyFont="1" applyFill="1" applyBorder="1"/>
    <xf numFmtId="164" fontId="134" fillId="11" borderId="9" xfId="52846" applyNumberFormat="1" applyFont="1" applyFill="1" applyBorder="1" applyAlignment="1">
      <alignment horizontal="center" vertical="center"/>
    </xf>
    <xf numFmtId="37" fontId="101" fillId="11" borderId="194" xfId="8059" applyNumberFormat="1" applyFont="1" applyFill="1" applyBorder="1" applyAlignment="1">
      <alignment horizontal="right"/>
    </xf>
    <xf numFmtId="37" fontId="101" fillId="11" borderId="193" xfId="8059" applyNumberFormat="1" applyFont="1" applyFill="1" applyBorder="1" applyAlignment="1">
      <alignment horizontal="right"/>
    </xf>
    <xf numFmtId="0" fontId="33" fillId="0" borderId="0" xfId="8059" applyFont="1" applyFill="1"/>
    <xf numFmtId="0" fontId="245" fillId="0" borderId="0" xfId="8059" applyFont="1"/>
    <xf numFmtId="0" fontId="11" fillId="0" borderId="0" xfId="8059" applyFill="1"/>
    <xf numFmtId="0" fontId="51" fillId="0" borderId="0" xfId="37" applyFont="1" applyFill="1" applyBorder="1" applyAlignment="1"/>
    <xf numFmtId="0" fontId="244" fillId="0" borderId="0" xfId="0" applyFont="1" applyFill="1"/>
    <xf numFmtId="38" fontId="36" fillId="0" borderId="0" xfId="0" applyNumberFormat="1" applyFont="1" applyFill="1" applyAlignment="1">
      <alignment horizontal="center"/>
    </xf>
    <xf numFmtId="38" fontId="36" fillId="0" borderId="4" xfId="0" applyNumberFormat="1" applyFont="1" applyBorder="1" applyAlignment="1"/>
    <xf numFmtId="38" fontId="32" fillId="0" borderId="0" xfId="57" applyNumberFormat="1" applyFont="1"/>
    <xf numFmtId="38" fontId="32" fillId="0" borderId="0" xfId="0" applyNumberFormat="1" applyFont="1" applyFill="1"/>
    <xf numFmtId="164" fontId="101" fillId="0" borderId="107" xfId="1" applyNumberFormat="1" applyFont="1" applyFill="1" applyBorder="1" applyAlignment="1">
      <alignment vertical="top"/>
    </xf>
    <xf numFmtId="164" fontId="101" fillId="0" borderId="124" xfId="1" applyNumberFormat="1" applyFont="1" applyFill="1" applyBorder="1" applyAlignment="1">
      <alignment vertical="top"/>
    </xf>
    <xf numFmtId="0" fontId="101" fillId="0" borderId="124" xfId="57" applyFont="1" applyFill="1" applyBorder="1"/>
    <xf numFmtId="0" fontId="34" fillId="0" borderId="0" xfId="0" applyFont="1" applyAlignment="1">
      <alignment horizontal="centerContinuous"/>
    </xf>
    <xf numFmtId="0" fontId="34" fillId="0" borderId="0" xfId="8" applyFont="1" applyFill="1" applyAlignment="1">
      <alignment horizontal="centerContinuous"/>
    </xf>
    <xf numFmtId="0" fontId="34" fillId="0" borderId="0" xfId="8" applyFont="1" applyAlignment="1">
      <alignment horizontal="centerContinuous"/>
    </xf>
    <xf numFmtId="0" fontId="36" fillId="0" borderId="0" xfId="57" applyFont="1" applyAlignment="1">
      <alignment horizontal="centerContinuous"/>
    </xf>
    <xf numFmtId="0" fontId="34" fillId="0" borderId="0" xfId="57" applyFont="1" applyAlignment="1">
      <alignment horizontal="centerContinuous" vertical="justify"/>
    </xf>
    <xf numFmtId="0" fontId="102" fillId="11" borderId="25" xfId="57" applyFont="1" applyFill="1" applyBorder="1" applyAlignment="1">
      <alignment horizontal="center"/>
    </xf>
    <xf numFmtId="0" fontId="102" fillId="11" borderId="22" xfId="57" applyFont="1" applyFill="1" applyBorder="1" applyAlignment="1">
      <alignment horizontal="center"/>
    </xf>
    <xf numFmtId="0" fontId="102" fillId="11" borderId="188" xfId="57" applyFont="1" applyFill="1" applyBorder="1" applyAlignment="1">
      <alignment horizontal="center"/>
    </xf>
    <xf numFmtId="0" fontId="102" fillId="11" borderId="189" xfId="57" applyFont="1" applyFill="1" applyBorder="1" applyAlignment="1">
      <alignment horizontal="center"/>
    </xf>
    <xf numFmtId="0" fontId="102" fillId="11" borderId="48" xfId="57" applyFont="1" applyFill="1" applyBorder="1" applyAlignment="1">
      <alignment horizontal="center"/>
    </xf>
    <xf numFmtId="0" fontId="102" fillId="11" borderId="65" xfId="57" applyFont="1" applyFill="1" applyBorder="1" applyAlignment="1">
      <alignment horizontal="center"/>
    </xf>
    <xf numFmtId="9" fontId="32" fillId="11" borderId="0" xfId="57" applyNumberFormat="1" applyFont="1" applyFill="1" applyAlignment="1">
      <alignment vertical="center"/>
    </xf>
    <xf numFmtId="0" fontId="33" fillId="11" borderId="0" xfId="57" applyFont="1" applyFill="1" applyAlignment="1">
      <alignment horizontal="left" vertical="top" wrapText="1"/>
    </xf>
    <xf numFmtId="0" fontId="32" fillId="0" borderId="0" xfId="57" applyFont="1" applyFill="1" applyBorder="1" applyAlignment="1">
      <alignment horizontal="left" wrapText="1"/>
    </xf>
    <xf numFmtId="182" fontId="32" fillId="11" borderId="192" xfId="10" applyNumberFormat="1" applyFont="1" applyFill="1" applyBorder="1" applyAlignment="1" applyProtection="1">
      <alignment horizontal="center"/>
      <protection locked="0"/>
    </xf>
    <xf numFmtId="175" fontId="0" fillId="11" borderId="192" xfId="10" applyNumberFormat="1" applyFont="1" applyFill="1" applyBorder="1" applyAlignment="1" applyProtection="1">
      <protection locked="0"/>
    </xf>
    <xf numFmtId="37" fontId="102" fillId="11" borderId="192" xfId="57" applyNumberFormat="1" applyFont="1" applyFill="1" applyBorder="1" applyAlignment="1"/>
    <xf numFmtId="175" fontId="0" fillId="11" borderId="192" xfId="10" applyNumberFormat="1" applyFont="1" applyFill="1" applyBorder="1" applyAlignment="1" applyProtection="1">
      <alignment horizontal="left"/>
      <protection locked="0"/>
    </xf>
    <xf numFmtId="182" fontId="32" fillId="11" borderId="192" xfId="10" applyNumberFormat="1" applyFont="1" applyFill="1" applyBorder="1" applyAlignment="1" applyProtection="1">
      <alignment horizontal="left"/>
      <protection locked="0"/>
    </xf>
    <xf numFmtId="175" fontId="32" fillId="11" borderId="192" xfId="10" quotePrefix="1" applyNumberFormat="1" applyFont="1" applyFill="1" applyBorder="1" applyAlignment="1" applyProtection="1">
      <alignment horizontal="center"/>
      <protection locked="0"/>
    </xf>
    <xf numFmtId="38" fontId="32" fillId="11" borderId="153" xfId="57" applyNumberFormat="1" applyFont="1" applyFill="1" applyBorder="1" applyAlignment="1"/>
    <xf numFmtId="37" fontId="101" fillId="11" borderId="153" xfId="1" applyNumberFormat="1" applyFont="1" applyFill="1" applyBorder="1" applyAlignment="1">
      <alignment horizontal="right"/>
    </xf>
    <xf numFmtId="37" fontId="32" fillId="11" borderId="153" xfId="57" applyNumberFormat="1" applyFont="1" applyFill="1" applyBorder="1" applyAlignment="1"/>
    <xf numFmtId="182" fontId="0" fillId="11" borderId="192" xfId="10" applyNumberFormat="1" applyFont="1" applyFill="1" applyBorder="1" applyAlignment="1" applyProtection="1">
      <alignment horizontal="center"/>
      <protection locked="0"/>
    </xf>
    <xf numFmtId="0" fontId="36" fillId="0" borderId="0" xfId="1" applyNumberFormat="1" applyFont="1"/>
    <xf numFmtId="37" fontId="101" fillId="0" borderId="36" xfId="0" applyNumberFormat="1" applyFont="1" applyFill="1" applyBorder="1" applyAlignment="1">
      <alignment vertical="top"/>
    </xf>
    <xf numFmtId="0" fontId="134" fillId="11" borderId="10" xfId="52844" applyFont="1" applyFill="1" applyBorder="1" applyAlignment="1">
      <alignment horizontal="center"/>
    </xf>
    <xf numFmtId="0" fontId="134" fillId="11" borderId="13" xfId="52844" applyFont="1" applyFill="1" applyBorder="1" applyAlignment="1">
      <alignment horizontal="center"/>
    </xf>
    <xf numFmtId="43" fontId="132" fillId="0" borderId="32" xfId="52845" applyNumberFormat="1" applyFont="1" applyFill="1" applyBorder="1"/>
    <xf numFmtId="164" fontId="132" fillId="0" borderId="14" xfId="52845" applyNumberFormat="1" applyFont="1" applyFill="1" applyBorder="1" applyAlignment="1">
      <alignment horizontal="center" wrapText="1"/>
    </xf>
    <xf numFmtId="0" fontId="156" fillId="11" borderId="0" xfId="0" applyNumberFormat="1" applyFont="1" applyFill="1" applyBorder="1" applyAlignment="1">
      <alignment horizontal="left"/>
    </xf>
    <xf numFmtId="0" fontId="142" fillId="11" borderId="0" xfId="0" applyNumberFormat="1" applyFont="1" applyFill="1" applyBorder="1" applyAlignment="1">
      <alignment horizontal="left"/>
    </xf>
    <xf numFmtId="37" fontId="142" fillId="11" borderId="7" xfId="0" applyNumberFormat="1" applyFont="1" applyFill="1" applyBorder="1" applyAlignment="1">
      <alignment horizontal="right"/>
    </xf>
    <xf numFmtId="37" fontId="142" fillId="11" borderId="8" xfId="0" applyNumberFormat="1" applyFont="1" applyFill="1" applyBorder="1" applyAlignment="1">
      <alignment horizontal="right"/>
    </xf>
    <xf numFmtId="0" fontId="158" fillId="0" borderId="0" xfId="8059" applyFont="1"/>
    <xf numFmtId="180" fontId="169" fillId="39" borderId="153" xfId="37" applyNumberFormat="1" applyFont="1" applyFill="1" applyBorder="1" applyAlignment="1" applyProtection="1">
      <alignment horizontal="right" vertical="center" wrapText="1"/>
    </xf>
    <xf numFmtId="10" fontId="101" fillId="0" borderId="36" xfId="13" applyNumberFormat="1" applyFont="1" applyFill="1" applyBorder="1" applyAlignment="1">
      <alignment vertical="top"/>
    </xf>
    <xf numFmtId="0" fontId="144" fillId="37" borderId="78" xfId="0" applyFont="1" applyFill="1" applyBorder="1" applyAlignment="1"/>
    <xf numFmtId="0" fontId="110" fillId="0" borderId="0" xfId="0" applyFont="1" applyFill="1" applyAlignment="1">
      <alignment horizontal="left" wrapText="1"/>
    </xf>
    <xf numFmtId="0" fontId="34" fillId="40" borderId="13" xfId="0" applyNumberFormat="1" applyFont="1" applyFill="1" applyBorder="1" applyAlignment="1">
      <alignment horizontal="center" vertical="center"/>
    </xf>
    <xf numFmtId="0" fontId="0" fillId="40" borderId="15" xfId="0" applyFill="1" applyBorder="1" applyAlignment="1">
      <alignment horizontal="center"/>
    </xf>
    <xf numFmtId="0" fontId="34"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5" xfId="0" applyFill="1" applyBorder="1" applyAlignment="1"/>
    <xf numFmtId="0" fontId="0" fillId="40" borderId="9" xfId="0" applyFill="1" applyBorder="1" applyAlignment="1"/>
    <xf numFmtId="0" fontId="48" fillId="0" borderId="0" xfId="0" quotePrefix="1" applyFont="1" applyFill="1" applyBorder="1" applyAlignment="1">
      <alignment horizontal="left" vertical="top"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21" xfId="57" applyFont="1" applyFill="1" applyBorder="1" applyAlignment="1">
      <alignment horizontal="left" wrapText="1"/>
    </xf>
    <xf numFmtId="0" fontId="32" fillId="0" borderId="4" xfId="57" applyFont="1" applyFill="1" applyBorder="1" applyAlignment="1">
      <alignment horizontal="left" wrapText="1"/>
    </xf>
    <xf numFmtId="0" fontId="32" fillId="0" borderId="19" xfId="57" applyFont="1" applyFill="1" applyBorder="1" applyAlignment="1">
      <alignment horizontal="left" wrapText="1"/>
    </xf>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32" fillId="0" borderId="156" xfId="57" applyFont="1" applyFill="1" applyBorder="1" applyAlignment="1">
      <alignment horizontal="left" vertical="top"/>
    </xf>
    <xf numFmtId="0" fontId="32" fillId="0" borderId="167" xfId="57" applyFont="1" applyFill="1" applyBorder="1" applyAlignment="1">
      <alignment horizontal="left" vertical="top"/>
    </xf>
    <xf numFmtId="0" fontId="0" fillId="0" borderId="21" xfId="57" applyFont="1" applyFill="1" applyBorder="1" applyAlignment="1">
      <alignment horizontal="left" vertical="top" wrapText="1"/>
    </xf>
    <xf numFmtId="0" fontId="32" fillId="0" borderId="4" xfId="57" applyFont="1" applyFill="1" applyBorder="1" applyAlignment="1">
      <alignment horizontal="left" vertical="top" wrapText="1"/>
    </xf>
    <xf numFmtId="0" fontId="32" fillId="0" borderId="19" xfId="57" applyFont="1" applyFill="1" applyBorder="1" applyAlignment="1">
      <alignment horizontal="left" vertical="top" wrapText="1"/>
    </xf>
    <xf numFmtId="0" fontId="32" fillId="0" borderId="21" xfId="57" applyFont="1" applyFill="1" applyBorder="1" applyAlignment="1">
      <alignment horizontal="left" vertical="top" wrapText="1"/>
    </xf>
    <xf numFmtId="0" fontId="32" fillId="0" borderId="196" xfId="57" applyFont="1" applyFill="1" applyBorder="1" applyAlignment="1">
      <alignment horizontal="left" vertical="top" wrapText="1"/>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0" fontId="32" fillId="0" borderId="192" xfId="57" applyFont="1" applyFill="1" applyBorder="1" applyAlignment="1">
      <alignment horizontal="left" vertical="top"/>
    </xf>
    <xf numFmtId="0" fontId="32" fillId="0" borderId="0" xfId="57" applyFont="1" applyBorder="1" applyAlignment="1">
      <alignment horizontal="center"/>
    </xf>
    <xf numFmtId="0" fontId="91" fillId="0" borderId="0" xfId="57" applyFont="1" applyFill="1" applyAlignment="1">
      <alignment horizontal="center"/>
    </xf>
    <xf numFmtId="0" fontId="144" fillId="37" borderId="78" xfId="37" applyFont="1" applyFill="1" applyBorder="1" applyAlignment="1"/>
    <xf numFmtId="0" fontId="144" fillId="37" borderId="79" xfId="37" applyFont="1" applyFill="1" applyBorder="1" applyAlignment="1"/>
    <xf numFmtId="0" fontId="144" fillId="37" borderId="80" xfId="37" applyFont="1" applyFill="1" applyBorder="1" applyAlignment="1"/>
    <xf numFmtId="0" fontId="144" fillId="37" borderId="78" xfId="0" applyFont="1" applyFill="1" applyBorder="1" applyAlignment="1">
      <alignment horizontal="left"/>
    </xf>
    <xf numFmtId="0" fontId="144" fillId="37" borderId="79" xfId="0" applyFont="1" applyFill="1" applyBorder="1" applyAlignment="1">
      <alignment horizontal="left"/>
    </xf>
    <xf numFmtId="0" fontId="144" fillId="37" borderId="80" xfId="0" applyFont="1" applyFill="1" applyBorder="1" applyAlignment="1">
      <alignment horizontal="left"/>
    </xf>
    <xf numFmtId="0" fontId="36" fillId="0" borderId="1" xfId="0" applyFont="1" applyFill="1" applyBorder="1" applyAlignment="1">
      <alignment horizontal="left" wrapText="1"/>
    </xf>
    <xf numFmtId="0" fontId="36" fillId="0" borderId="9" xfId="0" applyFont="1" applyFill="1" applyBorder="1" applyAlignment="1">
      <alignment horizontal="left" wrapText="1"/>
    </xf>
    <xf numFmtId="0" fontId="144" fillId="37" borderId="79" xfId="0" applyFont="1" applyFill="1" applyBorder="1" applyAlignment="1">
      <alignment wrapText="1"/>
    </xf>
    <xf numFmtId="0" fontId="144" fillId="37" borderId="80" xfId="0" applyFont="1" applyFill="1" applyBorder="1" applyAlignment="1">
      <alignment wrapText="1"/>
    </xf>
    <xf numFmtId="0" fontId="32" fillId="0" borderId="0" xfId="37" applyFont="1" applyFill="1" applyBorder="1" applyAlignment="1">
      <alignment horizontal="center"/>
    </xf>
    <xf numFmtId="0" fontId="144" fillId="37" borderId="78" xfId="0" applyFont="1" applyFill="1" applyBorder="1" applyAlignment="1"/>
    <xf numFmtId="0" fontId="144" fillId="37" borderId="79" xfId="0" applyFont="1" applyFill="1" applyBorder="1" applyAlignment="1"/>
    <xf numFmtId="0" fontId="144" fillId="37" borderId="80" xfId="0" applyFont="1" applyFill="1" applyBorder="1" applyAlignment="1"/>
    <xf numFmtId="0" fontId="56" fillId="11" borderId="6" xfId="0" applyFont="1" applyFill="1" applyBorder="1" applyAlignment="1">
      <alignment horizontal="center" wrapText="1"/>
    </xf>
    <xf numFmtId="0" fontId="56" fillId="11" borderId="5" xfId="0" applyFont="1" applyFill="1" applyBorder="1" applyAlignment="1">
      <alignment horizontal="center"/>
    </xf>
    <xf numFmtId="0" fontId="56" fillId="11" borderId="5" xfId="0" applyFont="1" applyFill="1" applyBorder="1" applyAlignment="1">
      <alignment horizontal="center" wrapText="1"/>
    </xf>
    <xf numFmtId="0" fontId="56" fillId="11" borderId="32" xfId="0" applyFont="1" applyFill="1" applyBorder="1" applyAlignment="1">
      <alignment horizontal="center" wrapText="1"/>
    </xf>
    <xf numFmtId="0" fontId="56" fillId="11" borderId="6" xfId="0" applyFont="1" applyFill="1" applyBorder="1" applyAlignment="1">
      <alignment horizontal="center"/>
    </xf>
    <xf numFmtId="0" fontId="32" fillId="0" borderId="0" xfId="26" applyFont="1" applyAlignment="1">
      <alignment wrapText="1"/>
    </xf>
    <xf numFmtId="0" fontId="33" fillId="0" borderId="10" xfId="26" applyFont="1" applyBorder="1" applyAlignment="1">
      <alignment horizontal="center"/>
    </xf>
    <xf numFmtId="0" fontId="33" fillId="0" borderId="63" xfId="26" applyFont="1" applyBorder="1" applyAlignment="1">
      <alignment horizontal="center"/>
    </xf>
    <xf numFmtId="0" fontId="33" fillId="0" borderId="0" xfId="26" applyFont="1"/>
    <xf numFmtId="0" fontId="32" fillId="0" borderId="0" xfId="26" applyFont="1" applyAlignment="1"/>
    <xf numFmtId="0" fontId="33" fillId="0" borderId="6" xfId="26" applyFont="1" applyBorder="1" applyAlignment="1">
      <alignment horizontal="center"/>
    </xf>
    <xf numFmtId="0" fontId="33" fillId="0" borderId="32" xfId="26" applyFont="1" applyBorder="1" applyAlignment="1">
      <alignment horizontal="center"/>
    </xf>
    <xf numFmtId="164" fontId="133" fillId="0" borderId="13" xfId="52845" applyNumberFormat="1" applyFont="1" applyFill="1" applyBorder="1" applyAlignment="1">
      <alignment horizontal="center" wrapText="1"/>
    </xf>
    <xf numFmtId="164" fontId="133" fillId="0" borderId="15" xfId="52845" applyNumberFormat="1" applyFont="1" applyFill="1" applyBorder="1" applyAlignment="1">
      <alignment horizontal="center" wrapText="1"/>
    </xf>
    <xf numFmtId="0" fontId="133" fillId="0" borderId="0" xfId="52844" applyFont="1" applyFill="1" applyAlignment="1">
      <alignment horizontal="center"/>
    </xf>
    <xf numFmtId="164" fontId="132" fillId="0" borderId="6" xfId="52845" applyNumberFormat="1" applyFont="1" applyFill="1" applyBorder="1" applyAlignment="1">
      <alignment horizontal="center"/>
    </xf>
    <xf numFmtId="164" fontId="132" fillId="0" borderId="5" xfId="52845" applyNumberFormat="1" applyFont="1" applyFill="1" applyBorder="1" applyAlignment="1">
      <alignment horizontal="center"/>
    </xf>
    <xf numFmtId="164" fontId="132" fillId="0" borderId="32" xfId="52845" applyNumberFormat="1" applyFont="1" applyFill="1" applyBorder="1" applyAlignment="1">
      <alignment horizontal="center"/>
    </xf>
    <xf numFmtId="164" fontId="132" fillId="0" borderId="6" xfId="52845" applyNumberFormat="1" applyFont="1" applyFill="1" applyBorder="1" applyAlignment="1">
      <alignment horizontal="center" wrapText="1"/>
    </xf>
    <xf numFmtId="164" fontId="132" fillId="0" borderId="5" xfId="52845" applyNumberFormat="1" applyFont="1" applyFill="1" applyBorder="1" applyAlignment="1">
      <alignment horizontal="center" wrapText="1"/>
    </xf>
    <xf numFmtId="0" fontId="0" fillId="0" borderId="5" xfId="0" applyBorder="1" applyAlignment="1">
      <alignment horizontal="center" wrapText="1"/>
    </xf>
    <xf numFmtId="164" fontId="133" fillId="0" borderId="5" xfId="52845" applyNumberFormat="1" applyFont="1" applyFill="1" applyBorder="1" applyAlignment="1">
      <alignment horizontal="center" wrapText="1"/>
    </xf>
    <xf numFmtId="0" fontId="0" fillId="0" borderId="32" xfId="0" applyBorder="1" applyAlignment="1">
      <alignment horizontal="center" wrapText="1"/>
    </xf>
    <xf numFmtId="0" fontId="151" fillId="0" borderId="0" xfId="52844" applyFont="1" applyFill="1" applyAlignment="1">
      <alignment horizontal="center"/>
    </xf>
    <xf numFmtId="164" fontId="132" fillId="0" borderId="24" xfId="52845" applyNumberFormat="1" applyFont="1" applyFill="1" applyBorder="1" applyAlignment="1">
      <alignment horizontal="center" wrapText="1"/>
    </xf>
    <xf numFmtId="164" fontId="132" fillId="0" borderId="1" xfId="52845" applyNumberFormat="1" applyFont="1" applyFill="1" applyBorder="1" applyAlignment="1">
      <alignment horizontal="center" wrapText="1"/>
    </xf>
    <xf numFmtId="0" fontId="0" fillId="0" borderId="1" xfId="0" applyBorder="1" applyAlignment="1">
      <alignment wrapText="1"/>
    </xf>
    <xf numFmtId="164" fontId="132" fillId="0" borderId="6" xfId="52845" applyNumberFormat="1" applyFont="1" applyBorder="1" applyAlignment="1">
      <alignment horizontal="center"/>
    </xf>
    <xf numFmtId="164" fontId="132" fillId="0" borderId="5" xfId="52845" applyNumberFormat="1" applyFont="1" applyBorder="1" applyAlignment="1">
      <alignment horizontal="center"/>
    </xf>
    <xf numFmtId="164" fontId="132" fillId="0" borderId="32" xfId="52845" applyNumberFormat="1" applyFont="1" applyBorder="1" applyAlignment="1">
      <alignment horizontal="center"/>
    </xf>
    <xf numFmtId="164" fontId="49" fillId="0" borderId="6" xfId="52845" applyNumberFormat="1" applyFont="1" applyFill="1" applyBorder="1" applyAlignment="1">
      <alignment horizontal="center" wrapText="1"/>
    </xf>
    <xf numFmtId="0" fontId="32" fillId="0" borderId="5" xfId="0" applyFont="1" applyBorder="1" applyAlignment="1">
      <alignment wrapText="1"/>
    </xf>
    <xf numFmtId="0" fontId="32" fillId="0" borderId="32" xfId="0" applyFont="1" applyBorder="1" applyAlignment="1">
      <alignment wrapText="1"/>
    </xf>
    <xf numFmtId="0" fontId="0" fillId="0" borderId="5" xfId="0" applyBorder="1" applyAlignment="1">
      <alignment wrapText="1"/>
    </xf>
    <xf numFmtId="0" fontId="0" fillId="0" borderId="32" xfId="0" applyBorder="1" applyAlignment="1">
      <alignment wrapText="1"/>
    </xf>
    <xf numFmtId="0" fontId="34" fillId="0" borderId="0" xfId="57" applyFont="1" applyAlignment="1">
      <alignment horizontal="center"/>
    </xf>
    <xf numFmtId="0" fontId="64" fillId="0" borderId="0" xfId="57" applyFont="1" applyAlignment="1">
      <alignment horizontal="center"/>
    </xf>
    <xf numFmtId="0" fontId="99" fillId="0" borderId="0" xfId="57" applyFont="1" applyAlignment="1">
      <alignment horizontal="center"/>
    </xf>
    <xf numFmtId="0" fontId="32" fillId="0" borderId="0" xfId="57" applyFont="1" applyAlignment="1">
      <alignment wrapText="1"/>
    </xf>
    <xf numFmtId="0" fontId="33" fillId="0" borderId="4" xfId="57" applyFont="1" applyBorder="1" applyAlignment="1">
      <alignment horizontal="center"/>
    </xf>
    <xf numFmtId="0" fontId="101" fillId="39" borderId="191" xfId="0" applyFont="1" applyFill="1" applyBorder="1" applyAlignment="1">
      <alignment horizontal="left" vertical="top" wrapText="1"/>
    </xf>
    <xf numFmtId="0" fontId="101" fillId="39" borderId="197" xfId="0" applyFont="1" applyFill="1" applyBorder="1" applyAlignment="1">
      <alignment horizontal="left" vertical="top" wrapText="1"/>
    </xf>
    <xf numFmtId="37" fontId="32" fillId="39" borderId="194" xfId="57" quotePrefix="1" applyNumberFormat="1" applyFont="1" applyFill="1" applyBorder="1" applyAlignment="1">
      <alignment horizontal="right" vertical="center"/>
    </xf>
    <xf numFmtId="37" fontId="32" fillId="39" borderId="22" xfId="57" quotePrefix="1" applyNumberFormat="1" applyFont="1" applyFill="1" applyBorder="1" applyAlignment="1">
      <alignment horizontal="right" vertical="center"/>
    </xf>
    <xf numFmtId="0" fontId="101" fillId="39" borderId="192" xfId="0" applyFont="1" applyFill="1" applyBorder="1" applyAlignment="1">
      <alignment horizontal="left" vertical="top" wrapText="1"/>
    </xf>
    <xf numFmtId="0" fontId="101" fillId="39" borderId="189" xfId="0" applyFont="1" applyFill="1" applyBorder="1" applyAlignment="1">
      <alignment horizontal="left" vertical="top" wrapText="1"/>
    </xf>
    <xf numFmtId="0" fontId="73" fillId="39" borderId="6" xfId="0" applyFont="1" applyFill="1" applyBorder="1" applyAlignment="1">
      <alignment horizontal="center" vertical="top" wrapText="1"/>
    </xf>
    <xf numFmtId="0" fontId="73" fillId="39" borderId="5" xfId="0" applyFont="1" applyFill="1" applyBorder="1" applyAlignment="1">
      <alignment horizontal="center" vertical="top" wrapText="1"/>
    </xf>
    <xf numFmtId="0" fontId="73" fillId="39" borderId="32" xfId="0" applyFont="1" applyFill="1" applyBorder="1" applyAlignment="1">
      <alignment horizontal="center" vertical="top" wrapText="1"/>
    </xf>
    <xf numFmtId="0" fontId="143" fillId="38" borderId="5" xfId="0" applyFont="1" applyFill="1" applyBorder="1" applyAlignment="1">
      <alignment horizontal="left"/>
    </xf>
    <xf numFmtId="0" fontId="143" fillId="38" borderId="32" xfId="0" applyFont="1" applyFill="1" applyBorder="1" applyAlignment="1">
      <alignment horizontal="left"/>
    </xf>
  </cellXfs>
  <cellStyles count="62583">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10 3" xfId="62578"/>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8 2" xfId="62580"/>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0 2" xfId="62581"/>
    <cellStyle name="Normal 8 11" xfId="5837"/>
    <cellStyle name="Normal 8 12" xfId="11203"/>
    <cellStyle name="Normal 8 12 2" xfId="62571"/>
    <cellStyle name="Normal 8 12 3" xfId="62577"/>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FERC 283 by M Item 2" xfId="62582"/>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0 3 2" xfId="62579"/>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CC00"/>
      <color rgb="FFFF00FF"/>
      <color rgb="FF00FF00"/>
      <color rgb="FFFFFFCC"/>
      <color rgb="FF0000FF"/>
      <color rgb="FFFFFF99"/>
      <color rgb="FF00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R2152"/>
  <sheetViews>
    <sheetView tabSelected="1" zoomScale="80" zoomScaleNormal="80" workbookViewId="0"/>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customWidth="1" collapsed="1"/>
    <col min="15" max="16" width="29.42578125" style="349" customWidth="1"/>
    <col min="17" max="17" width="5.5703125" style="2126" customWidth="1"/>
    <col min="18" max="18" width="19.140625" style="2183" bestFit="1" customWidth="1"/>
    <col min="19" max="19" width="19.140625" style="18" bestFit="1" customWidth="1"/>
    <col min="20" max="20" width="16.7109375" style="18" bestFit="1" customWidth="1"/>
    <col min="21" max="16384" width="9.140625" style="18"/>
  </cols>
  <sheetData>
    <row r="1" spans="1:20" ht="21" customHeight="1">
      <c r="A1" s="354" t="s">
        <v>522</v>
      </c>
      <c r="B1" s="354"/>
      <c r="C1" s="354"/>
      <c r="D1" s="354"/>
      <c r="E1" s="354"/>
      <c r="F1" s="354"/>
      <c r="G1" s="354"/>
      <c r="H1" s="354"/>
      <c r="I1" s="354"/>
      <c r="J1" s="354" t="s">
        <v>1381</v>
      </c>
      <c r="K1" s="354"/>
      <c r="L1" s="354"/>
      <c r="N1" s="354"/>
      <c r="O1" s="354"/>
      <c r="P1" s="354"/>
      <c r="Q1" s="2122"/>
    </row>
    <row r="2" spans="1:20" s="349" customFormat="1" ht="21" customHeight="1">
      <c r="A2" s="354" t="s">
        <v>365</v>
      </c>
      <c r="B2" s="354"/>
      <c r="C2" s="354"/>
      <c r="D2" s="354"/>
      <c r="E2" s="354"/>
      <c r="F2" s="354"/>
      <c r="G2" s="354"/>
      <c r="H2" s="354"/>
      <c r="I2" s="354"/>
      <c r="J2" s="354" t="s">
        <v>1381</v>
      </c>
      <c r="K2" s="354"/>
      <c r="L2" s="354"/>
      <c r="N2" s="354"/>
      <c r="O2" s="354"/>
      <c r="P2" s="354"/>
      <c r="Q2" s="2122"/>
      <c r="R2" s="2183"/>
    </row>
    <row r="3" spans="1:20" s="349" customFormat="1" ht="21.75" customHeight="1">
      <c r="A3" s="354" t="s">
        <v>1073</v>
      </c>
      <c r="B3" s="354"/>
      <c r="C3" s="354"/>
      <c r="D3" s="354"/>
      <c r="E3" s="354"/>
      <c r="F3" s="354"/>
      <c r="G3" s="354"/>
      <c r="H3" s="354"/>
      <c r="I3" s="354"/>
      <c r="J3" s="354" t="s">
        <v>1381</v>
      </c>
      <c r="K3" s="354"/>
      <c r="L3" s="354"/>
      <c r="N3" s="354"/>
      <c r="O3" s="354"/>
      <c r="P3" s="354"/>
      <c r="Q3" s="2122"/>
      <c r="R3" s="2183"/>
    </row>
    <row r="4" spans="1:20" s="349" customFormat="1" ht="16.5" customHeight="1" thickBot="1">
      <c r="A4" s="354"/>
      <c r="B4" s="354"/>
      <c r="C4" s="354"/>
      <c r="D4" s="354"/>
      <c r="E4" s="354"/>
      <c r="F4" s="354"/>
      <c r="G4" s="354"/>
      <c r="H4" s="354"/>
      <c r="I4" s="354"/>
      <c r="J4" s="354"/>
      <c r="K4" s="354"/>
      <c r="L4" s="354"/>
      <c r="N4" s="354"/>
      <c r="O4" s="354"/>
      <c r="P4" s="354"/>
      <c r="Q4" s="2122"/>
      <c r="R4" s="2183"/>
    </row>
    <row r="5" spans="1:20" ht="21" customHeight="1" thickBot="1">
      <c r="A5" s="2121"/>
      <c r="B5" s="1072"/>
      <c r="C5" s="1072"/>
      <c r="D5" s="1072"/>
      <c r="E5" s="1072"/>
      <c r="F5" s="1072"/>
      <c r="G5" s="1072"/>
      <c r="H5" s="2381" t="str">
        <f>IF(Toggle=Projection,data_year+1&amp;" "&amp;Toggle,IF(Toggle=True_up,data_year&amp;" "&amp;Toggle,"Set toggle!"))</f>
        <v>2017 True-up</v>
      </c>
      <c r="I5" s="1263"/>
      <c r="J5" s="1645" t="s">
        <v>1949</v>
      </c>
      <c r="K5" s="1263"/>
      <c r="L5" s="1263"/>
      <c r="M5" s="1263"/>
      <c r="N5" s="1645" t="s">
        <v>2022</v>
      </c>
      <c r="O5" s="1263"/>
      <c r="P5" s="1263"/>
      <c r="Q5" s="2123"/>
      <c r="R5" s="1260" t="s">
        <v>1011</v>
      </c>
      <c r="S5" s="1260" t="s">
        <v>1151</v>
      </c>
    </row>
    <row r="6" spans="1:20" s="31" customFormat="1" ht="15.75">
      <c r="A6" s="2653" t="s">
        <v>919</v>
      </c>
      <c r="B6" s="2654"/>
      <c r="C6" s="2654"/>
      <c r="D6" s="2655"/>
      <c r="E6" s="2651" t="s">
        <v>304</v>
      </c>
      <c r="F6" s="2653" t="s">
        <v>888</v>
      </c>
      <c r="G6" s="2655"/>
      <c r="H6" s="1653">
        <v>2017</v>
      </c>
      <c r="I6" s="1647"/>
      <c r="J6" s="1654">
        <v>2015</v>
      </c>
      <c r="K6" s="1648" t="s">
        <v>1299</v>
      </c>
      <c r="L6" s="1649" t="s">
        <v>1152</v>
      </c>
      <c r="N6" s="1654">
        <v>2016</v>
      </c>
      <c r="O6" s="1648" t="s">
        <v>1299</v>
      </c>
      <c r="P6" s="1649" t="s">
        <v>1152</v>
      </c>
      <c r="Q6" s="2124"/>
      <c r="R6" s="1261" t="s">
        <v>1718</v>
      </c>
      <c r="S6" s="1261" t="s">
        <v>1014</v>
      </c>
      <c r="T6" s="1647"/>
    </row>
    <row r="7" spans="1:20" s="121" customFormat="1" ht="16.5" thickBot="1">
      <c r="A7" s="2656"/>
      <c r="B7" s="2657"/>
      <c r="C7" s="2657"/>
      <c r="D7" s="2658"/>
      <c r="E7" s="2652"/>
      <c r="F7" s="2656"/>
      <c r="G7" s="2658"/>
      <c r="H7" s="1650" t="s">
        <v>1037</v>
      </c>
      <c r="I7" s="2"/>
      <c r="J7" s="1651" t="s">
        <v>1950</v>
      </c>
      <c r="K7" s="1646" t="str">
        <f>$H$5&amp;" value minus "&amp;$J$5&amp;" value"</f>
        <v>2017 True-up value minus 2016 Projection (as-filed) value</v>
      </c>
      <c r="L7" s="1652" t="str">
        <f>"Change over "&amp;$J$5</f>
        <v>Change over 2016 Projection (as-filed)</v>
      </c>
      <c r="N7" s="1651" t="s">
        <v>2023</v>
      </c>
      <c r="O7" s="1646" t="str">
        <f>$H$5&amp;" value minus "&amp;$N$5&amp;" value"</f>
        <v>2017 True-up value minus 2017 Projection (as-filed) value</v>
      </c>
      <c r="P7" s="1652" t="str">
        <f>"Change over "&amp;$N$5</f>
        <v>Change over 2017 Projection (as-filed)</v>
      </c>
      <c r="Q7" s="2125"/>
      <c r="R7" s="1262" t="s">
        <v>1719</v>
      </c>
      <c r="S7" s="1262" t="s">
        <v>1037</v>
      </c>
    </row>
    <row r="8" spans="1:20" customFormat="1" ht="8.25" customHeight="1">
      <c r="I8" s="462"/>
      <c r="J8" s="462"/>
      <c r="K8" s="462"/>
      <c r="L8" s="462"/>
      <c r="N8" s="462"/>
      <c r="O8" s="462"/>
      <c r="P8" s="462"/>
      <c r="Q8" s="321"/>
      <c r="R8" s="2184"/>
      <c r="S8" s="122"/>
    </row>
    <row r="9" spans="1:20" s="23" customFormat="1" ht="15.75">
      <c r="A9" s="625" t="s">
        <v>246</v>
      </c>
      <c r="B9" s="43"/>
      <c r="C9" s="56"/>
      <c r="D9" s="56"/>
      <c r="E9" s="503"/>
      <c r="F9" s="500"/>
      <c r="G9" s="57"/>
      <c r="H9" s="501"/>
      <c r="I9"/>
      <c r="J9" s="501"/>
      <c r="K9" s="501"/>
      <c r="L9" s="501"/>
      <c r="N9" s="501"/>
      <c r="O9" s="501"/>
      <c r="P9" s="501"/>
      <c r="Q9" s="321"/>
      <c r="R9" s="2185"/>
      <c r="S9" s="51"/>
    </row>
    <row r="10" spans="1:20" s="23" customFormat="1" ht="15.75">
      <c r="A10" s="47"/>
      <c r="B10" s="37"/>
      <c r="C10" s="37"/>
      <c r="D10" s="37"/>
      <c r="E10" s="502"/>
      <c r="F10" s="51"/>
      <c r="G10" s="51"/>
      <c r="H10" s="463"/>
      <c r="I10"/>
      <c r="J10" s="497"/>
      <c r="K10" s="497"/>
      <c r="L10" s="497"/>
      <c r="N10" s="497"/>
      <c r="O10" s="497"/>
      <c r="P10" s="497"/>
      <c r="Q10" s="321"/>
      <c r="R10" s="2185"/>
    </row>
    <row r="11" spans="1:20" ht="15.75">
      <c r="A11" s="16"/>
      <c r="B11" s="7" t="s">
        <v>250</v>
      </c>
      <c r="E11" s="157"/>
      <c r="F11" s="254"/>
      <c r="G11" s="476"/>
      <c r="H11" s="254"/>
      <c r="I11"/>
      <c r="J11" s="254"/>
      <c r="K11" s="254"/>
      <c r="L11" s="254"/>
      <c r="M11" s="23"/>
      <c r="N11" s="254"/>
      <c r="O11" s="254"/>
      <c r="P11" s="254"/>
      <c r="Q11" s="2125"/>
      <c r="R11" s="2185"/>
      <c r="S11" s="23"/>
      <c r="T11" s="623"/>
    </row>
    <row r="12" spans="1:20" ht="15.75">
      <c r="A12" s="8">
        <v>1</v>
      </c>
      <c r="B12" s="8"/>
      <c r="C12" s="51" t="s">
        <v>223</v>
      </c>
      <c r="D12" s="104"/>
      <c r="E12" s="45"/>
      <c r="F12" s="254" t="s">
        <v>44</v>
      </c>
      <c r="G12" s="9"/>
      <c r="H12" s="1094">
        <f>INDEX(Inputs_EndYrBal,MATCH(F12,Inputs_FF1_Map,0))</f>
        <v>26634206</v>
      </c>
      <c r="I12" s="2179"/>
      <c r="J12" s="1267">
        <v>24934991</v>
      </c>
      <c r="K12" s="1094">
        <f>$H12-J12</f>
        <v>1699215</v>
      </c>
      <c r="L12" s="1576">
        <f>IF(J12=0,"n/m",K12/ABS(J12))</f>
        <v>6.8145803621906254E-2</v>
      </c>
      <c r="M12" s="23"/>
      <c r="N12" s="1267">
        <v>27291677</v>
      </c>
      <c r="O12" s="1094">
        <f>$H12-N12</f>
        <v>-657471</v>
      </c>
      <c r="P12" s="1576">
        <f>IF(N12=0,"n/m",O12/ABS(N12))</f>
        <v>-2.4090531336714852E-2</v>
      </c>
      <c r="Q12" s="2125"/>
      <c r="R12" s="2185"/>
      <c r="S12" s="23"/>
      <c r="T12" s="23"/>
    </row>
    <row r="13" spans="1:20" ht="15.75">
      <c r="A13" s="44"/>
      <c r="F13" s="23"/>
      <c r="G13" s="349"/>
      <c r="H13" s="623"/>
      <c r="I13" s="2180"/>
      <c r="J13" s="623"/>
      <c r="K13" s="623"/>
      <c r="L13" s="623"/>
      <c r="M13" s="23"/>
      <c r="N13" s="623"/>
      <c r="O13" s="623"/>
      <c r="P13" s="623"/>
      <c r="Q13" s="2125"/>
      <c r="R13" s="2185"/>
      <c r="S13" s="23"/>
      <c r="T13" s="23"/>
    </row>
    <row r="14" spans="1:20" ht="15.75">
      <c r="A14" s="8">
        <f>+A12+1</f>
        <v>2</v>
      </c>
      <c r="B14" s="8"/>
      <c r="C14" s="51" t="s">
        <v>224</v>
      </c>
      <c r="D14" s="51"/>
      <c r="E14" s="426"/>
      <c r="F14" s="51" t="s">
        <v>46</v>
      </c>
      <c r="G14" s="9"/>
      <c r="H14" s="1094">
        <f>INDEX(Inputs_EndYrBal,MATCH(F14,Inputs_FF1_Map,0))</f>
        <v>356448651</v>
      </c>
      <c r="I14" s="2179"/>
      <c r="J14" s="1267">
        <v>356682932</v>
      </c>
      <c r="K14" s="1094">
        <f>$H14-J14</f>
        <v>-234281</v>
      </c>
      <c r="L14" s="1576">
        <f>IF(J14=0,"n/m",K14/ABS(J14))</f>
        <v>-6.5683266279755717E-4</v>
      </c>
      <c r="M14" s="23"/>
      <c r="N14" s="1267">
        <v>351524131</v>
      </c>
      <c r="O14" s="1094">
        <f>$H14-N14</f>
        <v>4924520</v>
      </c>
      <c r="P14" s="1576">
        <f>IF(N14=0,"n/m",O14/ABS(N14))</f>
        <v>1.4009052482374247E-2</v>
      </c>
      <c r="Q14" s="2125"/>
      <c r="R14" s="2185"/>
      <c r="S14" s="23"/>
      <c r="T14" s="23"/>
    </row>
    <row r="15" spans="1:20" ht="15.75">
      <c r="A15" s="8">
        <f>+A14+1</f>
        <v>3</v>
      </c>
      <c r="B15" s="8"/>
      <c r="C15" s="51" t="s">
        <v>248</v>
      </c>
      <c r="D15" s="51"/>
      <c r="F15" s="51" t="s">
        <v>45</v>
      </c>
      <c r="G15" s="9"/>
      <c r="H15" s="1094">
        <f>INDEX(Inputs_EndYrBal,MATCH(F15,Inputs_FF1_Map,0))</f>
        <v>42557961</v>
      </c>
      <c r="I15" s="2179"/>
      <c r="J15" s="1267">
        <v>37744556</v>
      </c>
      <c r="K15" s="1094">
        <f>$H15-J15</f>
        <v>4813405</v>
      </c>
      <c r="L15" s="1576">
        <f>IF(J15=0,"n/m",K15/ABS(J15))</f>
        <v>0.12752580796022611</v>
      </c>
      <c r="M15" s="23"/>
      <c r="N15" s="1267">
        <v>38710883</v>
      </c>
      <c r="O15" s="1094">
        <f>$H15-N15</f>
        <v>3847078</v>
      </c>
      <c r="P15" s="1576">
        <f>IF(N15=0,"n/m",O15/ABS(N15))</f>
        <v>9.9379753233735324E-2</v>
      </c>
      <c r="Q15" s="2125"/>
      <c r="R15" s="2185"/>
      <c r="S15" s="23"/>
      <c r="T15" s="23"/>
    </row>
    <row r="16" spans="1:20" ht="15.75">
      <c r="A16" s="8">
        <f>+A15+1</f>
        <v>4</v>
      </c>
      <c r="B16" s="8"/>
      <c r="C16" s="313" t="s">
        <v>11</v>
      </c>
      <c r="D16" s="504"/>
      <c r="E16" s="505"/>
      <c r="F16" s="372" t="str">
        <f>"(Line "&amp;A14&amp;" - Line "&amp;A15&amp;")"</f>
        <v>(Line 2 - Line 3)</v>
      </c>
      <c r="G16" s="27"/>
      <c r="H16" s="624">
        <f>H14-H15</f>
        <v>313890690</v>
      </c>
      <c r="I16" s="2179"/>
      <c r="J16" s="624">
        <v>318938376</v>
      </c>
      <c r="K16" s="1609">
        <f>$H16-J16</f>
        <v>-5047686</v>
      </c>
      <c r="L16" s="1601">
        <f>IF(J16=0,"n/m",K16/ABS(J16))</f>
        <v>-1.5826524431791802E-2</v>
      </c>
      <c r="M16" s="23"/>
      <c r="N16" s="624">
        <v>312813248</v>
      </c>
      <c r="O16" s="1609">
        <f>$H16-N16</f>
        <v>1077442</v>
      </c>
      <c r="P16" s="1601">
        <f>IF(N16=0,"n/m",O16/ABS(N16))</f>
        <v>3.4443617937818284E-3</v>
      </c>
      <c r="Q16" s="2125"/>
      <c r="R16" s="2185"/>
      <c r="S16" s="23"/>
      <c r="T16" s="23"/>
    </row>
    <row r="17" spans="1:20" ht="15.75">
      <c r="A17" s="8"/>
      <c r="B17" s="8"/>
      <c r="C17" s="506"/>
      <c r="E17" s="157"/>
      <c r="F17" s="22"/>
      <c r="G17" s="9"/>
      <c r="H17" s="254"/>
      <c r="I17"/>
      <c r="J17" s="254"/>
      <c r="K17" s="254"/>
      <c r="L17" s="254"/>
      <c r="M17" s="23"/>
      <c r="N17" s="254"/>
      <c r="O17" s="254"/>
      <c r="P17" s="254"/>
      <c r="Q17" s="2125"/>
      <c r="R17" s="2185"/>
      <c r="S17" s="23"/>
      <c r="T17" s="23"/>
    </row>
    <row r="18" spans="1:20" ht="16.5" thickBot="1">
      <c r="A18" s="34">
        <f>A16+1</f>
        <v>5</v>
      </c>
      <c r="B18" s="13" t="s">
        <v>271</v>
      </c>
      <c r="C18" s="13"/>
      <c r="D18" s="58"/>
      <c r="E18" s="507"/>
      <c r="F18" s="508" t="str">
        <f>"(Line "&amp;A12&amp;" / Line "&amp;A16&amp;")"</f>
        <v>(Line 1 / Line 4)</v>
      </c>
      <c r="G18" s="59"/>
      <c r="H18" s="371">
        <f>H12/H16</f>
        <v>8.4851850814689656E-2</v>
      </c>
      <c r="I18" s="2179"/>
      <c r="J18" s="371">
        <v>7.8815542097072699E-2</v>
      </c>
      <c r="K18" s="1655">
        <f>$H18-J18</f>
        <v>6.0363087176169561E-3</v>
      </c>
      <c r="L18" s="1639">
        <f>IF(J18=0,"n/m",K18/ABS(J18))</f>
        <v>7.6587796734080338E-2</v>
      </c>
      <c r="M18" s="23"/>
      <c r="N18" s="371">
        <v>8.7245911656529326E-2</v>
      </c>
      <c r="O18" s="1655">
        <f>$H18-N18</f>
        <v>-2.3940608418396708E-3</v>
      </c>
      <c r="P18" s="1639">
        <f>IF(N18=0,"n/m",O18/ABS(N18))</f>
        <v>-2.74403785390499E-2</v>
      </c>
      <c r="Q18" s="2125"/>
      <c r="R18" s="2185"/>
      <c r="S18" s="23"/>
      <c r="T18" s="23"/>
    </row>
    <row r="19" spans="1:20" ht="16.5" thickTop="1">
      <c r="A19" s="8"/>
      <c r="B19" s="8"/>
      <c r="C19" s="7"/>
      <c r="D19" s="22"/>
      <c r="E19" s="373"/>
      <c r="F19" s="22"/>
      <c r="G19" s="9"/>
      <c r="H19" s="318"/>
      <c r="I19"/>
      <c r="J19" s="318"/>
      <c r="K19" s="318"/>
      <c r="L19" s="318"/>
      <c r="M19" s="23"/>
      <c r="N19" s="318"/>
      <c r="O19" s="1618"/>
      <c r="P19" s="1618"/>
      <c r="Q19" s="2125"/>
      <c r="R19" s="2185"/>
      <c r="S19" s="23"/>
      <c r="T19" s="23"/>
    </row>
    <row r="20" spans="1:20" ht="15.75">
      <c r="A20" s="44"/>
      <c r="B20" s="7" t="s">
        <v>280</v>
      </c>
      <c r="D20" s="349"/>
      <c r="F20" s="23"/>
      <c r="G20" s="349"/>
      <c r="H20" s="23"/>
      <c r="I20"/>
      <c r="J20" s="23"/>
      <c r="K20" s="23"/>
      <c r="L20" s="23"/>
      <c r="M20" s="23"/>
      <c r="N20" s="23"/>
      <c r="O20" s="23"/>
      <c r="P20" s="23"/>
      <c r="Q20" s="2125"/>
      <c r="R20" s="2185"/>
      <c r="S20" s="23"/>
      <c r="T20" s="23"/>
    </row>
    <row r="21" spans="1:20" ht="15.75">
      <c r="A21" s="34">
        <f>+A18+1</f>
        <v>6</v>
      </c>
      <c r="B21" s="349"/>
      <c r="C21" s="51" t="s">
        <v>288</v>
      </c>
      <c r="E21" s="99" t="str">
        <f>"(Note "&amp;B$319&amp;")"</f>
        <v>(Note M)</v>
      </c>
      <c r="F21" s="51" t="s">
        <v>177</v>
      </c>
      <c r="G21" s="349"/>
      <c r="H21" s="626">
        <f>'Att 5 - Cost Support'!G68</f>
        <v>27308153936.248459</v>
      </c>
      <c r="I21"/>
      <c r="J21" s="1267">
        <v>26518616700.57</v>
      </c>
      <c r="K21" s="1094">
        <f>$H21-J21</f>
        <v>789537235.67845917</v>
      </c>
      <c r="L21" s="1576">
        <f>IF(J21=0,"n/m",K21/ABS(J21))</f>
        <v>2.9772941952190463E-2</v>
      </c>
      <c r="M21" s="23"/>
      <c r="N21" s="1267">
        <v>27064434648.490002</v>
      </c>
      <c r="O21" s="1094">
        <f>$H21-N21</f>
        <v>243719287.75845718</v>
      </c>
      <c r="P21" s="1576">
        <f>IF(N21=0,"n/m",O21/ABS(N21))</f>
        <v>9.0051497813960421E-3</v>
      </c>
      <c r="Q21" s="2125"/>
      <c r="R21" s="2185"/>
      <c r="S21" s="623"/>
      <c r="T21" s="23"/>
    </row>
    <row r="22" spans="1:20" ht="15.75">
      <c r="A22" s="45"/>
      <c r="B22" s="349"/>
      <c r="C22" s="51"/>
      <c r="F22" s="51"/>
      <c r="G22" s="349"/>
      <c r="H22" s="626"/>
      <c r="I22"/>
      <c r="J22" s="626"/>
      <c r="K22" s="626"/>
      <c r="L22" s="626"/>
      <c r="M22" s="23"/>
      <c r="N22" s="2066"/>
      <c r="O22" s="626"/>
      <c r="P22" s="626"/>
      <c r="Q22" s="2125"/>
      <c r="R22" s="2185"/>
      <c r="S22" s="23"/>
      <c r="T22" s="23"/>
    </row>
    <row r="23" spans="1:20" ht="15" customHeight="1">
      <c r="A23" s="34">
        <f>A21+1</f>
        <v>7</v>
      </c>
      <c r="B23" s="349"/>
      <c r="C23" s="51" t="s">
        <v>221</v>
      </c>
      <c r="E23" s="99" t="str">
        <f>"(Note "&amp;B$319&amp;")"</f>
        <v>(Note M)</v>
      </c>
      <c r="F23" s="51" t="s">
        <v>177</v>
      </c>
      <c r="G23" s="349"/>
      <c r="H23" s="626">
        <f>'Att 5 - Cost Support'!$G$132</f>
        <v>9279031667.178463</v>
      </c>
      <c r="I23"/>
      <c r="J23" s="1267">
        <v>8565801806</v>
      </c>
      <c r="K23" s="1094">
        <f>$H23-J23</f>
        <v>713229861.17846298</v>
      </c>
      <c r="L23" s="1576">
        <f>IF(J23=0,"n/m",K23/ABS(J23))</f>
        <v>8.3264810152258492E-2</v>
      </c>
      <c r="M23" s="23"/>
      <c r="N23" s="1267">
        <v>9026397312.0900002</v>
      </c>
      <c r="O23" s="1094">
        <f>$H23-N23</f>
        <v>252634355.08846283</v>
      </c>
      <c r="P23" s="1576">
        <f>IF(N23=0,"n/m",O23/ABS(N23))</f>
        <v>2.7988392971588248E-2</v>
      </c>
      <c r="Q23" s="2125"/>
      <c r="R23" s="2185"/>
      <c r="S23" s="623"/>
      <c r="T23" s="23"/>
    </row>
    <row r="24" spans="1:20" ht="15" customHeight="1">
      <c r="A24" s="34">
        <f>+A23+1</f>
        <v>8</v>
      </c>
      <c r="B24" s="349"/>
      <c r="C24" s="51" t="s">
        <v>193</v>
      </c>
      <c r="E24" s="99" t="str">
        <f>"(Note "&amp;B$320&amp;")"</f>
        <v>(Note N)</v>
      </c>
      <c r="F24" s="254" t="s">
        <v>177</v>
      </c>
      <c r="G24" s="349"/>
      <c r="H24" s="626">
        <f>'Att 5 - Cost Support'!G109</f>
        <v>565270589.54500008</v>
      </c>
      <c r="I24"/>
      <c r="J24" s="1267">
        <v>559800279.63999999</v>
      </c>
      <c r="K24" s="1094">
        <f>$H24-J24</f>
        <v>5470309.9050000906</v>
      </c>
      <c r="L24" s="1576">
        <f>IF(J24=0,"n/m",K24/ABS(J24))</f>
        <v>9.7718956277013172E-3</v>
      </c>
      <c r="M24"/>
      <c r="N24" s="1267">
        <v>550553312</v>
      </c>
      <c r="O24" s="1094">
        <f>$H24-N24</f>
        <v>14717277.545000076</v>
      </c>
      <c r="P24" s="1576">
        <f>IF(N24=0,"n/m",O24/ABS(N24))</f>
        <v>2.6731793677775707E-2</v>
      </c>
      <c r="Q24" s="2125"/>
      <c r="R24" s="2185"/>
      <c r="S24" s="623"/>
      <c r="T24" s="23"/>
    </row>
    <row r="25" spans="1:20" ht="15" customHeight="1">
      <c r="A25" s="34">
        <f>A24+1</f>
        <v>9</v>
      </c>
      <c r="C25" s="26" t="s">
        <v>249</v>
      </c>
      <c r="D25" s="27"/>
      <c r="E25" s="86"/>
      <c r="F25" s="372" t="str">
        <f>"(Line "&amp;A23&amp;" + "&amp;A24&amp;")"</f>
        <v>(Line 7 + 8)</v>
      </c>
      <c r="G25" s="25"/>
      <c r="H25" s="624">
        <f>SUM(H23:H24)</f>
        <v>9844302256.7234631</v>
      </c>
      <c r="I25"/>
      <c r="J25" s="624">
        <v>9125602085.6399994</v>
      </c>
      <c r="K25" s="1609">
        <f>$H25-J25</f>
        <v>718700171.08346367</v>
      </c>
      <c r="L25" s="1601">
        <f>IF(J25=0,"n/m",K25/ABS(J25))</f>
        <v>7.8756466076293927E-2</v>
      </c>
      <c r="M25" s="23"/>
      <c r="N25" s="624">
        <v>9576950624.0900002</v>
      </c>
      <c r="O25" s="1609">
        <f>$H25-N25</f>
        <v>267351632.63346291</v>
      </c>
      <c r="P25" s="1601">
        <f>IF(N25=0,"n/m",O25/ABS(N25))</f>
        <v>2.7916154434477581E-2</v>
      </c>
      <c r="Q25" s="2125"/>
      <c r="R25" s="2185"/>
      <c r="S25" s="23"/>
      <c r="T25" s="23"/>
    </row>
    <row r="26" spans="1:20" ht="15" customHeight="1">
      <c r="A26" s="44"/>
      <c r="C26" s="37"/>
      <c r="F26" s="254"/>
      <c r="G26" s="349"/>
      <c r="H26" s="623"/>
      <c r="I26"/>
      <c r="J26" s="623"/>
      <c r="K26" s="623"/>
      <c r="L26" s="623"/>
      <c r="M26" s="23"/>
      <c r="N26" s="623"/>
      <c r="O26" s="623"/>
      <c r="P26" s="623"/>
      <c r="Q26" s="2125"/>
      <c r="R26" s="2185"/>
      <c r="S26" s="23"/>
      <c r="T26" s="23"/>
    </row>
    <row r="27" spans="1:20" ht="15" customHeight="1">
      <c r="A27" s="8">
        <f>+A25+1</f>
        <v>10</v>
      </c>
      <c r="B27" s="349"/>
      <c r="C27" s="25" t="s">
        <v>276</v>
      </c>
      <c r="D27" s="25"/>
      <c r="E27" s="86"/>
      <c r="F27" s="372" t="str">
        <f>"(Line "&amp;A21&amp;" - Line "&amp;A25&amp;")"</f>
        <v>(Line 6 - Line 9)</v>
      </c>
      <c r="G27" s="25"/>
      <c r="H27" s="624">
        <f>H21-H25</f>
        <v>17463851679.524994</v>
      </c>
      <c r="I27"/>
      <c r="J27" s="624">
        <v>17393014614.93</v>
      </c>
      <c r="K27" s="1609">
        <f>$H27-J27</f>
        <v>70837064.594993591</v>
      </c>
      <c r="L27" s="1601">
        <f>IF(J27=0,"n/m",K27/ABS(J27))</f>
        <v>4.0727307004150802E-3</v>
      </c>
      <c r="M27" s="23"/>
      <c r="N27" s="624">
        <v>17487484024.400002</v>
      </c>
      <c r="O27" s="1609">
        <f>$H27-N27</f>
        <v>-23632344.875007629</v>
      </c>
      <c r="P27" s="1601">
        <f>IF(N27=0,"n/m",O27/ABS(N27))</f>
        <v>-1.351386216681245E-3</v>
      </c>
      <c r="Q27" s="2125"/>
      <c r="R27" s="2185"/>
      <c r="S27" s="23"/>
      <c r="T27" s="23"/>
    </row>
    <row r="28" spans="1:20" ht="15" customHeight="1">
      <c r="A28" s="44"/>
      <c r="B28" s="349"/>
      <c r="C28" s="349"/>
      <c r="D28" s="349"/>
      <c r="F28" s="23"/>
      <c r="G28" s="349"/>
      <c r="H28" s="623"/>
      <c r="I28"/>
      <c r="J28" s="623"/>
      <c r="K28" s="623"/>
      <c r="L28" s="623"/>
      <c r="M28" s="23"/>
      <c r="N28" s="623"/>
      <c r="O28" s="623"/>
      <c r="P28" s="623"/>
      <c r="Q28" s="2125"/>
      <c r="R28" s="2185"/>
      <c r="S28" s="23"/>
      <c r="T28" s="23"/>
    </row>
    <row r="29" spans="1:20" ht="15" customHeight="1">
      <c r="A29" s="34">
        <f>+A27+1</f>
        <v>11</v>
      </c>
      <c r="B29" s="349"/>
      <c r="C29" s="349" t="s">
        <v>127</v>
      </c>
      <c r="D29" s="349"/>
      <c r="F29" s="478" t="str">
        <f>"(Line "&amp;A50&amp;" - Line "&amp;A48&amp;")"</f>
        <v>(Line 24 - Line 23)</v>
      </c>
      <c r="G29" s="349"/>
      <c r="H29" s="623">
        <f>H50-H48</f>
        <v>6302098181.7082911</v>
      </c>
      <c r="I29"/>
      <c r="J29" s="623">
        <v>6150705544.5418415</v>
      </c>
      <c r="K29" s="1636">
        <f>$H29-J29</f>
        <v>151392637.16644955</v>
      </c>
      <c r="L29" s="1637">
        <f>IF(J29=0,"n/m",K29/ABS(J29))</f>
        <v>2.4613865201333841E-2</v>
      </c>
      <c r="M29" s="23"/>
      <c r="N29" s="623">
        <v>6311838409.1560926</v>
      </c>
      <c r="O29" s="1636">
        <f>$H29-N29</f>
        <v>-9740227.44780159</v>
      </c>
      <c r="P29" s="1637">
        <f>IF(N29=0,"n/m",O29/ABS(N29))</f>
        <v>-1.5431680623623381E-3</v>
      </c>
      <c r="Q29" s="2125"/>
      <c r="R29" s="2185"/>
      <c r="S29" s="23"/>
      <c r="T29" s="23"/>
    </row>
    <row r="30" spans="1:20" ht="15" customHeight="1" thickBot="1">
      <c r="A30" s="8">
        <f>+A29+1</f>
        <v>12</v>
      </c>
      <c r="B30" s="15" t="s">
        <v>216</v>
      </c>
      <c r="C30" s="15"/>
      <c r="D30" s="53"/>
      <c r="E30" s="87"/>
      <c r="F30" s="508" t="str">
        <f>"(Line "&amp;A29&amp;" / Line "&amp;A21&amp;")"</f>
        <v>(Line 11 / Line 6)</v>
      </c>
      <c r="G30" s="53"/>
      <c r="H30" s="371">
        <f>H29/H21</f>
        <v>0.23077715895481951</v>
      </c>
      <c r="I30"/>
      <c r="J30" s="371">
        <v>0.23193915482060706</v>
      </c>
      <c r="K30" s="1655">
        <f>$H30-J30</f>
        <v>-1.1619958657875518E-3</v>
      </c>
      <c r="L30" s="1639">
        <f>IF(J30=0,"n/m",K30/ABS(J30))</f>
        <v>-5.0099167891091761E-3</v>
      </c>
      <c r="M30" s="23"/>
      <c r="N30" s="371">
        <v>0.23321523213522022</v>
      </c>
      <c r="O30" s="1655">
        <f>$H30-N30</f>
        <v>-2.4380731804007072E-3</v>
      </c>
      <c r="P30" s="1639">
        <f>IF(N30=0,"n/m",O30/ABS(N30))</f>
        <v>-1.0454176419261892E-2</v>
      </c>
      <c r="Q30" s="2125"/>
      <c r="R30" s="2185"/>
      <c r="S30" s="23"/>
      <c r="T30" s="23"/>
    </row>
    <row r="31" spans="1:20" ht="15" customHeight="1" thickTop="1">
      <c r="A31" s="44"/>
      <c r="F31" s="23"/>
      <c r="G31" s="349"/>
      <c r="H31" s="23"/>
      <c r="I31"/>
      <c r="J31" s="23"/>
      <c r="K31" s="23"/>
      <c r="L31" s="23"/>
      <c r="M31" s="23"/>
      <c r="N31" s="23"/>
      <c r="O31" s="23"/>
      <c r="P31" s="23"/>
      <c r="Q31" s="2125"/>
      <c r="R31" s="2185"/>
      <c r="S31" s="23"/>
      <c r="T31" s="23"/>
    </row>
    <row r="32" spans="1:20" s="10" customFormat="1" ht="15" customHeight="1">
      <c r="A32" s="34">
        <f>+A30+1</f>
        <v>13</v>
      </c>
      <c r="B32" s="8"/>
      <c r="C32" s="309" t="s">
        <v>128</v>
      </c>
      <c r="D32" s="22"/>
      <c r="E32" s="373"/>
      <c r="F32" s="478" t="str">
        <f>"(Line "&amp;A64&amp;" - Line "&amp;A48&amp;")"</f>
        <v>(Line 32 - Line 23)</v>
      </c>
      <c r="G32" s="9"/>
      <c r="H32" s="623">
        <f>H64-H48</f>
        <v>4576845260.5428047</v>
      </c>
      <c r="I32"/>
      <c r="J32" s="623">
        <v>4569827764.1202307</v>
      </c>
      <c r="K32" s="1636">
        <f>$H32-J32</f>
        <v>7017496.4225740433</v>
      </c>
      <c r="L32" s="1637">
        <f>IF(J32=0,"n/m",K32/ABS(J32))</f>
        <v>1.5356150789033142E-3</v>
      </c>
      <c r="M32" s="23"/>
      <c r="N32" s="623">
        <v>4633637363.6163025</v>
      </c>
      <c r="O32" s="1636">
        <f>$H32-N32</f>
        <v>-56792103.073497772</v>
      </c>
      <c r="P32" s="1637">
        <f>IF(N32=0,"n/m",O32/ABS(N32))</f>
        <v>-1.2256484186577479E-2</v>
      </c>
      <c r="Q32" s="2125"/>
      <c r="R32" s="2185"/>
      <c r="S32" s="23"/>
      <c r="T32" s="23"/>
    </row>
    <row r="33" spans="1:20" ht="15" customHeight="1" thickBot="1">
      <c r="A33" s="8">
        <f>+A32+1</f>
        <v>14</v>
      </c>
      <c r="B33" s="15" t="s">
        <v>277</v>
      </c>
      <c r="C33" s="15"/>
      <c r="D33" s="53"/>
      <c r="E33" s="87"/>
      <c r="F33" s="508" t="str">
        <f>"(Line "&amp;A32&amp;" / Line "&amp;A27&amp;")"</f>
        <v>(Line 13 / Line 10)</v>
      </c>
      <c r="G33" s="53"/>
      <c r="H33" s="371">
        <f>H32/H27</f>
        <v>0.26207536255640557</v>
      </c>
      <c r="I33"/>
      <c r="J33" s="371">
        <v>0.26273925856404062</v>
      </c>
      <c r="K33" s="1655">
        <f>$H33-J33</f>
        <v>-6.6389600763505641E-4</v>
      </c>
      <c r="L33" s="1639">
        <f>IF(J33=0,"n/m",K33/ABS(J33))</f>
        <v>-2.5268245456102519E-3</v>
      </c>
      <c r="M33" s="23"/>
      <c r="N33" s="371">
        <v>0.26496878322525208</v>
      </c>
      <c r="O33" s="1655">
        <f>$H33-N33</f>
        <v>-2.8934206688465136E-3</v>
      </c>
      <c r="P33" s="1639">
        <f>IF(N33=0,"n/m",O33/ABS(N33))</f>
        <v>-1.0919854911311547E-2</v>
      </c>
      <c r="Q33" s="2125"/>
      <c r="R33" s="2185"/>
      <c r="S33" s="23"/>
      <c r="T33" s="23"/>
    </row>
    <row r="34" spans="1:20" ht="15" customHeight="1" thickTop="1">
      <c r="A34" s="19"/>
      <c r="B34" s="8"/>
      <c r="C34" s="7"/>
      <c r="D34" s="22"/>
      <c r="E34" s="373"/>
      <c r="F34" s="9"/>
      <c r="G34" s="9"/>
      <c r="H34" s="318"/>
      <c r="I34"/>
      <c r="J34" s="318"/>
      <c r="K34" s="318"/>
      <c r="L34" s="318"/>
      <c r="M34" s="23"/>
      <c r="N34" s="318"/>
      <c r="O34" s="1618"/>
      <c r="P34" s="1618"/>
      <c r="Q34" s="2125"/>
      <c r="R34" s="2185"/>
      <c r="S34" s="23"/>
      <c r="T34" s="23"/>
    </row>
    <row r="35" spans="1:20" s="23" customFormat="1" ht="15" customHeight="1">
      <c r="A35" s="625" t="s">
        <v>275</v>
      </c>
      <c r="B35" s="43"/>
      <c r="C35" s="56"/>
      <c r="D35" s="56"/>
      <c r="E35" s="509"/>
      <c r="F35" s="57"/>
      <c r="G35" s="57"/>
      <c r="H35" s="64"/>
      <c r="I35"/>
      <c r="J35" s="64">
        <v>0</v>
      </c>
      <c r="K35" s="64"/>
      <c r="L35" s="64"/>
      <c r="N35" s="64">
        <v>0</v>
      </c>
      <c r="O35" s="64"/>
      <c r="P35" s="64"/>
      <c r="Q35" s="2125"/>
      <c r="R35" s="2185"/>
    </row>
    <row r="36" spans="1:20" s="23" customFormat="1" ht="15" customHeight="1">
      <c r="A36" s="60"/>
      <c r="B36" s="61"/>
      <c r="C36" s="37"/>
      <c r="D36" s="37"/>
      <c r="E36" s="502"/>
      <c r="F36" s="51"/>
      <c r="G36" s="51"/>
      <c r="H36" s="463"/>
      <c r="I36"/>
      <c r="J36" s="497"/>
      <c r="K36" s="497"/>
      <c r="L36" s="497"/>
      <c r="N36" s="497"/>
      <c r="O36" s="497"/>
      <c r="P36" s="497"/>
      <c r="Q36" s="2125"/>
      <c r="R36" s="2185"/>
    </row>
    <row r="37" spans="1:20" ht="15" customHeight="1">
      <c r="A37" s="44"/>
      <c r="B37" s="7" t="s">
        <v>251</v>
      </c>
      <c r="E37" s="373"/>
      <c r="F37" s="254"/>
      <c r="G37" s="16"/>
      <c r="H37" s="254"/>
      <c r="I37"/>
      <c r="J37" s="254"/>
      <c r="K37" s="254"/>
      <c r="L37" s="254"/>
      <c r="M37" s="23"/>
      <c r="N37" s="254"/>
      <c r="O37" s="254"/>
      <c r="P37" s="254"/>
      <c r="Q37" s="2125"/>
      <c r="R37" s="2185"/>
      <c r="S37" s="23"/>
      <c r="T37" s="23"/>
    </row>
    <row r="38" spans="1:20" ht="15" customHeight="1">
      <c r="A38" s="34">
        <f>+A33+1</f>
        <v>15</v>
      </c>
      <c r="B38" s="34"/>
      <c r="C38" s="309" t="s">
        <v>274</v>
      </c>
      <c r="D38" s="22"/>
      <c r="E38" s="99" t="str">
        <f>"(Note "&amp;B$319&amp;")"</f>
        <v>(Note M)</v>
      </c>
      <c r="F38" s="254" t="s">
        <v>177</v>
      </c>
      <c r="G38" s="9"/>
      <c r="H38" s="626">
        <f>'Att 5 - Cost Support'!G20</f>
        <v>6122640456.5884609</v>
      </c>
      <c r="I38"/>
      <c r="J38" s="1267">
        <v>5910756444.3699999</v>
      </c>
      <c r="K38" s="1094">
        <f>$H38-J38</f>
        <v>211884012.21846104</v>
      </c>
      <c r="L38" s="1576">
        <f>IF(J38=0,"n/m",K38/ABS(J38))</f>
        <v>3.5847190492898875E-2</v>
      </c>
      <c r="M38" s="23"/>
      <c r="N38" s="1267">
        <v>6051719907.0800028</v>
      </c>
      <c r="O38" s="1094">
        <f>$H38-N38</f>
        <v>70920549.508458138</v>
      </c>
      <c r="P38" s="1576">
        <f>IF(N38=0,"n/m",O38/ABS(N38))</f>
        <v>1.1719073353921595E-2</v>
      </c>
      <c r="Q38" s="2125"/>
      <c r="R38" s="2185"/>
      <c r="S38" s="23"/>
      <c r="T38" s="23"/>
    </row>
    <row r="39" spans="1:20"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0</v>
      </c>
      <c r="I39"/>
      <c r="J39" s="1268">
        <v>78371399.303223729</v>
      </c>
      <c r="K39" s="1094">
        <f>$H39-J39</f>
        <v>-78371399.303223729</v>
      </c>
      <c r="L39" s="1576">
        <f>IF(J39=0,"n/m",K39/ABS(J39))</f>
        <v>-1</v>
      </c>
      <c r="M39" s="23"/>
      <c r="N39" s="1268">
        <v>80207524.699294552</v>
      </c>
      <c r="O39" s="1094">
        <f>$H39-N39</f>
        <v>-80207524.699294552</v>
      </c>
      <c r="P39" s="1576">
        <f>IF(N39=0,"n/m",O39/ABS(N39))</f>
        <v>-1</v>
      </c>
      <c r="Q39" s="2125"/>
      <c r="R39" s="2185"/>
      <c r="S39" s="23"/>
      <c r="T39" s="23"/>
    </row>
    <row r="40" spans="1:20" ht="15" customHeight="1">
      <c r="A40" s="34">
        <f>+A39+1</f>
        <v>17</v>
      </c>
      <c r="B40" s="34"/>
      <c r="C40" s="7" t="s">
        <v>13</v>
      </c>
      <c r="D40" s="22"/>
      <c r="E40" s="99"/>
      <c r="F40" s="242" t="str">
        <f>"(Line "&amp;A38&amp;" + Line "&amp;A39&amp;")"</f>
        <v>(Line 15 + Line 16)</v>
      </c>
      <c r="G40" s="9"/>
      <c r="H40" s="627">
        <f>H38+H39</f>
        <v>6122640456.5884609</v>
      </c>
      <c r="I40"/>
      <c r="J40" s="627">
        <v>5989127843.6732235</v>
      </c>
      <c r="K40" s="1609">
        <f>$H40-J40</f>
        <v>133512612.91523743</v>
      </c>
      <c r="L40" s="1601">
        <f>IF(J40=0,"n/m",K40/ABS(J40))</f>
        <v>2.2292496737446852E-2</v>
      </c>
      <c r="N40" s="627">
        <v>6131927431.7792969</v>
      </c>
      <c r="O40" s="1609">
        <f>$H40-N40</f>
        <v>-9286975.1908359528</v>
      </c>
      <c r="P40" s="1601">
        <f>IF(N40=0,"n/m",O40/ABS(N40))</f>
        <v>-1.5145279023860135E-3</v>
      </c>
      <c r="Q40" s="2125"/>
      <c r="R40" s="2185"/>
      <c r="T40" s="38"/>
    </row>
    <row r="41" spans="1:20" s="23" customFormat="1" ht="15" customHeight="1">
      <c r="A41" s="34"/>
      <c r="B41" s="34"/>
      <c r="C41" s="309"/>
      <c r="D41" s="22"/>
      <c r="E41" s="2605"/>
      <c r="F41" s="254"/>
      <c r="G41" s="22"/>
      <c r="H41" s="626"/>
      <c r="I41"/>
      <c r="J41" s="626"/>
      <c r="K41" s="626"/>
      <c r="L41" s="626"/>
      <c r="N41" s="626"/>
      <c r="O41" s="626"/>
      <c r="P41" s="626"/>
      <c r="Q41" s="2125"/>
      <c r="R41" s="2185"/>
      <c r="T41" s="51"/>
    </row>
    <row r="42" spans="1:20" ht="15" customHeight="1">
      <c r="A42" s="34">
        <f>+A40+1</f>
        <v>18</v>
      </c>
      <c r="B42" s="34"/>
      <c r="C42" s="309" t="s">
        <v>469</v>
      </c>
      <c r="D42" s="22"/>
      <c r="E42" s="99" t="str">
        <f>"(Note "&amp;B$320&amp;")"</f>
        <v>(Note N)</v>
      </c>
      <c r="F42" s="254" t="s">
        <v>177</v>
      </c>
      <c r="G42" s="22"/>
      <c r="H42" s="626">
        <f>+'Att 5 - Cost Support'!G46</f>
        <v>1204397849.105</v>
      </c>
      <c r="I42"/>
      <c r="J42" s="1267">
        <v>1173341617.1799996</v>
      </c>
      <c r="K42" s="1094">
        <f>$H42-J42</f>
        <v>31056231.925000429</v>
      </c>
      <c r="L42" s="1576">
        <f>IF(J42=0,"n/m",K42/ABS(J42))</f>
        <v>2.6468192613538027E-2</v>
      </c>
      <c r="N42" s="1267">
        <v>1177924891.47</v>
      </c>
      <c r="O42" s="1094">
        <f>$H42-N42</f>
        <v>26472957.63499999</v>
      </c>
      <c r="P42" s="1576">
        <f>IF(N42=0,"n/m",O42/ABS(N42))</f>
        <v>2.2474232293336522E-2</v>
      </c>
      <c r="Q42" s="2125"/>
      <c r="R42" s="2185"/>
      <c r="T42" s="51"/>
    </row>
    <row r="43" spans="1:20" ht="15" customHeight="1">
      <c r="A43" s="34">
        <f>A42+1</f>
        <v>19</v>
      </c>
      <c r="B43" s="34"/>
      <c r="C43" s="309" t="s">
        <v>833</v>
      </c>
      <c r="D43" s="22"/>
      <c r="E43" s="99" t="str">
        <f>"(Note "&amp;B$320&amp;")"</f>
        <v>(Note N)</v>
      </c>
      <c r="F43" s="478" t="s">
        <v>177</v>
      </c>
      <c r="G43" s="22"/>
      <c r="H43" s="626">
        <f>+'Att 5 - Cost Support'!G41</f>
        <v>910555724.64499998</v>
      </c>
      <c r="I43"/>
      <c r="J43" s="1267">
        <v>876732474.41999996</v>
      </c>
      <c r="K43" s="1094">
        <f>$H43-J43</f>
        <v>33823250.225000024</v>
      </c>
      <c r="L43" s="1576">
        <f>IF(J43=0,"n/m",K43/ABS(J43))</f>
        <v>3.8578758300672852E-2</v>
      </c>
      <c r="N43" s="1267">
        <v>884188667.33000004</v>
      </c>
      <c r="O43" s="1094">
        <f>$H43-N43</f>
        <v>26367057.314999938</v>
      </c>
      <c r="P43" s="1576">
        <f>IF(N43=0,"n/m",O43/ABS(N43))</f>
        <v>2.9820623458815643E-2</v>
      </c>
      <c r="Q43" s="2125"/>
      <c r="R43" s="2185"/>
      <c r="T43" s="51"/>
    </row>
    <row r="44" spans="1:20" ht="15" customHeight="1">
      <c r="A44" s="34">
        <f>A43+1</f>
        <v>20</v>
      </c>
      <c r="B44" s="34"/>
      <c r="C44" s="313" t="s">
        <v>88</v>
      </c>
      <c r="D44" s="24"/>
      <c r="E44" s="90"/>
      <c r="F44" s="242" t="str">
        <f>"(Line "&amp;A42&amp;" + Line "&amp;A43&amp;")"</f>
        <v>(Line 18 + Line 19)</v>
      </c>
      <c r="G44" s="24"/>
      <c r="H44" s="624">
        <f>SUM(H42:H43)</f>
        <v>2114953573.75</v>
      </c>
      <c r="I44"/>
      <c r="J44" s="624">
        <v>2050074091.5999994</v>
      </c>
      <c r="K44" s="1609">
        <f>$H44-J44</f>
        <v>64879482.150000572</v>
      </c>
      <c r="L44" s="1601">
        <f>IF(J44=0,"n/m",K44/ABS(J44))</f>
        <v>3.1647384070575116E-2</v>
      </c>
      <c r="N44" s="624">
        <v>2062113558.8000002</v>
      </c>
      <c r="O44" s="1609">
        <f>$H44-N44</f>
        <v>52840014.949999809</v>
      </c>
      <c r="P44" s="1601">
        <f>IF(N44=0,"n/m",O44/ABS(N44))</f>
        <v>2.5624202277564602E-2</v>
      </c>
      <c r="Q44" s="2125"/>
      <c r="R44" s="2185"/>
      <c r="T44" s="51"/>
    </row>
    <row r="45" spans="1:20" ht="15" customHeight="1">
      <c r="A45" s="34">
        <f>+A44+1</f>
        <v>21</v>
      </c>
      <c r="B45" s="34"/>
      <c r="C45" s="78" t="s">
        <v>12</v>
      </c>
      <c r="D45" s="309"/>
      <c r="E45" s="373"/>
      <c r="F45" s="478" t="str">
        <f>"(Line "&amp;A$18&amp;")"</f>
        <v>(Line 5)</v>
      </c>
      <c r="G45" s="185"/>
      <c r="H45" s="511">
        <f>Allocator.wages.salary</f>
        <v>8.4851850814689656E-2</v>
      </c>
      <c r="I45"/>
      <c r="J45" s="511">
        <v>7.8815542097072699E-2</v>
      </c>
      <c r="K45" s="511"/>
      <c r="L45" s="511"/>
      <c r="N45" s="511">
        <v>8.7245911656529326E-2</v>
      </c>
      <c r="O45" s="1614"/>
      <c r="P45" s="1614"/>
      <c r="Q45" s="2125"/>
      <c r="R45" s="2185"/>
      <c r="T45" s="51"/>
    </row>
    <row r="46" spans="1:20" ht="15" customHeight="1">
      <c r="A46" s="34">
        <f>A45+1</f>
        <v>22</v>
      </c>
      <c r="B46" s="23"/>
      <c r="C46" s="249" t="s">
        <v>466</v>
      </c>
      <c r="D46" s="26"/>
      <c r="E46" s="512"/>
      <c r="F46" s="242" t="str">
        <f>"(Line "&amp;A44&amp;" * Line "&amp;A45&amp;")"</f>
        <v>(Line 20 * Line 21)</v>
      </c>
      <c r="G46" s="26"/>
      <c r="H46" s="624">
        <f>+H44*H45</f>
        <v>179457725.11982974</v>
      </c>
      <c r="I46"/>
      <c r="J46" s="624">
        <v>161577700.86861783</v>
      </c>
      <c r="K46" s="1609">
        <f>$H46-J46</f>
        <v>17880024.251211911</v>
      </c>
      <c r="L46" s="1601">
        <f>IF(J46=0,"n/m",K46/ABS(J46))</f>
        <v>0.11065898422301805</v>
      </c>
      <c r="M46" s="343"/>
      <c r="N46" s="624">
        <v>179910977.3767961</v>
      </c>
      <c r="O46" s="1609">
        <f>$H46-N46</f>
        <v>-453252.25696635246</v>
      </c>
      <c r="P46" s="1601">
        <f>IF(N46=0,"n/m",O46/ABS(N46))</f>
        <v>-2.5193140717427419E-3</v>
      </c>
      <c r="Q46" s="2125"/>
      <c r="R46" s="2185"/>
      <c r="S46" s="632"/>
      <c r="T46" s="51"/>
    </row>
    <row r="47" spans="1:20" ht="15" customHeight="1">
      <c r="A47" s="45"/>
      <c r="B47" s="23"/>
      <c r="C47" s="7"/>
      <c r="D47" s="23"/>
      <c r="E47" s="125"/>
      <c r="F47" s="23"/>
      <c r="G47" s="23"/>
      <c r="H47" s="628"/>
      <c r="I47"/>
      <c r="J47" s="628"/>
      <c r="K47" s="628"/>
      <c r="L47" s="628"/>
      <c r="N47" s="628"/>
      <c r="O47" s="628"/>
      <c r="P47" s="628"/>
      <c r="Q47" s="2125"/>
      <c r="R47" s="2185"/>
    </row>
    <row r="48" spans="1:20" ht="15" customHeight="1">
      <c r="A48" s="34">
        <f>+A46+1</f>
        <v>23</v>
      </c>
      <c r="B48" s="34"/>
      <c r="C48" s="12" t="s">
        <v>112</v>
      </c>
      <c r="D48" s="100"/>
      <c r="E48" s="99" t="str">
        <f>"(Notes "&amp;B$300&amp;" &amp; "&amp;B$317&amp;")"</f>
        <v>(Notes B &amp; L)</v>
      </c>
      <c r="F48" s="372" t="s">
        <v>177</v>
      </c>
      <c r="G48" s="24"/>
      <c r="H48" s="642">
        <f>'Att 5 - Cost Support'!I174</f>
        <v>3657534.48</v>
      </c>
      <c r="I48"/>
      <c r="J48" s="1269">
        <v>3657534.48</v>
      </c>
      <c r="K48" s="1609">
        <f>$H48-J48</f>
        <v>0</v>
      </c>
      <c r="L48" s="1601">
        <f>IF(J48=0,"n/m",K48/ABS(J48))</f>
        <v>0</v>
      </c>
      <c r="N48" s="1269">
        <v>3657534.48</v>
      </c>
      <c r="O48" s="1609">
        <f>$H48-N48</f>
        <v>0</v>
      </c>
      <c r="P48" s="1601">
        <f>IF(N48=0,"n/m",O48/ABS(N48))</f>
        <v>0</v>
      </c>
      <c r="Q48" s="2125"/>
      <c r="R48" s="2185"/>
      <c r="S48" s="2182"/>
    </row>
    <row r="49" spans="1:16372" ht="15" customHeight="1">
      <c r="A49" s="45"/>
      <c r="B49" s="23"/>
      <c r="C49" s="7"/>
      <c r="D49" s="23"/>
      <c r="E49" s="45"/>
      <c r="F49" s="23"/>
      <c r="G49" s="349"/>
      <c r="H49" s="628"/>
      <c r="I49"/>
      <c r="J49" s="628"/>
      <c r="K49" s="628"/>
      <c r="L49" s="628"/>
      <c r="N49" s="628"/>
      <c r="O49" s="628"/>
      <c r="P49" s="628"/>
      <c r="Q49" s="2125"/>
      <c r="R49" s="2185"/>
    </row>
    <row r="50" spans="1:16372" s="1" customFormat="1" ht="15" customHeight="1" thickBot="1">
      <c r="A50" s="34">
        <f>+A48+1</f>
        <v>24</v>
      </c>
      <c r="B50" s="15" t="s">
        <v>195</v>
      </c>
      <c r="C50" s="171"/>
      <c r="D50" s="171"/>
      <c r="E50" s="194"/>
      <c r="F50" s="508" t="str">
        <f>"(Line "&amp;A40&amp;" + Line "&amp;A46&amp;" + Line "&amp;A48&amp;")"</f>
        <v>(Line 17 + Line 22 + Line 23)</v>
      </c>
      <c r="G50" s="15"/>
      <c r="H50" s="629">
        <f>H40+H46+H48</f>
        <v>6305755716.1882906</v>
      </c>
      <c r="I50"/>
      <c r="J50" s="629">
        <v>6154363079.021841</v>
      </c>
      <c r="K50" s="1638">
        <f>$H50-J50</f>
        <v>151392637.16644955</v>
      </c>
      <c r="L50" s="1639">
        <f>IF(J50=0,"n/m",K50/ABS(J50))</f>
        <v>2.4599237195234103E-2</v>
      </c>
      <c r="N50" s="629">
        <v>6315495943.6360922</v>
      </c>
      <c r="O50" s="1638">
        <f>$H50-N50</f>
        <v>-9740227.44780159</v>
      </c>
      <c r="P50" s="1639">
        <f>IF(N50=0,"n/m",O50/ABS(N50))</f>
        <v>-1.5422743573474196E-3</v>
      </c>
      <c r="Q50" s="2125"/>
      <c r="R50" s="2185"/>
    </row>
    <row r="51" spans="1:16372" ht="15" customHeight="1" thickTop="1">
      <c r="A51" s="45"/>
      <c r="B51" s="349"/>
      <c r="C51" s="23"/>
      <c r="D51" s="23"/>
      <c r="E51" s="45"/>
      <c r="F51" s="349"/>
      <c r="G51" s="349"/>
      <c r="H51" s="623"/>
      <c r="I51"/>
      <c r="J51" s="623"/>
      <c r="K51" s="623"/>
      <c r="L51" s="623"/>
      <c r="N51" s="623"/>
      <c r="O51" s="623"/>
      <c r="P51" s="623"/>
      <c r="Q51" s="2125"/>
      <c r="R51" s="2185"/>
    </row>
    <row r="52" spans="1:16372" ht="15" customHeight="1">
      <c r="A52" s="34"/>
      <c r="B52" s="7" t="s">
        <v>707</v>
      </c>
      <c r="C52" s="7"/>
      <c r="D52" s="254"/>
      <c r="E52" s="373"/>
      <c r="F52" s="476"/>
      <c r="G52" s="513"/>
      <c r="H52" s="626"/>
      <c r="I52"/>
      <c r="J52" s="626"/>
      <c r="K52" s="626"/>
      <c r="L52" s="626"/>
      <c r="N52" s="626"/>
      <c r="O52" s="626"/>
      <c r="P52" s="626"/>
      <c r="Q52" s="2125"/>
      <c r="R52" s="2185"/>
    </row>
    <row r="53" spans="1:16372" ht="15" customHeight="1">
      <c r="A53" s="45"/>
      <c r="B53" s="22"/>
      <c r="C53" s="22"/>
      <c r="D53" s="22"/>
      <c r="E53" s="373"/>
      <c r="F53" s="254"/>
      <c r="G53" s="476"/>
      <c r="H53" s="626"/>
      <c r="I53"/>
      <c r="J53" s="626"/>
      <c r="K53" s="626"/>
      <c r="L53" s="626"/>
      <c r="N53" s="626"/>
      <c r="O53" s="626"/>
      <c r="P53" s="626"/>
      <c r="Q53" s="2125"/>
      <c r="R53" s="2185"/>
    </row>
    <row r="54" spans="1:16372" ht="15" customHeight="1">
      <c r="A54" s="34">
        <f>+A50+1</f>
        <v>25</v>
      </c>
      <c r="B54" s="34"/>
      <c r="C54" s="309" t="s">
        <v>287</v>
      </c>
      <c r="D54" s="22"/>
      <c r="E54" s="99" t="str">
        <f>"(Note "&amp;B$319&amp;")"</f>
        <v>(Note M)</v>
      </c>
      <c r="F54" s="254" t="s">
        <v>177</v>
      </c>
      <c r="G54" s="22"/>
      <c r="H54" s="627">
        <f>+'Att 5 - Cost Support'!G88</f>
        <v>1639289797.8369229</v>
      </c>
      <c r="I54"/>
      <c r="J54" s="1270">
        <v>1503737224.9200001</v>
      </c>
      <c r="K54" s="1094">
        <f>$H54-J54</f>
        <v>135552572.91692281</v>
      </c>
      <c r="L54" s="1576">
        <f>IF(J54=0,"n/m",K54/ABS(J54))</f>
        <v>9.0143790198539714E-2</v>
      </c>
      <c r="N54" s="1270">
        <v>1592275183.24</v>
      </c>
      <c r="O54" s="1094">
        <f>$H54-N54</f>
        <v>47014614.596922874</v>
      </c>
      <c r="P54" s="1576">
        <f>IF(N54=0,"n/m",O54/ABS(N54))</f>
        <v>2.9526689288252549E-2</v>
      </c>
      <c r="Q54" s="2125"/>
      <c r="R54" s="2185"/>
      <c r="S54" s="349"/>
      <c r="T54" s="2242"/>
      <c r="U54" s="2242"/>
      <c r="V54" s="2242"/>
      <c r="W54" s="2242"/>
      <c r="X54" s="2242"/>
      <c r="Y54" s="2242"/>
      <c r="Z54" s="2242"/>
      <c r="AA54" s="2242"/>
      <c r="AB54" s="2242"/>
    </row>
    <row r="55" spans="1:16372" ht="15" customHeight="1">
      <c r="A55" s="34"/>
      <c r="B55" s="34"/>
      <c r="C55" s="249"/>
      <c r="D55" s="37"/>
      <c r="E55" s="99"/>
      <c r="F55" s="242"/>
      <c r="G55" s="37"/>
      <c r="H55" s="628"/>
      <c r="I55"/>
      <c r="J55" s="628">
        <v>0</v>
      </c>
      <c r="K55" s="628"/>
      <c r="L55" s="628"/>
      <c r="N55" s="628"/>
      <c r="O55" s="628"/>
      <c r="P55" s="628"/>
      <c r="Q55" s="2125"/>
      <c r="R55" s="2185"/>
    </row>
    <row r="56" spans="1:16372" ht="15" customHeight="1">
      <c r="A56" s="34">
        <f>A54+1</f>
        <v>26</v>
      </c>
      <c r="B56" s="34"/>
      <c r="C56" s="249" t="s">
        <v>318</v>
      </c>
      <c r="D56" s="37"/>
      <c r="E56" s="99" t="str">
        <f>"(Note "&amp;B320&amp;")"</f>
        <v>(Note N)</v>
      </c>
      <c r="F56" s="254" t="s">
        <v>177</v>
      </c>
      <c r="G56" s="37"/>
      <c r="H56" s="628">
        <f>+'Att 5 - Cost Support'!G114</f>
        <v>447826031.25</v>
      </c>
      <c r="I56"/>
      <c r="J56" s="1126">
        <v>418947736.92000002</v>
      </c>
      <c r="K56" s="1094">
        <f>$H56-J56</f>
        <v>28878294.329999983</v>
      </c>
      <c r="L56" s="1576">
        <f>IF(J56=0,"n/m",K56/ABS(J56))</f>
        <v>6.8930541413843291E-2</v>
      </c>
      <c r="N56" s="1126">
        <v>434316473.50999999</v>
      </c>
      <c r="O56" s="1094">
        <f>$H56-N56</f>
        <v>13509557.74000001</v>
      </c>
      <c r="P56" s="1576">
        <f>IF(N56=0,"n/m",O56/ABS(N56))</f>
        <v>3.1105331167432582E-2</v>
      </c>
      <c r="Q56" s="2125"/>
      <c r="R56" s="2185"/>
      <c r="S56" s="349"/>
    </row>
    <row r="57" spans="1:16372" ht="15" customHeight="1">
      <c r="A57" s="344">
        <f>+A56+1</f>
        <v>27</v>
      </c>
      <c r="B57" s="34"/>
      <c r="C57" s="510" t="str">
        <f>+C24</f>
        <v>Accumulated Amortization</v>
      </c>
      <c r="D57" s="98"/>
      <c r="E57" s="102" t="str">
        <f>"(Note "&amp;B$320&amp;")"</f>
        <v>(Note N)</v>
      </c>
      <c r="F57" s="478" t="str">
        <f>"(Line "&amp;A$24&amp;")"</f>
        <v>(Line 8)</v>
      </c>
      <c r="G57" s="98"/>
      <c r="H57" s="630">
        <f>H24</f>
        <v>565270589.54500008</v>
      </c>
      <c r="I57"/>
      <c r="J57" s="630">
        <v>559800279.63999999</v>
      </c>
      <c r="K57" s="1094">
        <f>$H57-J57</f>
        <v>5470309.9050000906</v>
      </c>
      <c r="L57" s="1576">
        <f>IF(J57=0,"n/m",K57/ABS(J57))</f>
        <v>9.7718956277013172E-3</v>
      </c>
      <c r="N57" s="630">
        <v>550553312</v>
      </c>
      <c r="O57" s="1094">
        <f>$H57-N57</f>
        <v>14717277.545000076</v>
      </c>
      <c r="P57" s="1576">
        <f>IF(N57=0,"n/m",O57/ABS(N57))</f>
        <v>2.6731793677775707E-2</v>
      </c>
      <c r="Q57" s="2125"/>
      <c r="R57" s="2185"/>
    </row>
    <row r="58" spans="1:16372" ht="15" customHeight="1">
      <c r="A58" s="34">
        <f>A57+1</f>
        <v>28</v>
      </c>
      <c r="B58" s="34"/>
      <c r="C58" s="26" t="s">
        <v>737</v>
      </c>
      <c r="D58" s="37"/>
      <c r="E58" s="245"/>
      <c r="F58" s="242" t="str">
        <f>"(Line "&amp;A56&amp;" + "&amp;A57&amp;")"</f>
        <v>(Line 26 + 27)</v>
      </c>
      <c r="G58" s="242"/>
      <c r="H58" s="628">
        <f>+H56+H57</f>
        <v>1013096620.7950001</v>
      </c>
      <c r="I58"/>
      <c r="J58" s="628">
        <v>978748016.55999994</v>
      </c>
      <c r="K58" s="1609">
        <f>$H58-J58</f>
        <v>34348604.235000134</v>
      </c>
      <c r="L58" s="1601">
        <f>IF(J58=0,"n/m",K58/ABS(J58))</f>
        <v>3.5094430490623087E-2</v>
      </c>
      <c r="N58" s="628">
        <v>984869785.50999999</v>
      </c>
      <c r="O58" s="1609">
        <f>$H58-N58</f>
        <v>28226835.285000086</v>
      </c>
      <c r="P58" s="1601">
        <f>IF(N58=0,"n/m",O58/ABS(N58))</f>
        <v>2.8660474410211745E-2</v>
      </c>
      <c r="Q58" s="2125"/>
      <c r="R58" s="2185"/>
    </row>
    <row r="59" spans="1:16372" ht="15" customHeight="1">
      <c r="A59" s="34">
        <f>+A58+1</f>
        <v>29</v>
      </c>
      <c r="B59" s="34"/>
      <c r="C59" s="249" t="str">
        <f>+C45</f>
        <v>Wage &amp; Salary Allocator</v>
      </c>
      <c r="D59" s="37"/>
      <c r="E59" s="245"/>
      <c r="F59" s="478" t="str">
        <f>"(Line "&amp;A$18&amp;")"</f>
        <v>(Line 5)</v>
      </c>
      <c r="G59" s="242"/>
      <c r="H59" s="514">
        <f>Allocator.wages.salary</f>
        <v>8.4851850814689656E-2</v>
      </c>
      <c r="I59"/>
      <c r="J59" s="1603">
        <v>7.8815542097072699E-2</v>
      </c>
      <c r="K59" s="514"/>
      <c r="L59" s="514"/>
      <c r="N59" s="1603">
        <v>8.7245911656529326E-2</v>
      </c>
      <c r="O59" s="1603"/>
      <c r="P59" s="1603"/>
      <c r="Q59" s="2125"/>
      <c r="R59" s="2185"/>
    </row>
    <row r="60" spans="1:16372" ht="15" customHeight="1">
      <c r="A60" s="34">
        <f>+A59+1</f>
        <v>30</v>
      </c>
      <c r="B60" s="23"/>
      <c r="C60" s="313" t="s">
        <v>87</v>
      </c>
      <c r="D60" s="26"/>
      <c r="E60" s="90"/>
      <c r="F60" s="242" t="str">
        <f>"(Line "&amp;A58&amp;" * Line "&amp;A59&amp;")"</f>
        <v>(Line 28 * Line 29)</v>
      </c>
      <c r="G60" s="26"/>
      <c r="H60" s="624">
        <f>H58*H59</f>
        <v>85963123.328563571</v>
      </c>
      <c r="I60"/>
      <c r="J60" s="624">
        <v>77140555.501611084</v>
      </c>
      <c r="K60" s="1609">
        <f>$H60-J60</f>
        <v>8822567.8269524872</v>
      </c>
      <c r="L60" s="1601">
        <f>IF(J60=0,"n/m",K60/ABS(J60))</f>
        <v>0.11437003233361766</v>
      </c>
      <c r="N60" s="624">
        <v>85925862.299790442</v>
      </c>
      <c r="O60" s="1609">
        <f>$H60-N60</f>
        <v>37261.028773128986</v>
      </c>
      <c r="P60" s="1601">
        <f>IF(N60=0,"n/m",O60/ABS(N60))</f>
        <v>4.3364160423700349E-4</v>
      </c>
      <c r="Q60" s="2125"/>
      <c r="R60" s="2185"/>
    </row>
    <row r="61" spans="1:16372" ht="15" customHeight="1">
      <c r="A61" s="45"/>
      <c r="B61" s="23"/>
      <c r="C61" s="23"/>
      <c r="D61" s="23"/>
      <c r="E61" s="45"/>
      <c r="F61" s="45"/>
      <c r="G61" s="44"/>
      <c r="H61" s="438"/>
      <c r="I61"/>
      <c r="J61" s="438"/>
      <c r="K61" s="438"/>
      <c r="L61" s="438"/>
      <c r="N61" s="438"/>
      <c r="O61" s="438"/>
      <c r="P61" s="438"/>
      <c r="Q61" s="2125"/>
      <c r="R61" s="2185"/>
    </row>
    <row r="62" spans="1:16372" ht="15" customHeight="1" thickBot="1">
      <c r="A62" s="34">
        <f>+A60+1</f>
        <v>31</v>
      </c>
      <c r="B62" s="171" t="s">
        <v>706</v>
      </c>
      <c r="C62" s="171"/>
      <c r="D62" s="171"/>
      <c r="E62" s="194"/>
      <c r="F62" s="974" t="str">
        <f>"(Line "&amp;A54&amp;" + Line "&amp;A60&amp;" )"</f>
        <v>(Line 25 + Line 30 )</v>
      </c>
      <c r="G62" s="199"/>
      <c r="H62" s="629">
        <f>H54+H60</f>
        <v>1725252921.1654863</v>
      </c>
      <c r="I62"/>
      <c r="J62" s="629">
        <v>1580877780.4216111</v>
      </c>
      <c r="K62" s="1638">
        <f>$H62-J62</f>
        <v>144375140.74387527</v>
      </c>
      <c r="L62" s="1639">
        <f>IF(J62=0,"n/m",K62/ABS(J62))</f>
        <v>9.1325934573747533E-2</v>
      </c>
      <c r="N62" s="629">
        <v>1678201045.5397904</v>
      </c>
      <c r="O62" s="1638">
        <f>$H62-N62</f>
        <v>47051875.625695944</v>
      </c>
      <c r="P62" s="1639">
        <f>IF(N62=0,"n/m",O62/ABS(N62))</f>
        <v>2.8037091116554388E-2</v>
      </c>
      <c r="Q62" s="2125"/>
      <c r="R62" s="2185"/>
    </row>
    <row r="63" spans="1:16372" ht="15" customHeight="1" thickTop="1">
      <c r="A63" s="45"/>
      <c r="B63" s="349"/>
      <c r="C63" s="349"/>
      <c r="D63" s="349"/>
      <c r="F63" s="23"/>
      <c r="G63" s="9"/>
      <c r="H63" s="623"/>
      <c r="I63"/>
      <c r="J63" s="623">
        <v>0</v>
      </c>
      <c r="K63" s="623"/>
      <c r="L63" s="623"/>
      <c r="M63" s="349"/>
      <c r="N63" s="623"/>
      <c r="O63" s="623"/>
      <c r="P63" s="623"/>
      <c r="Q63" s="2125"/>
      <c r="R63" s="2185"/>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c r="XER63" s="349"/>
    </row>
    <row r="64" spans="1:16372" ht="15" customHeight="1" thickBot="1">
      <c r="A64" s="34">
        <f>+A62+1</f>
        <v>32</v>
      </c>
      <c r="B64" s="15" t="s">
        <v>4</v>
      </c>
      <c r="C64" s="15"/>
      <c r="D64" s="15"/>
      <c r="E64" s="88"/>
      <c r="F64" s="508" t="str">
        <f>"(Line "&amp;A50&amp;" - Line "&amp;A62&amp;")"</f>
        <v>(Line 24 - Line 31)</v>
      </c>
      <c r="G64" s="15"/>
      <c r="H64" s="629">
        <f>H50-H62</f>
        <v>4580502795.0228043</v>
      </c>
      <c r="I64"/>
      <c r="J64" s="629">
        <v>4573485298.6002302</v>
      </c>
      <c r="K64" s="1638">
        <f>$H64-J64</f>
        <v>7017496.4225740433</v>
      </c>
      <c r="L64" s="1639">
        <f>IF(J64=0,"n/m",K64/ABS(J64))</f>
        <v>1.5343870078082097E-3</v>
      </c>
      <c r="M64" s="349"/>
      <c r="N64" s="629">
        <v>4637294898.096302</v>
      </c>
      <c r="O64" s="1638">
        <f>$H64-N64</f>
        <v>-56792103.073497772</v>
      </c>
      <c r="P64" s="1639">
        <f>IF(N64=0,"n/m",O64/ABS(N64))</f>
        <v>-1.2246817233213272E-2</v>
      </c>
      <c r="Q64" s="2125"/>
      <c r="R64" s="2185"/>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c r="XER64" s="349"/>
    </row>
    <row r="65" spans="1:16372" ht="15" customHeight="1" thickTop="1">
      <c r="A65" s="44"/>
      <c r="B65" s="349"/>
      <c r="C65" s="349"/>
      <c r="D65" s="349"/>
      <c r="F65" s="23"/>
      <c r="G65" s="349"/>
      <c r="H65" s="349"/>
      <c r="I65"/>
      <c r="M65" s="349"/>
      <c r="Q65" s="2125"/>
      <c r="R65" s="2185"/>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c r="XER65" s="349"/>
    </row>
    <row r="66" spans="1:16372" ht="15" customHeight="1">
      <c r="A66" s="625" t="s">
        <v>918</v>
      </c>
      <c r="B66" s="56"/>
      <c r="C66" s="56"/>
      <c r="D66" s="56"/>
      <c r="E66" s="509"/>
      <c r="F66" s="57"/>
      <c r="G66" s="57"/>
      <c r="H66" s="63"/>
      <c r="I66"/>
      <c r="J66" s="63">
        <v>0</v>
      </c>
      <c r="K66" s="63"/>
      <c r="L66" s="63"/>
      <c r="M66" s="349"/>
      <c r="N66" s="63">
        <v>0</v>
      </c>
      <c r="O66" s="63"/>
      <c r="P66" s="63"/>
      <c r="Q66" s="2125"/>
      <c r="R66" s="2185"/>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c r="XER66" s="349"/>
    </row>
    <row r="67" spans="1:16372" ht="15" customHeight="1">
      <c r="A67" s="113"/>
      <c r="B67" s="114"/>
      <c r="C67" s="114"/>
      <c r="D67" s="114"/>
      <c r="F67" s="349"/>
      <c r="G67" s="349"/>
      <c r="H67" s="349"/>
      <c r="I67"/>
      <c r="M67" s="349"/>
      <c r="Q67" s="2125"/>
      <c r="R67" s="2185"/>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c r="XER67" s="349"/>
    </row>
    <row r="68" spans="1:16372" ht="15" customHeight="1">
      <c r="A68" s="45"/>
      <c r="B68" s="154" t="s">
        <v>60</v>
      </c>
      <c r="D68" s="23"/>
      <c r="E68" s="50"/>
      <c r="F68" s="349"/>
      <c r="G68" s="349"/>
      <c r="H68" s="476"/>
      <c r="I68"/>
      <c r="J68" s="476"/>
      <c r="K68" s="476"/>
      <c r="L68" s="476"/>
      <c r="M68" s="349"/>
      <c r="N68" s="476"/>
      <c r="O68" s="476"/>
      <c r="P68" s="476"/>
      <c r="Q68" s="2125"/>
      <c r="R68" s="2185"/>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c r="XER68" s="349"/>
    </row>
    <row r="69" spans="1:16372" ht="15" customHeight="1">
      <c r="A69" s="45">
        <f>+A64+1</f>
        <v>33</v>
      </c>
      <c r="B69" s="154"/>
      <c r="C69" s="22" t="s">
        <v>80</v>
      </c>
      <c r="D69" s="269"/>
      <c r="F69" s="29" t="s">
        <v>935</v>
      </c>
      <c r="G69" s="349"/>
      <c r="H69" s="627">
        <f>'Att 1A - ADIT'!J19</f>
        <v>-1116290225.3176727</v>
      </c>
      <c r="I69"/>
      <c r="J69" s="1270">
        <v>-1039502015.9837404</v>
      </c>
      <c r="K69" s="1094">
        <f>$H69-J69</f>
        <v>-76788209.333932281</v>
      </c>
      <c r="L69" s="1576">
        <f>IF(J69=0,"n/m",K69/ABS(J69))</f>
        <v>-7.3870187987334676E-2</v>
      </c>
      <c r="M69" s="349"/>
      <c r="N69" s="1270">
        <v>-1091271680.7079546</v>
      </c>
      <c r="O69" s="1094">
        <f>$H69-N69</f>
        <v>-25018544.609718084</v>
      </c>
      <c r="P69" s="1576">
        <f>IF(N69=0,"n/m",O69/ABS(N69))</f>
        <v>-2.2926045871077202E-2</v>
      </c>
      <c r="Q69" s="2125"/>
      <c r="R69" s="2185"/>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c r="XER69" s="349"/>
    </row>
    <row r="70" spans="1:16372" ht="15" customHeight="1">
      <c r="A70" s="45"/>
      <c r="B70" s="23"/>
      <c r="C70" s="154"/>
      <c r="D70" s="51"/>
      <c r="E70" s="103"/>
      <c r="F70" s="51"/>
      <c r="G70" s="38"/>
      <c r="H70" s="631"/>
      <c r="I70"/>
      <c r="J70" s="631"/>
      <c r="K70" s="631"/>
      <c r="L70" s="631"/>
      <c r="N70" s="631"/>
      <c r="O70" s="631"/>
      <c r="P70" s="631"/>
      <c r="Q70" s="2125"/>
      <c r="R70" s="2185"/>
    </row>
    <row r="71" spans="1:16372" ht="15" customHeight="1">
      <c r="A71" s="34"/>
      <c r="B71" s="107" t="s">
        <v>191</v>
      </c>
      <c r="C71" s="23"/>
      <c r="D71" s="23"/>
      <c r="E71" s="23"/>
      <c r="F71" s="22"/>
      <c r="G71" s="23"/>
      <c r="H71" s="623"/>
      <c r="I71"/>
      <c r="J71" s="623"/>
      <c r="K71" s="623"/>
      <c r="L71" s="623"/>
      <c r="N71" s="623"/>
      <c r="O71" s="623"/>
      <c r="P71" s="623"/>
      <c r="Q71" s="2125"/>
      <c r="R71" s="2185"/>
    </row>
    <row r="72" spans="1:16372"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4">
        <f>$H72-J72</f>
        <v>0</v>
      </c>
      <c r="L72" s="1576" t="str">
        <f>IF(J72=0,"n/m",K72/ABS(J72))</f>
        <v>n/m</v>
      </c>
      <c r="N72" s="1271">
        <v>0</v>
      </c>
      <c r="O72" s="1094">
        <f>$H72-N72</f>
        <v>0</v>
      </c>
      <c r="P72" s="1576" t="str">
        <f>IF(N72=0,"n/m",O72/ABS(N72))</f>
        <v>n/m</v>
      </c>
      <c r="Q72" s="2125"/>
      <c r="R72" s="2185"/>
    </row>
    <row r="73" spans="1:16372" ht="15" customHeight="1">
      <c r="A73" s="34"/>
      <c r="B73" s="34"/>
      <c r="C73" s="424"/>
      <c r="D73" s="99"/>
      <c r="E73" s="47"/>
      <c r="F73" s="28"/>
      <c r="G73" s="242"/>
      <c r="H73" s="623"/>
      <c r="I73"/>
      <c r="J73" s="623"/>
      <c r="K73" s="623"/>
      <c r="L73" s="623"/>
      <c r="N73" s="623"/>
      <c r="O73" s="623"/>
      <c r="P73" s="623"/>
      <c r="Q73" s="2125"/>
      <c r="R73" s="2185"/>
    </row>
    <row r="74" spans="1:16372" s="349" customFormat="1" ht="15" customHeight="1">
      <c r="A74" s="34"/>
      <c r="B74" s="7" t="s">
        <v>253</v>
      </c>
      <c r="C74" s="424"/>
      <c r="D74" s="99"/>
      <c r="E74" s="47"/>
      <c r="F74" s="28"/>
      <c r="G74" s="242"/>
      <c r="H74" s="623"/>
      <c r="I74"/>
      <c r="J74" s="623"/>
      <c r="K74" s="623"/>
      <c r="L74" s="623"/>
      <c r="M74" s="23"/>
      <c r="N74" s="623"/>
      <c r="O74" s="623"/>
      <c r="P74" s="623"/>
      <c r="Q74" s="2125"/>
      <c r="R74" s="2185"/>
    </row>
    <row r="75" spans="1:16372" s="349" customFormat="1" ht="15" customHeight="1">
      <c r="A75" s="34">
        <f>A72+1</f>
        <v>35</v>
      </c>
      <c r="B75" s="34"/>
      <c r="C75" s="249" t="s">
        <v>1078</v>
      </c>
      <c r="D75" s="99"/>
      <c r="E75" s="47"/>
      <c r="F75" s="37" t="s">
        <v>177</v>
      </c>
      <c r="G75" s="242"/>
      <c r="H75" s="1081">
        <f>-'Att 5 - Cost Support'!$J$165</f>
        <v>-52719.604082571655</v>
      </c>
      <c r="I75"/>
      <c r="J75" s="1271">
        <v>-147745.9045290584</v>
      </c>
      <c r="K75" s="1094">
        <f>$H75-J75</f>
        <v>95026.300446486741</v>
      </c>
      <c r="L75" s="1576">
        <f>IF(J75=0,"n/m",K75/ABS(J75))</f>
        <v>0.64317383787648164</v>
      </c>
      <c r="M75" s="23"/>
      <c r="N75" s="1272">
        <v>-83450.725917268632</v>
      </c>
      <c r="O75" s="1094">
        <f>$H75-N75</f>
        <v>30731.121834696976</v>
      </c>
      <c r="P75" s="1576">
        <f>IF(N75=0,"n/m",O75/ABS(N75))</f>
        <v>0.36825469757043444</v>
      </c>
      <c r="Q75" s="2125"/>
      <c r="R75" s="2185"/>
    </row>
    <row r="76" spans="1:16372" s="349" customFormat="1" ht="15" customHeight="1">
      <c r="A76" s="34"/>
      <c r="B76" s="34"/>
      <c r="C76" s="424"/>
      <c r="D76" s="99"/>
      <c r="E76" s="47"/>
      <c r="F76" s="28"/>
      <c r="G76" s="242"/>
      <c r="H76" s="623"/>
      <c r="I76"/>
      <c r="J76" s="623"/>
      <c r="K76" s="623"/>
      <c r="L76" s="623"/>
      <c r="M76" s="23"/>
      <c r="N76" s="623"/>
      <c r="O76" s="623"/>
      <c r="P76" s="623"/>
      <c r="Q76" s="2125"/>
      <c r="R76" s="2185"/>
    </row>
    <row r="77" spans="1:16372" s="349" customFormat="1" ht="15" customHeight="1">
      <c r="A77" s="34"/>
      <c r="B77" s="182" t="s">
        <v>671</v>
      </c>
      <c r="C77" s="21"/>
      <c r="D77" s="22"/>
      <c r="E77" s="45"/>
      <c r="F77" s="192"/>
      <c r="G77" s="515"/>
      <c r="H77" s="623"/>
      <c r="I77"/>
      <c r="J77" s="623"/>
      <c r="K77" s="623"/>
      <c r="L77" s="623"/>
      <c r="N77" s="623"/>
      <c r="O77" s="623"/>
      <c r="P77" s="623"/>
      <c r="Q77" s="2125"/>
      <c r="R77" s="2185"/>
    </row>
    <row r="78" spans="1:16372" s="349" customFormat="1" ht="15" customHeight="1">
      <c r="A78" s="34">
        <f>A75+1</f>
        <v>36</v>
      </c>
      <c r="B78" s="183"/>
      <c r="C78" s="332" t="s">
        <v>671</v>
      </c>
      <c r="D78" s="99"/>
      <c r="E78" s="99"/>
      <c r="F78" s="332" t="s">
        <v>1071</v>
      </c>
      <c r="G78" s="193"/>
      <c r="H78" s="633">
        <f>'Att 16 - Unfunded Reserves'!$AG$80</f>
        <v>-10215775.948242364</v>
      </c>
      <c r="I78"/>
      <c r="J78" s="1271">
        <v>-10698010.230083596</v>
      </c>
      <c r="K78" s="1094">
        <f>$H78-J78</f>
        <v>482234.28184123151</v>
      </c>
      <c r="L78" s="1576">
        <f>IF(J78=0,"n/m",K78/ABS(J78))</f>
        <v>4.507700698258383E-2</v>
      </c>
      <c r="N78" s="1273">
        <v>-10782868.398229374</v>
      </c>
      <c r="O78" s="1094">
        <f>$H78-N78</f>
        <v>567092.44998700917</v>
      </c>
      <c r="P78" s="1576">
        <f>IF(N78=0,"n/m",O78/ABS(N78))</f>
        <v>5.2591984715322122E-2</v>
      </c>
      <c r="Q78" s="2125"/>
      <c r="R78" s="2185"/>
    </row>
    <row r="79" spans="1:16372" s="349" customFormat="1" ht="15" customHeight="1">
      <c r="A79" s="34"/>
      <c r="B79" s="34"/>
      <c r="C79" s="424"/>
      <c r="D79" s="99"/>
      <c r="E79" s="47"/>
      <c r="F79" s="28"/>
      <c r="G79" s="242"/>
      <c r="H79" s="632"/>
      <c r="I79"/>
      <c r="J79" s="632"/>
      <c r="K79" s="632"/>
      <c r="L79" s="632"/>
      <c r="N79" s="632"/>
      <c r="O79" s="632"/>
      <c r="P79" s="632"/>
      <c r="Q79" s="2125"/>
      <c r="R79" s="2185"/>
    </row>
    <row r="80" spans="1:16372" ht="15" customHeight="1">
      <c r="A80" s="34"/>
      <c r="B80" s="182" t="s">
        <v>244</v>
      </c>
      <c r="C80" s="21"/>
      <c r="D80" s="22"/>
      <c r="E80" s="45"/>
      <c r="F80" s="192"/>
      <c r="G80" s="515"/>
      <c r="H80" s="632"/>
      <c r="I80"/>
      <c r="J80" s="632"/>
      <c r="K80" s="632"/>
      <c r="L80" s="632"/>
      <c r="N80" s="632"/>
      <c r="O80" s="632"/>
      <c r="P80" s="632"/>
      <c r="Q80" s="2125"/>
      <c r="R80" s="2185"/>
    </row>
    <row r="81" spans="1:19" ht="15" customHeight="1">
      <c r="A81" s="34">
        <f>A78+1</f>
        <v>37</v>
      </c>
      <c r="B81" s="183"/>
      <c r="C81" s="332" t="s">
        <v>244</v>
      </c>
      <c r="D81" s="99"/>
      <c r="E81" s="99" t="str">
        <f>"(Note "&amp;B$316&amp;" &amp; "&amp;B320&amp;")"</f>
        <v>(Note K &amp; N)</v>
      </c>
      <c r="F81" s="332" t="s">
        <v>687</v>
      </c>
      <c r="G81" s="193"/>
      <c r="H81" s="633">
        <f>'Att 11 - Prepayments'!H59</f>
        <v>5932025.1904658386</v>
      </c>
      <c r="I81"/>
      <c r="J81" s="1273">
        <v>5657766.8130643042</v>
      </c>
      <c r="K81" s="1094">
        <f>$H81-J81</f>
        <v>274258.37740153447</v>
      </c>
      <c r="L81" s="1576">
        <f>IF(J81=0,"n/m",K81/ABS(J81))</f>
        <v>4.8474669682081389E-2</v>
      </c>
      <c r="N81" s="1273">
        <v>5830310.9903250029</v>
      </c>
      <c r="O81" s="1094">
        <f>$H81-N81</f>
        <v>101714.20014083572</v>
      </c>
      <c r="P81" s="1576">
        <f>IF(N81=0,"n/m",O81/ABS(N81))</f>
        <v>1.7445758950015426E-2</v>
      </c>
      <c r="Q81" s="2125"/>
      <c r="R81" s="2185"/>
    </row>
    <row r="82" spans="1:19" s="349" customFormat="1" ht="15" customHeight="1">
      <c r="A82" s="34"/>
      <c r="B82" s="183"/>
      <c r="C82" s="332"/>
      <c r="D82" s="99"/>
      <c r="E82" s="99"/>
      <c r="F82" s="332"/>
      <c r="G82" s="193"/>
      <c r="H82" s="633"/>
      <c r="I82"/>
      <c r="J82" s="633"/>
      <c r="K82" s="633"/>
      <c r="L82" s="633"/>
      <c r="N82" s="633"/>
      <c r="O82" s="633"/>
      <c r="P82" s="633"/>
      <c r="Q82" s="2125"/>
      <c r="R82" s="2185"/>
    </row>
    <row r="83" spans="1:19" s="349" customFormat="1" ht="15" customHeight="1">
      <c r="A83" s="23"/>
      <c r="B83" s="182" t="s">
        <v>649</v>
      </c>
      <c r="C83" s="249"/>
      <c r="D83" s="99"/>
      <c r="E83" s="99"/>
      <c r="F83" s="47"/>
      <c r="G83" s="51"/>
      <c r="H83" s="634"/>
      <c r="I83"/>
      <c r="J83" s="634"/>
      <c r="K83" s="634"/>
      <c r="L83" s="634"/>
      <c r="N83" s="634"/>
      <c r="O83" s="634"/>
      <c r="P83" s="634"/>
      <c r="Q83" s="2125"/>
      <c r="R83" s="2185"/>
    </row>
    <row r="84" spans="1:19" s="349" customFormat="1" ht="15" customHeight="1">
      <c r="A84" s="34">
        <f>+A81+1</f>
        <v>38</v>
      </c>
      <c r="B84" s="16"/>
      <c r="C84" s="249" t="s">
        <v>650</v>
      </c>
      <c r="D84" s="99"/>
      <c r="E84" s="99" t="str">
        <f>"(Note "&amp;B321&amp;")"</f>
        <v>(Note O)</v>
      </c>
      <c r="F84" s="47"/>
      <c r="G84" s="51"/>
      <c r="H84" s="969">
        <v>0</v>
      </c>
      <c r="I84"/>
      <c r="J84" s="969">
        <v>0</v>
      </c>
      <c r="K84" s="1094">
        <f>$H84-J84</f>
        <v>0</v>
      </c>
      <c r="L84" s="1576" t="str">
        <f>IF(J84=0,"n/m",K84/ABS(J84))</f>
        <v>n/m</v>
      </c>
      <c r="N84" s="969">
        <v>0</v>
      </c>
      <c r="O84" s="1094">
        <f>$H84-N84</f>
        <v>0</v>
      </c>
      <c r="P84" s="1576" t="str">
        <f>IF(N84=0,"n/m",O84/ABS(N84))</f>
        <v>n/m</v>
      </c>
      <c r="Q84" s="2125"/>
      <c r="R84" s="2185"/>
    </row>
    <row r="85" spans="1:19" ht="15" customHeight="1">
      <c r="A85" s="34"/>
      <c r="B85" s="20"/>
      <c r="C85" s="21"/>
      <c r="E85" s="8"/>
      <c r="F85" s="193"/>
      <c r="G85" s="515"/>
      <c r="H85" s="635"/>
      <c r="I85"/>
      <c r="J85" s="635"/>
      <c r="K85" s="635"/>
      <c r="L85" s="635"/>
      <c r="N85" s="635"/>
      <c r="O85" s="635"/>
      <c r="P85" s="635"/>
      <c r="Q85" s="2125"/>
      <c r="R85" s="2185"/>
    </row>
    <row r="86" spans="1:19" ht="15" customHeight="1">
      <c r="A86" s="34"/>
      <c r="B86" s="182" t="s">
        <v>243</v>
      </c>
      <c r="C86" s="23"/>
      <c r="D86" s="23"/>
      <c r="E86" s="84"/>
      <c r="F86" s="193"/>
      <c r="G86" s="515"/>
      <c r="H86" s="635"/>
      <c r="I86"/>
      <c r="J86" s="635"/>
      <c r="K86" s="635"/>
      <c r="L86" s="635"/>
      <c r="N86" s="635"/>
      <c r="O86" s="635"/>
      <c r="P86" s="635"/>
      <c r="Q86" s="2125"/>
      <c r="R86" s="2185"/>
    </row>
    <row r="87" spans="1:19" ht="15" customHeight="1">
      <c r="A87" s="45">
        <f>+A84+1</f>
        <v>39</v>
      </c>
      <c r="B87" s="23"/>
      <c r="C87" s="23" t="s">
        <v>321</v>
      </c>
      <c r="D87" s="22"/>
      <c r="E87" s="99" t="str">
        <f>"(Note "&amp;B$320&amp;")"</f>
        <v>(Note N)</v>
      </c>
      <c r="F87" s="21" t="s">
        <v>177</v>
      </c>
      <c r="G87" s="349"/>
      <c r="H87" s="626">
        <f>'Att 5 - Cost Support'!$H$143</f>
        <v>0</v>
      </c>
      <c r="I87"/>
      <c r="J87" s="969">
        <v>0</v>
      </c>
      <c r="K87" s="1094">
        <f>$H87-J87</f>
        <v>0</v>
      </c>
      <c r="L87" s="1576" t="str">
        <f>IF(J87=0,"n/m",K87/ABS(J87))</f>
        <v>n/m</v>
      </c>
      <c r="N87" s="969">
        <v>0</v>
      </c>
      <c r="O87" s="1094">
        <f>$H87-N87</f>
        <v>0</v>
      </c>
      <c r="P87" s="1576" t="str">
        <f>IF(N87=0,"n/m",O87/ABS(N87))</f>
        <v>n/m</v>
      </c>
      <c r="Q87" s="2125"/>
      <c r="R87" s="2185"/>
    </row>
    <row r="88" spans="1:19" s="23" customFormat="1" ht="15" customHeight="1">
      <c r="A88" s="34">
        <f t="shared" ref="A88:A94" si="0">+A87+1</f>
        <v>40</v>
      </c>
      <c r="B88" s="20"/>
      <c r="C88" s="78" t="s">
        <v>12</v>
      </c>
      <c r="D88" s="46"/>
      <c r="E88" s="89"/>
      <c r="F88" s="478" t="str">
        <f>"(Line "&amp;A$18&amp;")"</f>
        <v>(Line 5)</v>
      </c>
      <c r="G88" s="516"/>
      <c r="H88" s="374">
        <f>H18</f>
        <v>8.4851850814689656E-2</v>
      </c>
      <c r="I88"/>
      <c r="J88" s="374">
        <v>7.8815542097072699E-2</v>
      </c>
      <c r="K88" s="1094">
        <f>$H88-J88</f>
        <v>6.0363087176169561E-3</v>
      </c>
      <c r="L88" s="1576">
        <f>IF(J88=0,"n/m",K88/ABS(J88))</f>
        <v>7.6587796734080338E-2</v>
      </c>
      <c r="N88" s="374">
        <v>8.7245911656529326E-2</v>
      </c>
      <c r="O88" s="1094">
        <f>$H88-N88</f>
        <v>-2.3940608418396708E-3</v>
      </c>
      <c r="P88" s="1576">
        <f>IF(N88=0,"n/m",O88/ABS(N88))</f>
        <v>-2.74403785390499E-2</v>
      </c>
      <c r="Q88" s="2125"/>
      <c r="R88" s="2185"/>
    </row>
    <row r="89" spans="1:19" ht="15" customHeight="1">
      <c r="A89" s="34">
        <f t="shared" si="0"/>
        <v>41</v>
      </c>
      <c r="B89" s="20"/>
      <c r="C89" s="21" t="s">
        <v>16</v>
      </c>
      <c r="D89" s="22"/>
      <c r="E89" s="45"/>
      <c r="F89" s="242" t="str">
        <f>"(Line "&amp;A87&amp;" * Line "&amp;A88&amp;")"</f>
        <v>(Line 39 * Line 40)</v>
      </c>
      <c r="G89" s="515"/>
      <c r="H89" s="636">
        <f>H87*H88</f>
        <v>0</v>
      </c>
      <c r="I89"/>
      <c r="J89" s="636">
        <v>0</v>
      </c>
      <c r="K89" s="1609">
        <f>$H89-J89</f>
        <v>0</v>
      </c>
      <c r="L89" s="1601" t="str">
        <f>IF(J89=0,"n/m",K89/ABS(J89))</f>
        <v>n/m</v>
      </c>
      <c r="N89" s="636"/>
      <c r="O89" s="1609">
        <f>$H89-N89</f>
        <v>0</v>
      </c>
      <c r="P89" s="1601" t="str">
        <f>IF(N89=0,"n/m",O89/ABS(N89))</f>
        <v>n/m</v>
      </c>
      <c r="Q89" s="2125"/>
      <c r="R89" s="2185"/>
    </row>
    <row r="90" spans="1:19" ht="15" customHeight="1">
      <c r="A90" s="34">
        <f t="shared" si="0"/>
        <v>42</v>
      </c>
      <c r="B90" s="20"/>
      <c r="C90" s="21" t="s">
        <v>363</v>
      </c>
      <c r="D90" s="22"/>
      <c r="E90" s="99" t="str">
        <f>"(Note "&amp;B$320&amp;")"</f>
        <v>(Note N)</v>
      </c>
      <c r="F90" s="21" t="s">
        <v>177</v>
      </c>
      <c r="G90" s="515"/>
      <c r="H90" s="631">
        <f>'Att 5 - Cost Support'!$H$147</f>
        <v>146133983</v>
      </c>
      <c r="I90"/>
      <c r="J90" s="1137">
        <v>134703542</v>
      </c>
      <c r="K90" s="1094">
        <f>$H90-J90</f>
        <v>11430441</v>
      </c>
      <c r="L90" s="1576">
        <f>IF(J90=0,"n/m",K90/ABS(J90))</f>
        <v>8.4856276459307947E-2</v>
      </c>
      <c r="N90" s="1137">
        <v>142252190</v>
      </c>
      <c r="O90" s="1094">
        <f>$H90-N90</f>
        <v>3881793</v>
      </c>
      <c r="P90" s="1576">
        <f>IF(N90=0,"n/m",O90/ABS(N90))</f>
        <v>2.728810712861433E-2</v>
      </c>
      <c r="Q90" s="2125"/>
      <c r="R90" s="2185"/>
    </row>
    <row r="91" spans="1:19" ht="15" customHeight="1">
      <c r="A91" s="34">
        <f t="shared" si="0"/>
        <v>43</v>
      </c>
      <c r="B91" s="20"/>
      <c r="C91" s="21" t="s">
        <v>12</v>
      </c>
      <c r="D91" s="22"/>
      <c r="E91" s="45"/>
      <c r="F91" s="242" t="str">
        <f>"(Line "&amp;A$18&amp;")"</f>
        <v>(Line 5)</v>
      </c>
      <c r="G91" s="516"/>
      <c r="H91" s="374">
        <f>H18</f>
        <v>8.4851850814689656E-2</v>
      </c>
      <c r="I91"/>
      <c r="J91" s="374">
        <v>7.8815542097072699E-2</v>
      </c>
      <c r="K91" s="374"/>
      <c r="L91" s="374"/>
      <c r="N91" s="374">
        <v>8.7245911656529326E-2</v>
      </c>
      <c r="O91" s="374"/>
      <c r="P91" s="374"/>
      <c r="Q91" s="2125"/>
      <c r="R91" s="2185"/>
    </row>
    <row r="92" spans="1:19" ht="15" customHeight="1">
      <c r="A92" s="34">
        <f t="shared" si="0"/>
        <v>44</v>
      </c>
      <c r="B92" s="20"/>
      <c r="C92" s="590" t="s">
        <v>364</v>
      </c>
      <c r="D92" s="591"/>
      <c r="E92" s="592"/>
      <c r="F92" s="593" t="str">
        <f>"(Line "&amp;A90&amp;" * Line "&amp;A91&amp;")"</f>
        <v>(Line 42 * Line 43)</v>
      </c>
      <c r="G92" s="515"/>
      <c r="H92" s="636">
        <f>H90*H91</f>
        <v>12399738.924472393</v>
      </c>
      <c r="I92"/>
      <c r="J92" s="636">
        <v>10616732.6851258</v>
      </c>
      <c r="K92" s="1609">
        <f>$H92-J92</f>
        <v>1783006.2393465936</v>
      </c>
      <c r="L92" s="1601">
        <f>IF(J92=0,"n/m",K92/ABS(J92))</f>
        <v>0.16794302844646469</v>
      </c>
      <c r="N92" s="636">
        <v>12410922.001687825</v>
      </c>
      <c r="O92" s="1609">
        <f>$H92-N92</f>
        <v>-11183.077215431258</v>
      </c>
      <c r="P92" s="1601">
        <f>IF(N92=0,"n/m",O92/ABS(N92))</f>
        <v>-9.0106739965897895E-4</v>
      </c>
      <c r="Q92" s="2125"/>
      <c r="R92" s="2185"/>
    </row>
    <row r="93" spans="1:19" ht="15" customHeight="1">
      <c r="A93" s="34">
        <f t="shared" si="0"/>
        <v>45</v>
      </c>
      <c r="B93" s="20"/>
      <c r="C93" s="21" t="s">
        <v>234</v>
      </c>
      <c r="D93" s="22"/>
      <c r="E93" s="99" t="str">
        <f>"(Note "&amp;B$320&amp;")"</f>
        <v>(Note N)</v>
      </c>
      <c r="F93" s="78" t="s">
        <v>177</v>
      </c>
      <c r="G93" s="515"/>
      <c r="H93" s="635">
        <f>'Att 5 - Cost Support'!$H$151</f>
        <v>548336.5</v>
      </c>
      <c r="I93"/>
      <c r="J93" s="804">
        <v>653625</v>
      </c>
      <c r="K93" s="1094">
        <f>$H93-J93</f>
        <v>-105288.5</v>
      </c>
      <c r="L93" s="1576">
        <f>IF(J93=0,"n/m",K93/ABS(J93))</f>
        <v>-0.1610839548670874</v>
      </c>
      <c r="N93" s="804">
        <v>715287</v>
      </c>
      <c r="O93" s="1094">
        <f>$H93-N93</f>
        <v>-166950.5</v>
      </c>
      <c r="P93" s="1576">
        <f>IF(N93=0,"n/m",O93/ABS(N93))</f>
        <v>-0.23340351495273925</v>
      </c>
      <c r="Q93" s="2125"/>
      <c r="R93" s="2185"/>
    </row>
    <row r="94" spans="1:19" ht="15" customHeight="1">
      <c r="A94" s="34">
        <f t="shared" si="0"/>
        <v>46</v>
      </c>
      <c r="B94" s="20"/>
      <c r="C94" s="184" t="s">
        <v>242</v>
      </c>
      <c r="D94" s="70"/>
      <c r="E94" s="517"/>
      <c r="F94" s="242" t="str">
        <f>"(Line "&amp;A89&amp;" + Line "&amp;A92&amp;" + Line "&amp;A93&amp;")"</f>
        <v>(Line 41 + Line 44 + Line 45)</v>
      </c>
      <c r="G94" s="518"/>
      <c r="H94" s="637">
        <f>H89+H92+H93</f>
        <v>12948075.424472393</v>
      </c>
      <c r="I94"/>
      <c r="J94" s="637">
        <v>11270357.6851258</v>
      </c>
      <c r="K94" s="1609">
        <f>$H94-J94</f>
        <v>1677717.7393465936</v>
      </c>
      <c r="L94" s="1601">
        <f>IF(J94=0,"n/m",K94/ABS(J94))</f>
        <v>0.14886109085612992</v>
      </c>
      <c r="N94" s="637">
        <v>13126209.001687825</v>
      </c>
      <c r="O94" s="1609">
        <f>$H94-N94</f>
        <v>-178133.57721543126</v>
      </c>
      <c r="P94" s="1601">
        <f>IF(N94=0,"n/m",O94/ABS(N94))</f>
        <v>-1.3570832004314885E-2</v>
      </c>
      <c r="Q94" s="2125"/>
      <c r="R94" s="2185"/>
      <c r="S94" s="632"/>
    </row>
    <row r="95" spans="1:19" ht="15" customHeight="1">
      <c r="A95" s="34"/>
      <c r="B95" s="20"/>
      <c r="C95" s="21"/>
      <c r="D95" s="22"/>
      <c r="E95" s="8"/>
      <c r="F95" s="193"/>
      <c r="G95" s="515"/>
      <c r="H95" s="623"/>
      <c r="I95"/>
      <c r="J95" s="623"/>
      <c r="K95" s="623"/>
      <c r="L95" s="623"/>
      <c r="N95" s="623"/>
      <c r="O95" s="623"/>
      <c r="P95" s="623"/>
      <c r="Q95" s="2125"/>
      <c r="R95" s="2185"/>
    </row>
    <row r="96" spans="1:19" ht="15" customHeight="1">
      <c r="A96" s="34"/>
      <c r="B96" s="182" t="s">
        <v>245</v>
      </c>
      <c r="C96" s="23"/>
      <c r="D96" s="22"/>
      <c r="F96" s="193"/>
      <c r="G96" s="515"/>
      <c r="H96" s="623"/>
      <c r="I96"/>
      <c r="J96" s="623"/>
      <c r="K96" s="623"/>
      <c r="L96" s="623"/>
      <c r="N96" s="623"/>
      <c r="O96" s="623"/>
      <c r="P96" s="623"/>
      <c r="Q96" s="2125"/>
      <c r="R96" s="2185"/>
    </row>
    <row r="97" spans="1:20" ht="15" customHeight="1">
      <c r="A97" s="34">
        <f>+A94+1</f>
        <v>47</v>
      </c>
      <c r="B97" s="20"/>
      <c r="C97" s="21" t="s">
        <v>108</v>
      </c>
      <c r="D97" s="29"/>
      <c r="E97" s="45"/>
      <c r="F97" s="242" t="str">
        <f>"(Line "&amp;A$139&amp;")"</f>
        <v>(Line 75)</v>
      </c>
      <c r="G97" s="515"/>
      <c r="H97" s="635">
        <f>H139</f>
        <v>73541475.971105978</v>
      </c>
      <c r="I97"/>
      <c r="J97" s="635">
        <v>69887252.685854971</v>
      </c>
      <c r="K97" s="1094">
        <f>$H97-J97</f>
        <v>3654223.2852510065</v>
      </c>
      <c r="L97" s="1576">
        <f>IF(J97=0,"n/m",K97/ABS(J97))</f>
        <v>5.2287407857865523E-2</v>
      </c>
      <c r="N97" s="635">
        <v>75595793.468789339</v>
      </c>
      <c r="O97" s="1094">
        <f>$H97-N97</f>
        <v>-2054317.4976833612</v>
      </c>
      <c r="P97" s="1576">
        <f>IF(N97=0,"n/m",O97/ABS(N97))</f>
        <v>-2.7175023945366902E-2</v>
      </c>
      <c r="Q97" s="2125"/>
      <c r="R97" s="2185"/>
    </row>
    <row r="98" spans="1:20" ht="15" customHeight="1">
      <c r="A98" s="34">
        <f>+A97+1</f>
        <v>48</v>
      </c>
      <c r="B98" s="20"/>
      <c r="C98" s="29" t="s">
        <v>281</v>
      </c>
      <c r="D98" s="29"/>
      <c r="E98" s="99" t="str">
        <f>"(Note "&amp;B327&amp;")"</f>
        <v>(Note S)</v>
      </c>
      <c r="F98" s="905" t="s">
        <v>1579</v>
      </c>
      <c r="G98" s="349"/>
      <c r="H98" s="703">
        <v>0</v>
      </c>
      <c r="I98"/>
      <c r="J98" s="2067">
        <v>0</v>
      </c>
      <c r="K98" s="1577"/>
      <c r="L98" s="1577"/>
      <c r="N98" s="2067">
        <v>0</v>
      </c>
      <c r="O98" s="1594"/>
      <c r="P98" s="1594"/>
      <c r="Q98" s="2125"/>
      <c r="R98" s="2185"/>
    </row>
    <row r="99" spans="1:20" s="31" customFormat="1" ht="15" customHeight="1">
      <c r="A99" s="34">
        <f>+A98+1</f>
        <v>49</v>
      </c>
      <c r="B99" s="185"/>
      <c r="C99" s="181" t="s">
        <v>233</v>
      </c>
      <c r="D99" s="520"/>
      <c r="E99" s="521"/>
      <c r="F99" s="242" t="str">
        <f>"(Line "&amp;A97&amp;" * Line "&amp;A98&amp;")"</f>
        <v>(Line 47 * Line 48)</v>
      </c>
      <c r="G99" s="522"/>
      <c r="H99" s="638">
        <f>H97*H98</f>
        <v>0</v>
      </c>
      <c r="I99"/>
      <c r="J99" s="638">
        <v>0</v>
      </c>
      <c r="K99" s="1609">
        <f>$H99-J99</f>
        <v>0</v>
      </c>
      <c r="L99" s="1601" t="str">
        <f>IF(J99=0,"n/m",K99/ABS(J99))</f>
        <v>n/m</v>
      </c>
      <c r="N99" s="638">
        <v>0</v>
      </c>
      <c r="O99" s="1609">
        <f>$H99-N99</f>
        <v>0</v>
      </c>
      <c r="P99" s="1601" t="str">
        <f>IF(N99=0,"n/m",O99/ABS(N99))</f>
        <v>n/m</v>
      </c>
      <c r="Q99" s="2125"/>
      <c r="R99" s="2185"/>
    </row>
    <row r="100" spans="1:20" s="31" customFormat="1" ht="15" customHeight="1">
      <c r="A100" s="34"/>
      <c r="B100" s="185"/>
      <c r="C100" s="154"/>
      <c r="D100" s="523"/>
      <c r="E100" s="93"/>
      <c r="F100" s="242"/>
      <c r="G100" s="524"/>
      <c r="H100" s="639"/>
      <c r="I100"/>
      <c r="J100" s="639"/>
      <c r="K100" s="639"/>
      <c r="L100" s="639"/>
      <c r="N100" s="639"/>
      <c r="O100" s="639"/>
      <c r="P100" s="639"/>
      <c r="Q100" s="2125"/>
      <c r="R100" s="2185"/>
    </row>
    <row r="101" spans="1:20" ht="15" customHeight="1">
      <c r="A101" s="34"/>
      <c r="B101" s="525" t="s">
        <v>426</v>
      </c>
      <c r="C101" s="21"/>
      <c r="D101" s="22"/>
      <c r="E101" s="45"/>
      <c r="F101" s="192"/>
      <c r="G101" s="515"/>
      <c r="H101" s="632"/>
      <c r="I101"/>
      <c r="J101" s="632"/>
      <c r="K101" s="632"/>
      <c r="L101" s="632"/>
      <c r="N101" s="632"/>
      <c r="O101" s="632"/>
      <c r="P101" s="632"/>
      <c r="Q101" s="2125"/>
      <c r="R101" s="2185"/>
    </row>
    <row r="102" spans="1:20" ht="15" customHeight="1">
      <c r="A102" s="34">
        <f>A99+1</f>
        <v>50</v>
      </c>
      <c r="B102" s="183"/>
      <c r="C102" s="332" t="s">
        <v>426</v>
      </c>
      <c r="D102" s="99"/>
      <c r="E102" s="99" t="str">
        <f>"(Note "&amp;B$320&amp;")"</f>
        <v>(Note N)</v>
      </c>
      <c r="F102" s="332" t="s">
        <v>177</v>
      </c>
      <c r="G102" s="193"/>
      <c r="H102" s="633">
        <f>'Att 5 - Cost Support'!H292</f>
        <v>-25314564.670000002</v>
      </c>
      <c r="I102"/>
      <c r="J102" s="1273">
        <v>-35613529.590000004</v>
      </c>
      <c r="K102" s="1094">
        <f>$H102-J102</f>
        <v>10298964.920000002</v>
      </c>
      <c r="L102" s="1576">
        <f>IF(J102=0,"n/m",K102/ABS(J102))</f>
        <v>0.28918686349167338</v>
      </c>
      <c r="N102" s="1273">
        <v>-27365545.559999999</v>
      </c>
      <c r="O102" s="1094">
        <f>$H102-N102</f>
        <v>2050980.8899999969</v>
      </c>
      <c r="P102" s="1576">
        <f>IF(N102=0,"n/m",O102/ABS(N102))</f>
        <v>7.4947560811573929E-2</v>
      </c>
      <c r="Q102" s="2125"/>
      <c r="R102" s="2185"/>
      <c r="S102" s="31"/>
      <c r="T102" s="31"/>
    </row>
    <row r="103" spans="1:20" ht="15" customHeight="1">
      <c r="A103" s="8"/>
      <c r="B103" s="20"/>
      <c r="C103" s="21"/>
      <c r="E103" s="8"/>
      <c r="F103" s="193"/>
      <c r="G103" s="515"/>
      <c r="H103" s="640"/>
      <c r="I103"/>
      <c r="J103" s="640"/>
      <c r="K103" s="640"/>
      <c r="L103" s="640"/>
      <c r="N103" s="640"/>
      <c r="O103" s="640"/>
      <c r="P103" s="640"/>
      <c r="Q103" s="2125"/>
      <c r="R103" s="2185"/>
      <c r="S103" s="349"/>
      <c r="T103" s="349"/>
    </row>
    <row r="104" spans="1:20"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-1132993184.9250596</v>
      </c>
      <c r="I104"/>
      <c r="J104" s="629">
        <v>-1069033177.210163</v>
      </c>
      <c r="K104" s="1638">
        <f>$H104-J104</f>
        <v>-63960007.71489656</v>
      </c>
      <c r="L104" s="1639">
        <f>IF(J104=0,"n/m",K104/ABS(J104))</f>
        <v>-5.9829768690445942E-2</v>
      </c>
      <c r="M104" s="23"/>
      <c r="N104" s="629">
        <v>-1110547025.4000885</v>
      </c>
      <c r="O104" s="1638">
        <f>$H104-N104</f>
        <v>-22446159.524971008</v>
      </c>
      <c r="P104" s="1639">
        <f>IF(N104=0,"n/m",O104/ABS(N104))</f>
        <v>-2.0211804643648024E-2</v>
      </c>
      <c r="Q104" s="2125"/>
      <c r="R104" s="2185"/>
      <c r="S104" s="31"/>
      <c r="T104" s="31"/>
    </row>
    <row r="105" spans="1:20" ht="15" customHeight="1" thickTop="1">
      <c r="A105" s="44"/>
      <c r="B105" s="349"/>
      <c r="C105" s="349"/>
      <c r="D105" s="349"/>
      <c r="F105" s="23"/>
      <c r="G105" s="349"/>
      <c r="H105" s="632"/>
      <c r="I105"/>
      <c r="J105" s="632"/>
      <c r="K105" s="632"/>
      <c r="L105" s="632"/>
      <c r="N105" s="632"/>
      <c r="O105" s="632"/>
      <c r="P105" s="632"/>
      <c r="Q105" s="2125"/>
      <c r="R105" s="2185"/>
      <c r="S105" s="349"/>
      <c r="T105" s="349"/>
    </row>
    <row r="106" spans="1:20" s="10" customFormat="1" ht="15" customHeight="1" thickBot="1">
      <c r="A106" s="8">
        <f>+A104+1</f>
        <v>52</v>
      </c>
      <c r="B106" s="15" t="s">
        <v>278</v>
      </c>
      <c r="C106" s="15"/>
      <c r="D106" s="15"/>
      <c r="E106" s="88"/>
      <c r="F106" s="508" t="str">
        <f>"(Line "&amp;A64&amp;" + Line "&amp;A104&amp;")"</f>
        <v>(Line 32 + Line 51)</v>
      </c>
      <c r="G106" s="15"/>
      <c r="H106" s="641">
        <f>H64+H104</f>
        <v>3447509610.0977449</v>
      </c>
      <c r="I106"/>
      <c r="J106" s="641">
        <v>3504452121.3900671</v>
      </c>
      <c r="K106" s="1638">
        <f>$H106-J106</f>
        <v>-56942511.292322159</v>
      </c>
      <c r="L106" s="1639">
        <f>IF(J106=0,"n/m",K106/ABS(J106))</f>
        <v>-1.62486201323063E-2</v>
      </c>
      <c r="N106" s="641">
        <v>3526747872.6962137</v>
      </c>
      <c r="O106" s="1638">
        <f>$H106-N106</f>
        <v>-79238262.598468781</v>
      </c>
      <c r="P106" s="1639">
        <f>IF(N106=0,"n/m",O106/ABS(N106))</f>
        <v>-2.2467799076856265E-2</v>
      </c>
      <c r="Q106" s="2125"/>
      <c r="R106" s="2185"/>
      <c r="S106" s="31"/>
      <c r="T106" s="31"/>
    </row>
    <row r="107" spans="1:20" ht="15" customHeight="1" thickTop="1">
      <c r="B107" s="349"/>
      <c r="C107" s="349"/>
      <c r="D107" s="349"/>
      <c r="F107" s="349"/>
      <c r="G107" s="349"/>
      <c r="H107" s="349"/>
      <c r="I107"/>
      <c r="Q107" s="2125"/>
      <c r="R107" s="2185"/>
      <c r="S107" s="349"/>
      <c r="T107" s="349"/>
    </row>
    <row r="108" spans="1:20" s="23" customFormat="1" ht="15" customHeight="1">
      <c r="A108" s="692" t="s">
        <v>19</v>
      </c>
      <c r="B108" s="187"/>
      <c r="C108" s="188"/>
      <c r="D108" s="62"/>
      <c r="E108" s="526"/>
      <c r="F108" s="63"/>
      <c r="G108" s="63"/>
      <c r="H108" s="64"/>
      <c r="I108"/>
      <c r="J108" s="64">
        <v>0</v>
      </c>
      <c r="K108" s="64"/>
      <c r="L108" s="64"/>
      <c r="N108" s="64">
        <v>0</v>
      </c>
      <c r="O108" s="64"/>
      <c r="P108" s="64"/>
      <c r="Q108" s="2125"/>
      <c r="R108" s="2185"/>
      <c r="S108" s="31"/>
      <c r="T108" s="31"/>
    </row>
    <row r="109" spans="1:20" s="23" customFormat="1" ht="15" customHeight="1">
      <c r="A109" s="22"/>
      <c r="B109" s="22"/>
      <c r="C109" s="22"/>
      <c r="D109" s="22"/>
      <c r="E109" s="16"/>
      <c r="H109" s="463"/>
      <c r="I109"/>
      <c r="J109" s="497"/>
      <c r="K109" s="497"/>
      <c r="L109" s="497"/>
      <c r="N109" s="497"/>
      <c r="O109" s="497"/>
      <c r="P109" s="497"/>
      <c r="Q109" s="2125"/>
      <c r="R109" s="2185"/>
      <c r="S109" s="349"/>
      <c r="T109" s="349"/>
    </row>
    <row r="110" spans="1:20" ht="15" customHeight="1">
      <c r="A110" s="8"/>
      <c r="B110" s="7" t="s">
        <v>270</v>
      </c>
      <c r="D110" s="476"/>
      <c r="E110" s="157"/>
      <c r="F110" s="349"/>
      <c r="G110" s="476"/>
      <c r="H110" s="476"/>
      <c r="I110"/>
      <c r="J110" s="476"/>
      <c r="K110" s="476"/>
      <c r="L110" s="476"/>
      <c r="N110" s="476"/>
      <c r="O110" s="476"/>
      <c r="P110" s="476"/>
      <c r="Q110" s="2125"/>
      <c r="R110" s="2185"/>
      <c r="S110" s="31"/>
      <c r="T110" s="31"/>
    </row>
    <row r="111" spans="1:20" ht="15" customHeight="1">
      <c r="A111" s="34">
        <f>+A106+1</f>
        <v>53</v>
      </c>
      <c r="B111" s="34"/>
      <c r="C111" s="309" t="s">
        <v>270</v>
      </c>
      <c r="D111" s="22"/>
      <c r="E111" s="45"/>
      <c r="F111" s="254" t="s">
        <v>177</v>
      </c>
      <c r="G111" s="16"/>
      <c r="H111" s="626">
        <f>'Att 5 - Cost Support'!J264</f>
        <v>204853614.25999999</v>
      </c>
      <c r="I111"/>
      <c r="J111" s="1267">
        <v>215095477.46000001</v>
      </c>
      <c r="K111" s="1094">
        <f>$H111-J111</f>
        <v>-10241863.200000018</v>
      </c>
      <c r="L111" s="1576">
        <f>IF(J111=0,"n/m",K111/ABS(J111))</f>
        <v>-4.761542790644975E-2</v>
      </c>
      <c r="N111" s="1267">
        <v>203173765.13999999</v>
      </c>
      <c r="O111" s="1094">
        <f>$H111-N111</f>
        <v>1679849.1200000048</v>
      </c>
      <c r="P111" s="1576">
        <f>IF(N111=0,"n/m",O111/ABS(N111))</f>
        <v>8.2680414907036794E-3</v>
      </c>
      <c r="Q111" s="2125"/>
      <c r="R111" s="2185"/>
      <c r="S111" s="349"/>
      <c r="T111" s="349"/>
    </row>
    <row r="112" spans="1:20" ht="15" customHeight="1">
      <c r="A112" s="34">
        <f>A111+1</f>
        <v>54</v>
      </c>
      <c r="B112" s="34"/>
      <c r="C112" s="309" t="s">
        <v>642</v>
      </c>
      <c r="D112" s="22"/>
      <c r="E112" s="45"/>
      <c r="F112" s="254" t="s">
        <v>177</v>
      </c>
      <c r="G112" s="16"/>
      <c r="H112" s="626">
        <f>'Att 5 - Cost Support'!J273</f>
        <v>10636891</v>
      </c>
      <c r="I112"/>
      <c r="J112" s="1267">
        <v>10252059</v>
      </c>
      <c r="K112" s="1094">
        <f>$H112-J112</f>
        <v>384832</v>
      </c>
      <c r="L112" s="1576">
        <f>IF(J112=0,"n/m",K112/ABS(J112))</f>
        <v>3.7537044997497576E-2</v>
      </c>
      <c r="N112" s="1267">
        <v>10746900</v>
      </c>
      <c r="O112" s="1094">
        <f>$H112-N112</f>
        <v>-110009</v>
      </c>
      <c r="P112" s="1576">
        <f>IF(N112=0,"n/m",O112/ABS(N112))</f>
        <v>-1.02363472257116E-2</v>
      </c>
      <c r="Q112" s="2125"/>
      <c r="R112" s="2185"/>
      <c r="S112" s="31"/>
      <c r="T112" s="31"/>
    </row>
    <row r="113" spans="1:20" ht="15" customHeight="1">
      <c r="A113" s="34">
        <f>A112+1</f>
        <v>55</v>
      </c>
      <c r="B113" s="34"/>
      <c r="C113" s="309" t="s">
        <v>422</v>
      </c>
      <c r="D113" s="22"/>
      <c r="E113" s="45"/>
      <c r="F113" s="254" t="s">
        <v>177</v>
      </c>
      <c r="G113" s="22"/>
      <c r="H113" s="626">
        <f>'Att 5 - Cost Support'!J275</f>
        <v>134473119</v>
      </c>
      <c r="I113"/>
      <c r="J113" s="1267">
        <v>148425345</v>
      </c>
      <c r="K113" s="1094">
        <f>$H113-J113</f>
        <v>-13952226</v>
      </c>
      <c r="L113" s="1576">
        <f>IF(J113=0,"n/m",K113/ABS(J113))</f>
        <v>-9.4001641027009239E-2</v>
      </c>
      <c r="N113" s="1267">
        <v>130788907</v>
      </c>
      <c r="O113" s="1094">
        <f>$H113-N113</f>
        <v>3684212</v>
      </c>
      <c r="P113" s="1576">
        <f>IF(N113=0,"n/m",O113/ABS(N113))</f>
        <v>2.8169147403303861E-2</v>
      </c>
      <c r="Q113" s="2125"/>
      <c r="R113" s="2185"/>
      <c r="S113" s="349"/>
      <c r="T113" s="349"/>
    </row>
    <row r="114" spans="1:20" ht="15" customHeight="1">
      <c r="A114" s="34">
        <f>A113+1</f>
        <v>56</v>
      </c>
      <c r="B114" s="22"/>
      <c r="C114" s="12" t="s">
        <v>270</v>
      </c>
      <c r="D114" s="24"/>
      <c r="E114" s="90"/>
      <c r="F114" s="372" t="str">
        <f>"(Lines "&amp;A111&amp;"  - "&amp;A113&amp;")"</f>
        <v>(Lines 53  - 55)</v>
      </c>
      <c r="G114" s="26"/>
      <c r="H114" s="642">
        <f>H111-H112-H113</f>
        <v>59743604.25999999</v>
      </c>
      <c r="I114"/>
      <c r="J114" s="642">
        <v>56418073.460000008</v>
      </c>
      <c r="K114" s="1609">
        <f>$H114-J114</f>
        <v>3325530.7999999821</v>
      </c>
      <c r="L114" s="1601">
        <f>IF(J114=0,"n/m",K114/ABS(J114))</f>
        <v>5.8944423232703234E-2</v>
      </c>
      <c r="N114" s="642">
        <v>61637958.139999986</v>
      </c>
      <c r="O114" s="1609">
        <f>$H114-N114</f>
        <v>-1894353.8799999952</v>
      </c>
      <c r="P114" s="1601">
        <f>IF(N114=0,"n/m",O114/ABS(N114))</f>
        <v>-3.0733559922560987E-2</v>
      </c>
      <c r="Q114" s="2125"/>
      <c r="R114" s="2185"/>
      <c r="S114" s="31"/>
      <c r="T114" s="31"/>
    </row>
    <row r="115" spans="1:20" ht="15" customHeight="1">
      <c r="A115" s="34"/>
      <c r="B115" s="34"/>
      <c r="C115" s="7"/>
      <c r="D115" s="22"/>
      <c r="E115" s="373"/>
      <c r="F115" s="22"/>
      <c r="G115" s="22"/>
      <c r="H115" s="643"/>
      <c r="I115"/>
      <c r="J115" s="643"/>
      <c r="K115" s="643"/>
      <c r="L115" s="643"/>
      <c r="N115" s="643"/>
      <c r="O115" s="643"/>
      <c r="P115" s="643"/>
      <c r="Q115" s="2125"/>
      <c r="R115" s="2185"/>
      <c r="S115" s="349"/>
      <c r="T115" s="349"/>
    </row>
    <row r="116" spans="1:20" ht="15" customHeight="1">
      <c r="A116" s="34"/>
      <c r="B116" s="7" t="s">
        <v>89</v>
      </c>
      <c r="C116" s="22"/>
      <c r="D116" s="22"/>
      <c r="E116" s="373"/>
      <c r="F116" s="22"/>
      <c r="G116" s="22"/>
      <c r="H116" s="643"/>
      <c r="I116"/>
      <c r="J116" s="643"/>
      <c r="K116" s="643"/>
      <c r="L116" s="643"/>
      <c r="N116" s="643"/>
      <c r="O116" s="643"/>
      <c r="P116" s="643"/>
      <c r="Q116" s="2125"/>
      <c r="R116" s="2185"/>
      <c r="S116" s="31"/>
      <c r="T116" s="31"/>
    </row>
    <row r="117" spans="1:20" ht="15" customHeight="1">
      <c r="A117" s="34">
        <f>A114+1</f>
        <v>57</v>
      </c>
      <c r="B117" s="34"/>
      <c r="C117" s="309" t="s">
        <v>273</v>
      </c>
      <c r="D117" s="22"/>
      <c r="E117" s="45"/>
      <c r="F117" s="254" t="s">
        <v>111</v>
      </c>
      <c r="G117" s="626"/>
      <c r="H117" s="1094">
        <f>INDEX(Inputs_EndYrBal,MATCH(F117,Inputs_FF1_Map,0))</f>
        <v>134499331</v>
      </c>
      <c r="I117"/>
      <c r="J117" s="1267">
        <v>134217341</v>
      </c>
      <c r="K117" s="1094">
        <f t="shared" ref="K117:K124" si="1">$H117-J117</f>
        <v>281990</v>
      </c>
      <c r="L117" s="1576">
        <f t="shared" ref="L117:L124" si="2">IF(J117=0,"n/m",K117/ABS(J117))</f>
        <v>2.100995280483168E-3</v>
      </c>
      <c r="N117" s="1267">
        <v>129632900</v>
      </c>
      <c r="O117" s="1094">
        <f t="shared" ref="O117:O124" si="3">$H117-N117</f>
        <v>4866431</v>
      </c>
      <c r="P117" s="1576">
        <f t="shared" ref="P117:P124" si="4">IF(N117=0,"n/m",O117/ABS(N117))</f>
        <v>3.754009205996317E-2</v>
      </c>
      <c r="Q117" s="2125"/>
      <c r="R117" s="2185"/>
      <c r="S117" s="349"/>
      <c r="T117" s="349"/>
    </row>
    <row r="118" spans="1:20" ht="15" customHeight="1">
      <c r="A118" s="34">
        <f>A117+1</f>
        <v>58</v>
      </c>
      <c r="B118" s="34"/>
      <c r="C118" s="309" t="s">
        <v>959</v>
      </c>
      <c r="D118" s="22"/>
      <c r="E118" s="99" t="str">
        <f>IF(Toggle=True_up,"",IF(Toggle=Projection,"(Note H)"))</f>
        <v/>
      </c>
      <c r="F118" s="254" t="s">
        <v>177</v>
      </c>
      <c r="G118" s="22"/>
      <c r="H118" s="626">
        <f>-'Att 5 - Cost Support'!I217</f>
        <v>0</v>
      </c>
      <c r="I118"/>
      <c r="J118" s="1267">
        <v>0</v>
      </c>
      <c r="K118" s="1094">
        <f t="shared" si="1"/>
        <v>0</v>
      </c>
      <c r="L118" s="1576" t="str">
        <f t="shared" si="2"/>
        <v>n/m</v>
      </c>
      <c r="N118" s="1267">
        <v>0</v>
      </c>
      <c r="O118" s="1094">
        <f t="shared" si="3"/>
        <v>0</v>
      </c>
      <c r="P118" s="1576" t="str">
        <f t="shared" si="4"/>
        <v>n/m</v>
      </c>
      <c r="Q118" s="2125"/>
      <c r="R118" s="2185"/>
    </row>
    <row r="119" spans="1:20" s="23" customFormat="1" ht="15" customHeight="1">
      <c r="A119" s="34">
        <f t="shared" ref="A119:A126" si="5">A118+1</f>
        <v>59</v>
      </c>
      <c r="B119" s="34"/>
      <c r="C119" s="309" t="s">
        <v>309</v>
      </c>
      <c r="D119" s="254"/>
      <c r="E119" s="45"/>
      <c r="F119" s="309" t="s">
        <v>34</v>
      </c>
      <c r="G119" s="626"/>
      <c r="H119" s="1094">
        <f>INDEX(Inputs_EndYrBal,MATCH(F119,Inputs_FF1_Map,0))</f>
        <v>5579593</v>
      </c>
      <c r="I119"/>
      <c r="J119" s="1267">
        <v>15938310</v>
      </c>
      <c r="K119" s="1094">
        <f t="shared" si="1"/>
        <v>-10358717</v>
      </c>
      <c r="L119" s="1576">
        <f t="shared" si="2"/>
        <v>-0.64992568220846503</v>
      </c>
      <c r="N119" s="1267">
        <v>14265351</v>
      </c>
      <c r="O119" s="1094">
        <f t="shared" si="3"/>
        <v>-8685758</v>
      </c>
      <c r="P119" s="1576">
        <f t="shared" si="4"/>
        <v>-0.60887096293669885</v>
      </c>
      <c r="Q119" s="2125"/>
      <c r="R119" s="2185"/>
    </row>
    <row r="120" spans="1:20" s="23" customFormat="1" ht="15" customHeight="1">
      <c r="A120" s="34">
        <f t="shared" si="5"/>
        <v>60</v>
      </c>
      <c r="B120" s="34"/>
      <c r="C120" s="309" t="s">
        <v>676</v>
      </c>
      <c r="D120" s="254"/>
      <c r="E120" s="45"/>
      <c r="F120" s="309" t="s">
        <v>177</v>
      </c>
      <c r="G120" s="22"/>
      <c r="H120" s="626">
        <f xml:space="preserve"> 'Att 5 - Cost Support'!H323</f>
        <v>0</v>
      </c>
      <c r="I120"/>
      <c r="J120" s="1267">
        <v>89288.44</v>
      </c>
      <c r="K120" s="1094">
        <f t="shared" si="1"/>
        <v>-89288.44</v>
      </c>
      <c r="L120" s="1576">
        <f t="shared" si="2"/>
        <v>-1</v>
      </c>
      <c r="N120" s="1267">
        <v>3633280.3499999978</v>
      </c>
      <c r="O120" s="1094">
        <f t="shared" si="3"/>
        <v>-3633280.3499999978</v>
      </c>
      <c r="P120" s="1576">
        <f t="shared" si="4"/>
        <v>-1</v>
      </c>
      <c r="Q120" s="2125"/>
      <c r="R120" s="2185"/>
    </row>
    <row r="121" spans="1:20" ht="15" customHeight="1">
      <c r="A121" s="34">
        <f>A120+1</f>
        <v>61</v>
      </c>
      <c r="B121" s="34"/>
      <c r="C121" s="309" t="s">
        <v>310</v>
      </c>
      <c r="D121" s="254"/>
      <c r="E121" s="99" t="str">
        <f>"(Note "&amp;B$303&amp;")"</f>
        <v>(Note D)</v>
      </c>
      <c r="F121" s="309" t="s">
        <v>35</v>
      </c>
      <c r="G121" s="22"/>
      <c r="H121" s="1094">
        <f>INDEX(Inputs_EndYrBal,MATCH(F121,Inputs_FF1_Map,0))</f>
        <v>22853804</v>
      </c>
      <c r="I121"/>
      <c r="J121" s="1267">
        <v>22275686</v>
      </c>
      <c r="K121" s="1094">
        <f t="shared" si="1"/>
        <v>578118</v>
      </c>
      <c r="L121" s="1576">
        <f t="shared" si="2"/>
        <v>2.5952870766808259E-2</v>
      </c>
      <c r="N121" s="1267">
        <v>25261821</v>
      </c>
      <c r="O121" s="1094">
        <f t="shared" si="3"/>
        <v>-2408017</v>
      </c>
      <c r="P121" s="1576">
        <f t="shared" si="4"/>
        <v>-9.5322383924737644E-2</v>
      </c>
      <c r="Q121" s="2125"/>
      <c r="R121" s="2185"/>
    </row>
    <row r="122" spans="1:20" ht="15" customHeight="1">
      <c r="A122" s="34">
        <f t="shared" si="5"/>
        <v>62</v>
      </c>
      <c r="B122" s="34"/>
      <c r="C122" s="309" t="s">
        <v>311</v>
      </c>
      <c r="D122" s="254"/>
      <c r="E122" s="45"/>
      <c r="F122" s="309" t="s">
        <v>38</v>
      </c>
      <c r="G122" s="22"/>
      <c r="H122" s="1094">
        <f>INDEX(Inputs_EndYrBal,MATCH(F122,Inputs_FF1_Map,0))</f>
        <v>1435</v>
      </c>
      <c r="I122"/>
      <c r="J122" s="1267">
        <v>319</v>
      </c>
      <c r="K122" s="1094">
        <f t="shared" si="1"/>
        <v>1116</v>
      </c>
      <c r="L122" s="1576">
        <f t="shared" si="2"/>
        <v>3.4984326018808778</v>
      </c>
      <c r="N122" s="1267">
        <v>1818</v>
      </c>
      <c r="O122" s="1094">
        <f t="shared" si="3"/>
        <v>-383</v>
      </c>
      <c r="P122" s="1576">
        <f t="shared" si="4"/>
        <v>-0.21067106710671066</v>
      </c>
      <c r="Q122" s="2125"/>
      <c r="R122" s="2185"/>
    </row>
    <row r="123" spans="1:20" ht="15" customHeight="1">
      <c r="A123" s="34">
        <f t="shared" si="5"/>
        <v>63</v>
      </c>
      <c r="B123" s="34"/>
      <c r="C123" s="309" t="s">
        <v>410</v>
      </c>
      <c r="D123" s="23"/>
      <c r="E123" s="99" t="str">
        <f>"(Note "&amp;B$301&amp;")"</f>
        <v>(Note C)</v>
      </c>
      <c r="F123" s="478" t="s">
        <v>177</v>
      </c>
      <c r="G123" s="22"/>
      <c r="H123" s="626">
        <f>'Att 5 - Cost Support'!I212</f>
        <v>787864.66999999993</v>
      </c>
      <c r="I123"/>
      <c r="J123" s="1267">
        <v>154650.02000000002</v>
      </c>
      <c r="K123" s="1094">
        <f t="shared" si="1"/>
        <v>633214.64999999991</v>
      </c>
      <c r="L123" s="1576">
        <f t="shared" si="2"/>
        <v>4.0945009253797693</v>
      </c>
      <c r="N123" s="1267">
        <v>159724.97999999998</v>
      </c>
      <c r="O123" s="1094">
        <f t="shared" si="3"/>
        <v>628139.68999999994</v>
      </c>
      <c r="P123" s="1576">
        <f t="shared" si="4"/>
        <v>3.93263276664677</v>
      </c>
      <c r="Q123" s="2125"/>
      <c r="R123" s="2185"/>
      <c r="S123" s="349"/>
    </row>
    <row r="124" spans="1:20" ht="15" customHeight="1">
      <c r="A124" s="34">
        <f t="shared" si="5"/>
        <v>64</v>
      </c>
      <c r="B124" s="34"/>
      <c r="C124" s="313" t="s">
        <v>90</v>
      </c>
      <c r="D124" s="24"/>
      <c r="E124" s="512"/>
      <c r="F124" s="242" t="str">
        <f>"(Line "&amp;A117&amp;" - Sum (Lines "&amp;A118&amp;" to "&amp;A123&amp;"))"</f>
        <v>(Line 57 - Sum (Lines 58 to 63))</v>
      </c>
      <c r="G124" s="24"/>
      <c r="H124" s="624">
        <f>H117-SUM(+H118+H119+H120+H121+H122+H123)</f>
        <v>105276634.33</v>
      </c>
      <c r="I124"/>
      <c r="J124" s="624">
        <v>95759087.539999992</v>
      </c>
      <c r="K124" s="1609">
        <f t="shared" si="1"/>
        <v>9517546.7900000066</v>
      </c>
      <c r="L124" s="1601">
        <f t="shared" si="2"/>
        <v>9.9390533415686377E-2</v>
      </c>
      <c r="N124" s="624">
        <v>86310904.670000017</v>
      </c>
      <c r="O124" s="1609">
        <f t="shared" si="3"/>
        <v>18965729.659999982</v>
      </c>
      <c r="P124" s="1601">
        <f t="shared" si="4"/>
        <v>0.21973735222117419</v>
      </c>
      <c r="Q124" s="2125"/>
      <c r="R124" s="2185"/>
    </row>
    <row r="125" spans="1:20" ht="15" customHeight="1">
      <c r="A125" s="34">
        <f t="shared" si="5"/>
        <v>65</v>
      </c>
      <c r="B125" s="34"/>
      <c r="C125" s="78" t="s">
        <v>12</v>
      </c>
      <c r="D125" s="29"/>
      <c r="F125" s="98" t="str">
        <f>"(Line "&amp;A$18&amp;")"</f>
        <v>(Line 5)</v>
      </c>
      <c r="G125" s="515"/>
      <c r="H125" s="374">
        <f>Allocator.wages.salary</f>
        <v>8.4851850814689656E-2</v>
      </c>
      <c r="I125"/>
      <c r="J125" s="374">
        <v>7.8815542097072699E-2</v>
      </c>
      <c r="K125" s="374"/>
      <c r="L125" s="374"/>
      <c r="N125" s="374">
        <v>8.7245911656529326E-2</v>
      </c>
      <c r="O125" s="374"/>
      <c r="P125" s="374"/>
      <c r="Q125" s="2125"/>
      <c r="R125" s="2185"/>
    </row>
    <row r="126" spans="1:20" ht="15.75">
      <c r="A126" s="34">
        <f t="shared" si="5"/>
        <v>66</v>
      </c>
      <c r="B126" s="34"/>
      <c r="C126" s="12" t="s">
        <v>91</v>
      </c>
      <c r="D126" s="24"/>
      <c r="E126" s="505"/>
      <c r="F126" s="242" t="str">
        <f>"(Line "&amp;A124&amp;" * Line "&amp;A125&amp;")"</f>
        <v>(Line 64 * Line 65)</v>
      </c>
      <c r="G126" s="27"/>
      <c r="H126" s="642">
        <f>H124*H125</f>
        <v>8932917.2704417948</v>
      </c>
      <c r="I126"/>
      <c r="J126" s="642">
        <v>7547304.3951861393</v>
      </c>
      <c r="K126" s="1609">
        <f>$H126-J126</f>
        <v>1385612.8752556555</v>
      </c>
      <c r="L126" s="1601">
        <f>IF(J126=0,"n/m",K126/ABS(J126))</f>
        <v>0.18359043212029905</v>
      </c>
      <c r="N126" s="642">
        <v>7530273.5638339464</v>
      </c>
      <c r="O126" s="1609">
        <f>$H126-N126</f>
        <v>1402643.7066078484</v>
      </c>
      <c r="P126" s="1601">
        <f>IF(N126=0,"n/m",O126/ABS(N126))</f>
        <v>0.18626729755800658</v>
      </c>
      <c r="Q126" s="2125"/>
      <c r="R126" s="2185"/>
    </row>
    <row r="127" spans="1:20" ht="15.75">
      <c r="A127" s="34"/>
      <c r="B127" s="34"/>
      <c r="C127" s="17"/>
      <c r="D127" s="37"/>
      <c r="E127" s="252"/>
      <c r="F127" s="28"/>
      <c r="G127" s="28"/>
      <c r="H127" s="628"/>
      <c r="I127"/>
      <c r="J127" s="628"/>
      <c r="K127" s="628"/>
      <c r="L127" s="628"/>
      <c r="N127" s="628"/>
      <c r="O127" s="628"/>
      <c r="P127" s="628"/>
      <c r="Q127" s="2125"/>
      <c r="R127" s="2185"/>
    </row>
    <row r="128" spans="1:20" ht="15.75">
      <c r="A128" s="34"/>
      <c r="B128" s="7" t="s">
        <v>235</v>
      </c>
      <c r="C128" s="23"/>
      <c r="D128" s="37"/>
      <c r="E128" s="252"/>
      <c r="F128" s="28"/>
      <c r="G128" s="28"/>
      <c r="H128" s="628"/>
      <c r="I128"/>
      <c r="J128" s="628"/>
      <c r="K128" s="628"/>
      <c r="L128" s="628"/>
      <c r="N128" s="628"/>
      <c r="O128" s="628"/>
      <c r="P128" s="628"/>
      <c r="Q128" s="2125"/>
      <c r="R128" s="2185"/>
    </row>
    <row r="129" spans="1:18" ht="15.75">
      <c r="A129" s="34">
        <f>+A126+1</f>
        <v>67</v>
      </c>
      <c r="B129" s="20"/>
      <c r="C129" s="21" t="s">
        <v>312</v>
      </c>
      <c r="D129" s="85"/>
      <c r="E129" s="99" t="str">
        <f>"(Note "&amp;B$304&amp;")"</f>
        <v>(Note E)</v>
      </c>
      <c r="F129" s="254" t="s">
        <v>177</v>
      </c>
      <c r="G129" s="23"/>
      <c r="H129" s="635">
        <f>+'Att 5 - Cost Support'!I236</f>
        <v>3577311.82</v>
      </c>
      <c r="I129"/>
      <c r="J129" s="804">
        <v>2225156.6800000002</v>
      </c>
      <c r="K129" s="1094">
        <f>$H129-J129</f>
        <v>1352155.1399999997</v>
      </c>
      <c r="L129" s="1576">
        <f>IF(J129=0,"n/m",K129/ABS(J129))</f>
        <v>0.60766738457266734</v>
      </c>
      <c r="N129" s="804">
        <v>3100664.62</v>
      </c>
      <c r="O129" s="1094">
        <f>$H129-N129</f>
        <v>476647.19999999972</v>
      </c>
      <c r="P129" s="1576">
        <f>IF(N129=0,"n/m",O129/ABS(N129))</f>
        <v>0.15372420381279409</v>
      </c>
      <c r="Q129" s="2125"/>
      <c r="R129" s="2185"/>
    </row>
    <row r="130" spans="1:18" ht="15.75">
      <c r="A130" s="8">
        <f>+A129+1</f>
        <v>68</v>
      </c>
      <c r="B130" s="20"/>
      <c r="C130" s="78" t="s">
        <v>1043</v>
      </c>
      <c r="D130" s="101"/>
      <c r="E130" s="102"/>
      <c r="F130" s="478" t="s">
        <v>177</v>
      </c>
      <c r="G130" s="197"/>
      <c r="H130" s="904">
        <f>'Att 5 - Cost Support'!I243</f>
        <v>0</v>
      </c>
      <c r="I130"/>
      <c r="J130" s="1274">
        <v>0</v>
      </c>
      <c r="K130" s="1094">
        <f>$H130-J130</f>
        <v>0</v>
      </c>
      <c r="L130" s="1576" t="str">
        <f>IF(J130=0,"n/m",K130/ABS(J130))</f>
        <v>n/m</v>
      </c>
      <c r="N130" s="1274">
        <v>0</v>
      </c>
      <c r="O130" s="1094">
        <f>$H130-N130</f>
        <v>0</v>
      </c>
      <c r="P130" s="1576" t="str">
        <f>IF(N130=0,"n/m",O130/ABS(N130))</f>
        <v>n/m</v>
      </c>
      <c r="Q130" s="2125"/>
      <c r="R130" s="2185"/>
    </row>
    <row r="131" spans="1:18" ht="15.75">
      <c r="A131" s="8">
        <f>+A130+1</f>
        <v>69</v>
      </c>
      <c r="B131" s="20"/>
      <c r="C131" s="182" t="s">
        <v>17</v>
      </c>
      <c r="D131" s="22"/>
      <c r="E131" s="84"/>
      <c r="F131" s="242" t="str">
        <f>"(Line "&amp;A129&amp;" + Line "&amp;A130&amp;")"</f>
        <v>(Line 67 + Line 68)</v>
      </c>
      <c r="G131" s="23"/>
      <c r="H131" s="633">
        <f>SUM(H129:H130)</f>
        <v>3577311.82</v>
      </c>
      <c r="I131"/>
      <c r="J131" s="633">
        <v>2225156.6800000002</v>
      </c>
      <c r="K131" s="1609">
        <f>$H131-J131</f>
        <v>1352155.1399999997</v>
      </c>
      <c r="L131" s="1601">
        <f>IF(J131=0,"n/m",K131/ABS(J131))</f>
        <v>0.60766738457266734</v>
      </c>
      <c r="N131" s="633">
        <v>3100664.62</v>
      </c>
      <c r="O131" s="1609">
        <f>$H131-N131</f>
        <v>476647.19999999972</v>
      </c>
      <c r="P131" s="1601">
        <f>IF(N131=0,"n/m",O131/ABS(N131))</f>
        <v>0.15372420381279409</v>
      </c>
      <c r="Q131" s="2125"/>
      <c r="R131" s="2185"/>
    </row>
    <row r="132" spans="1:18" ht="15.75">
      <c r="A132" s="34"/>
      <c r="B132" s="20"/>
      <c r="C132" s="21"/>
      <c r="D132" s="22"/>
      <c r="E132" s="84"/>
      <c r="F132" s="21"/>
      <c r="G132" s="23"/>
      <c r="H132" s="644"/>
      <c r="I132"/>
      <c r="J132" s="644"/>
      <c r="K132" s="644"/>
      <c r="L132" s="644"/>
      <c r="N132" s="644"/>
      <c r="O132" s="644"/>
      <c r="P132" s="644"/>
      <c r="Q132" s="2125"/>
      <c r="R132" s="2185"/>
    </row>
    <row r="133" spans="1:18" ht="15.75">
      <c r="A133" s="8">
        <f>+A131+1</f>
        <v>70</v>
      </c>
      <c r="B133" s="20"/>
      <c r="C133" s="21" t="s">
        <v>313</v>
      </c>
      <c r="D133" s="22"/>
      <c r="E133" s="99" t="str">
        <f>"(Note "&amp;B$305&amp;")"</f>
        <v>(Note F)</v>
      </c>
      <c r="F133" s="254" t="s">
        <v>177</v>
      </c>
      <c r="G133" s="23"/>
      <c r="H133" s="635">
        <f>'Att 5 - Cost Support'!I221</f>
        <v>5579593</v>
      </c>
      <c r="I133"/>
      <c r="J133" s="804">
        <v>15938310</v>
      </c>
      <c r="K133" s="1094">
        <f>$H133-J133</f>
        <v>-10358717</v>
      </c>
      <c r="L133" s="1576">
        <f>IF(J133=0,"n/m",K133/ABS(J133))</f>
        <v>-0.64992568220846503</v>
      </c>
      <c r="N133" s="804">
        <v>14265351</v>
      </c>
      <c r="O133" s="1094">
        <f>$H133-N133</f>
        <v>-8685758</v>
      </c>
      <c r="P133" s="1576">
        <f>IF(N133=0,"n/m",O133/ABS(N133))</f>
        <v>-0.60887096293669885</v>
      </c>
      <c r="Q133" s="2125"/>
      <c r="R133" s="2185"/>
    </row>
    <row r="134" spans="1:18" ht="15.75">
      <c r="A134" s="8">
        <f>+A133+1</f>
        <v>71</v>
      </c>
      <c r="B134" s="20"/>
      <c r="C134" s="21" t="s">
        <v>1042</v>
      </c>
      <c r="D134" s="22"/>
      <c r="E134" s="99"/>
      <c r="F134" s="478" t="s">
        <v>177</v>
      </c>
      <c r="G134" s="23"/>
      <c r="H134" s="904">
        <f>+'Att 5 - Cost Support'!I250</f>
        <v>0</v>
      </c>
      <c r="I134"/>
      <c r="J134" s="1274">
        <v>0</v>
      </c>
      <c r="K134" s="1094">
        <f>$H134-J134</f>
        <v>0</v>
      </c>
      <c r="L134" s="1576" t="str">
        <f>IF(J134=0,"n/m",K134/ABS(J134))</f>
        <v>n/m</v>
      </c>
      <c r="N134" s="1274">
        <v>0</v>
      </c>
      <c r="O134" s="1094">
        <f>$H134-N134</f>
        <v>0</v>
      </c>
      <c r="P134" s="1576" t="str">
        <f>IF(N134=0,"n/m",O134/ABS(N134))</f>
        <v>n/m</v>
      </c>
      <c r="Q134" s="2125"/>
      <c r="R134" s="2185"/>
    </row>
    <row r="135" spans="1:18" ht="15.75">
      <c r="A135" s="34">
        <f>+A134+1</f>
        <v>72</v>
      </c>
      <c r="B135" s="20"/>
      <c r="C135" s="198" t="s">
        <v>259</v>
      </c>
      <c r="D135" s="24"/>
      <c r="E135" s="90"/>
      <c r="F135" s="242" t="str">
        <f>"(Line "&amp;A133&amp;" + Line "&amp;A134&amp;")"</f>
        <v>(Line 70 + Line 71)</v>
      </c>
      <c r="G135" s="26"/>
      <c r="H135" s="631">
        <f>SUM(H133:H134)</f>
        <v>5579593</v>
      </c>
      <c r="I135"/>
      <c r="J135" s="631">
        <v>15938310</v>
      </c>
      <c r="K135" s="1609">
        <f>$H135-J135</f>
        <v>-10358717</v>
      </c>
      <c r="L135" s="1601">
        <f>IF(J135=0,"n/m",K135/ABS(J135))</f>
        <v>-0.64992568220846503</v>
      </c>
      <c r="N135" s="631">
        <v>14265351</v>
      </c>
      <c r="O135" s="1609">
        <f>$H135-N135</f>
        <v>-8685758</v>
      </c>
      <c r="P135" s="1601">
        <f>IF(N135=0,"n/m",O135/ABS(N135))</f>
        <v>-0.60887096293669885</v>
      </c>
      <c r="Q135" s="2125"/>
      <c r="R135" s="2185"/>
    </row>
    <row r="136" spans="1:18" ht="15.75">
      <c r="A136" s="8">
        <f>+A135+1</f>
        <v>73</v>
      </c>
      <c r="B136" s="34"/>
      <c r="C136" s="332" t="s">
        <v>216</v>
      </c>
      <c r="D136" s="29"/>
      <c r="E136" s="34"/>
      <c r="F136" s="478" t="str">
        <f>"(Line "&amp;A$30&amp;")"</f>
        <v>(Line 12)</v>
      </c>
      <c r="G136" s="193"/>
      <c r="H136" s="374">
        <f>Allocator.gross.plant</f>
        <v>0.23077715895481951</v>
      </c>
      <c r="I136"/>
      <c r="J136" s="374">
        <v>0.23193915482060706</v>
      </c>
      <c r="K136" s="374"/>
      <c r="L136" s="374"/>
      <c r="N136" s="374">
        <v>0.23321523213522022</v>
      </c>
      <c r="O136" s="374"/>
      <c r="P136" s="374"/>
      <c r="Q136" s="2125"/>
      <c r="R136" s="2185"/>
    </row>
    <row r="137" spans="1:18" ht="15.75">
      <c r="A137" s="34">
        <f>+A136+1</f>
        <v>74</v>
      </c>
      <c r="B137" s="34"/>
      <c r="C137" s="12" t="s">
        <v>236</v>
      </c>
      <c r="D137" s="24"/>
      <c r="E137" s="505"/>
      <c r="F137" s="475" t="str">
        <f>"(Line "&amp;A135&amp;" * Line "&amp;A136&amp;")"</f>
        <v>(Line 72 * Line 73)</v>
      </c>
      <c r="G137" s="27"/>
      <c r="H137" s="638">
        <f>H135*H136</f>
        <v>1287642.6206641982</v>
      </c>
      <c r="I137"/>
      <c r="J137" s="638">
        <v>3696718.1506688297</v>
      </c>
      <c r="K137" s="1609">
        <f>$H137-J137</f>
        <v>-2409075.5300046317</v>
      </c>
      <c r="L137" s="1601">
        <f>IF(J137=0,"n/m",K137/ABS(J137))</f>
        <v>-0.65167952541060481</v>
      </c>
      <c r="N137" s="638">
        <v>3326897.1449553957</v>
      </c>
      <c r="O137" s="1609">
        <f>$H137-N137</f>
        <v>-2039254.5242911975</v>
      </c>
      <c r="P137" s="1601">
        <f>IF(N137=0,"n/m",O137/ABS(N137))</f>
        <v>-0.61295989489285463</v>
      </c>
      <c r="Q137" s="2125"/>
      <c r="R137" s="2185"/>
    </row>
    <row r="138" spans="1:18" ht="15.75">
      <c r="A138" s="34"/>
      <c r="B138" s="34"/>
      <c r="C138" s="7"/>
      <c r="D138" s="22"/>
      <c r="E138" s="373"/>
      <c r="F138" s="22"/>
      <c r="G138" s="22"/>
      <c r="H138" s="628"/>
      <c r="I138"/>
      <c r="J138" s="628"/>
      <c r="K138" s="628"/>
      <c r="L138" s="628"/>
      <c r="N138" s="628"/>
      <c r="O138" s="628"/>
      <c r="P138" s="628"/>
      <c r="Q138" s="2125"/>
      <c r="R138" s="2185"/>
    </row>
    <row r="139" spans="1:18" ht="16.5" thickBot="1">
      <c r="A139" s="34">
        <f>A137+1</f>
        <v>75</v>
      </c>
      <c r="B139" s="34"/>
      <c r="C139" s="13" t="s">
        <v>272</v>
      </c>
      <c r="D139" s="58"/>
      <c r="E139" s="507"/>
      <c r="F139" s="508" t="str">
        <f>"(Lines "&amp;A114&amp;" + "&amp;A126&amp;" + "&amp;A131&amp;" + "&amp;A137&amp;" )"</f>
        <v>(Lines 56 + 66 + 69 + 74 )</v>
      </c>
      <c r="G139" s="58"/>
      <c r="H139" s="645">
        <f>H114+H126+H131+H137</f>
        <v>73541475.971105978</v>
      </c>
      <c r="I139"/>
      <c r="J139" s="645">
        <v>69887252.685854971</v>
      </c>
      <c r="K139" s="1638">
        <f>$H139-J139</f>
        <v>3654223.2852510065</v>
      </c>
      <c r="L139" s="1639">
        <f>IF(J139=0,"n/m",K139/ABS(J139))</f>
        <v>5.2287407857865523E-2</v>
      </c>
      <c r="N139" s="645">
        <v>75595793.468789339</v>
      </c>
      <c r="O139" s="1638">
        <f>$H139-N139</f>
        <v>-2054317.4976833612</v>
      </c>
      <c r="P139" s="1639">
        <f>IF(N139=0,"n/m",O139/ABS(N139))</f>
        <v>-2.7175023945366902E-2</v>
      </c>
      <c r="Q139" s="2125"/>
      <c r="R139" s="2185"/>
    </row>
    <row r="140" spans="1:18" ht="16.5" thickTop="1">
      <c r="A140" s="19"/>
      <c r="B140" s="8"/>
      <c r="C140" s="7"/>
      <c r="D140" s="22"/>
      <c r="E140" s="157"/>
      <c r="F140" s="9"/>
      <c r="G140" s="9"/>
      <c r="H140" s="646"/>
      <c r="I140"/>
      <c r="J140" s="646"/>
      <c r="K140" s="646"/>
      <c r="L140" s="646"/>
      <c r="N140" s="646"/>
      <c r="O140" s="646"/>
      <c r="P140" s="646"/>
      <c r="Q140" s="2125"/>
      <c r="R140" s="2185"/>
    </row>
    <row r="141" spans="1:18" ht="15.75">
      <c r="A141" s="692" t="s">
        <v>267</v>
      </c>
      <c r="B141" s="187"/>
      <c r="C141" s="188"/>
      <c r="D141" s="62"/>
      <c r="E141" s="526"/>
      <c r="F141" s="63"/>
      <c r="G141" s="63"/>
      <c r="H141" s="647"/>
      <c r="I141"/>
      <c r="J141" s="647">
        <v>0</v>
      </c>
      <c r="K141" s="647"/>
      <c r="L141" s="647"/>
      <c r="N141" s="647">
        <v>0</v>
      </c>
      <c r="O141" s="647"/>
      <c r="P141" s="647"/>
      <c r="Q141" s="2125"/>
      <c r="R141" s="2185"/>
    </row>
    <row r="142" spans="1:18" ht="15.75">
      <c r="A142" s="7"/>
      <c r="B142" s="8"/>
      <c r="C142" s="7"/>
      <c r="D142" s="22"/>
      <c r="E142" s="157"/>
      <c r="F142" s="9"/>
      <c r="G142" s="9"/>
      <c r="H142" s="646"/>
      <c r="I142"/>
      <c r="J142" s="646"/>
      <c r="K142" s="646"/>
      <c r="L142" s="646"/>
      <c r="N142" s="646"/>
      <c r="O142" s="646"/>
      <c r="P142" s="646"/>
      <c r="Q142" s="2125"/>
      <c r="R142" s="2185"/>
    </row>
    <row r="143" spans="1:18" ht="15.75">
      <c r="A143" s="44"/>
      <c r="B143" s="49" t="s">
        <v>220</v>
      </c>
      <c r="C143" s="349"/>
      <c r="F143" s="50"/>
      <c r="G143" s="32"/>
      <c r="H143" s="648"/>
      <c r="I143"/>
      <c r="J143" s="648"/>
      <c r="K143" s="648"/>
      <c r="L143" s="648"/>
      <c r="N143" s="648"/>
      <c r="O143" s="648"/>
      <c r="P143" s="648"/>
      <c r="Q143" s="2125"/>
      <c r="R143" s="2185"/>
    </row>
    <row r="144" spans="1:18" ht="15.75">
      <c r="A144" s="34">
        <f>+A139+1</f>
        <v>76</v>
      </c>
      <c r="B144" s="20"/>
      <c r="C144" s="21" t="s">
        <v>105</v>
      </c>
      <c r="D144" s="22"/>
      <c r="E144" s="99" t="str">
        <f>"(Note "&amp;B310&amp;")"</f>
        <v>(Note H)</v>
      </c>
      <c r="F144" s="332" t="s">
        <v>177</v>
      </c>
      <c r="G144" s="23"/>
      <c r="H144" s="633">
        <f>'Att 5 - Cost Support'!H302</f>
        <v>106777986</v>
      </c>
      <c r="I144"/>
      <c r="J144" s="1273">
        <v>99238672</v>
      </c>
      <c r="K144" s="1094">
        <f>$H144-J144</f>
        <v>7539314</v>
      </c>
      <c r="L144" s="1576">
        <f>IF(J144=0,"n/m",K144/ABS(J144))</f>
        <v>7.5971532549327148E-2</v>
      </c>
      <c r="N144" s="1273">
        <v>104655006</v>
      </c>
      <c r="O144" s="1094">
        <f>$H144-N144</f>
        <v>2122980</v>
      </c>
      <c r="P144" s="1576">
        <f>IF(N144=0,"n/m",O144/ABS(N144))</f>
        <v>2.0285508368324014E-2</v>
      </c>
      <c r="Q144" s="2125"/>
      <c r="R144" s="2185"/>
    </row>
    <row r="145" spans="1:19" ht="15.75">
      <c r="A145" s="34"/>
      <c r="B145" s="20"/>
      <c r="C145" s="21"/>
      <c r="D145" s="22"/>
      <c r="E145" s="34"/>
      <c r="F145" s="21"/>
      <c r="G145" s="193"/>
      <c r="H145" s="635"/>
      <c r="I145"/>
      <c r="J145" s="635"/>
      <c r="K145" s="635"/>
      <c r="L145" s="635"/>
      <c r="N145" s="635"/>
      <c r="O145" s="635"/>
      <c r="P145" s="635"/>
      <c r="Q145" s="2125"/>
      <c r="R145" s="2185"/>
    </row>
    <row r="146" spans="1:19" ht="15.75">
      <c r="A146" s="34">
        <f>+A144+1</f>
        <v>77</v>
      </c>
      <c r="B146" s="20"/>
      <c r="C146" s="332" t="s">
        <v>106</v>
      </c>
      <c r="D146" s="37"/>
      <c r="E146" s="99" t="str">
        <f>"(Note "&amp;B$310&amp;")"</f>
        <v>(Note H)</v>
      </c>
      <c r="F146" s="332" t="s">
        <v>177</v>
      </c>
      <c r="G146" s="51"/>
      <c r="H146" s="631">
        <f>'Att 5 - Cost Support'!H307</f>
        <v>39820885</v>
      </c>
      <c r="I146"/>
      <c r="J146" s="1137">
        <v>40666418</v>
      </c>
      <c r="K146" s="1094">
        <f>$H146-J146</f>
        <v>-845533</v>
      </c>
      <c r="L146" s="1576">
        <f>IF(J146=0,"n/m",K146/ABS(J146))</f>
        <v>-2.0791922219458817E-2</v>
      </c>
      <c r="N146" s="1137">
        <v>41404035</v>
      </c>
      <c r="O146" s="1094">
        <f>$H146-N146</f>
        <v>-1583150</v>
      </c>
      <c r="P146" s="1576">
        <f>IF(N146=0,"n/m",O146/ABS(N146))</f>
        <v>-3.8236611480016378E-2</v>
      </c>
      <c r="Q146" s="2125"/>
      <c r="R146" s="2185"/>
      <c r="S146" s="632"/>
    </row>
    <row r="147" spans="1:19" ht="15.75">
      <c r="A147" s="34">
        <f>+A146+1</f>
        <v>78</v>
      </c>
      <c r="B147" s="20"/>
      <c r="C147" s="78" t="s">
        <v>252</v>
      </c>
      <c r="D147" s="98"/>
      <c r="E147" s="102" t="str">
        <f>"(Note "&amp;B$310&amp;")"</f>
        <v>(Note H)</v>
      </c>
      <c r="F147" s="78" t="s">
        <v>177</v>
      </c>
      <c r="G147" s="197"/>
      <c r="H147" s="904">
        <f>'Att 5 - Cost Support'!H312</f>
        <v>40052602</v>
      </c>
      <c r="I147"/>
      <c r="J147" s="1274">
        <v>36050777</v>
      </c>
      <c r="K147" s="1094">
        <f>$H147-J147</f>
        <v>4001825</v>
      </c>
      <c r="L147" s="1576">
        <f>IF(J147=0,"n/m",K147/ABS(J147))</f>
        <v>0.1110052357540033</v>
      </c>
      <c r="M147" s="23"/>
      <c r="N147" s="1274">
        <v>36791866</v>
      </c>
      <c r="O147" s="1094">
        <f>$H147-N147</f>
        <v>3260736</v>
      </c>
      <c r="P147" s="1576">
        <f>IF(N147=0,"n/m",O147/ABS(N147))</f>
        <v>8.8626545878374319E-2</v>
      </c>
      <c r="Q147" s="2125"/>
      <c r="R147" s="2185"/>
    </row>
    <row r="148" spans="1:19" ht="15.75">
      <c r="A148" s="34">
        <f>+A147+1</f>
        <v>79</v>
      </c>
      <c r="B148" s="20"/>
      <c r="C148" s="332" t="s">
        <v>282</v>
      </c>
      <c r="D148" s="37"/>
      <c r="E148" s="464"/>
      <c r="F148" s="242" t="str">
        <f>"(Line "&amp;A146&amp;" + Line "&amp;A147&amp;")"</f>
        <v>(Line 77 + Line 78)</v>
      </c>
      <c r="G148" s="23"/>
      <c r="H148" s="635">
        <f>SUM(H146:H147)</f>
        <v>79873487</v>
      </c>
      <c r="I148"/>
      <c r="J148" s="635">
        <v>76717195</v>
      </c>
      <c r="K148" s="1609">
        <f>$H148-J148</f>
        <v>3156292</v>
      </c>
      <c r="L148" s="1601">
        <f>IF(J148=0,"n/m",K148/ABS(J148))</f>
        <v>4.1141910884515527E-2</v>
      </c>
      <c r="N148" s="635">
        <v>78195901</v>
      </c>
      <c r="O148" s="1609">
        <f>$H148-N148</f>
        <v>1677586</v>
      </c>
      <c r="P148" s="1601">
        <f>IF(N148=0,"n/m",O148/ABS(N148))</f>
        <v>2.1453630926255327E-2</v>
      </c>
      <c r="Q148" s="2125"/>
      <c r="R148" s="2185"/>
    </row>
    <row r="149" spans="1:19" ht="15.75">
      <c r="A149" s="34">
        <f>+A148+1</f>
        <v>80</v>
      </c>
      <c r="B149" s="20"/>
      <c r="C149" s="78" t="s">
        <v>12</v>
      </c>
      <c r="D149" s="46"/>
      <c r="E149" s="125"/>
      <c r="F149" s="98" t="str">
        <f>"(Line "&amp;A$18&amp;")"</f>
        <v>(Line 5)</v>
      </c>
      <c r="G149" s="527"/>
      <c r="H149" s="528">
        <f>Allocator.wages.salary</f>
        <v>8.4851850814689656E-2</v>
      </c>
      <c r="I149"/>
      <c r="J149" s="528">
        <v>7.8815542097072699E-2</v>
      </c>
      <c r="K149" s="1264"/>
      <c r="L149" s="1264"/>
      <c r="N149" s="528">
        <v>8.7245911656529326E-2</v>
      </c>
      <c r="O149" s="1264"/>
      <c r="P149" s="1264"/>
      <c r="Q149" s="2125"/>
      <c r="R149" s="2185"/>
    </row>
    <row r="150" spans="1:19" s="343" customFormat="1" ht="15.75">
      <c r="A150" s="34">
        <f>+A149+1</f>
        <v>81</v>
      </c>
      <c r="B150" s="20"/>
      <c r="C150" s="182" t="s">
        <v>467</v>
      </c>
      <c r="D150" s="22"/>
      <c r="E150" s="34"/>
      <c r="F150" s="242" t="str">
        <f>"(Line "&amp;A148&amp;" * Line "&amp;A149&amp;")"</f>
        <v>(Line 79 * Line 80)</v>
      </c>
      <c r="G150" s="193"/>
      <c r="H150" s="633">
        <f>+H148*H149</f>
        <v>6777413.2029730538</v>
      </c>
      <c r="I150"/>
      <c r="J150" s="633">
        <v>6046507.3120918348</v>
      </c>
      <c r="K150" s="1609">
        <f>$H150-J150</f>
        <v>730905.89088121895</v>
      </c>
      <c r="L150" s="1601">
        <f>IF(J150=0,"n/m",K150/ABS(J150))</f>
        <v>0.12088067592667089</v>
      </c>
      <c r="N150" s="633">
        <v>6822272.6705487128</v>
      </c>
      <c r="O150" s="1609">
        <f>$H150-N150</f>
        <v>-44859.467575659044</v>
      </c>
      <c r="P150" s="1601">
        <f>IF(N150=0,"n/m",O150/ABS(N150))</f>
        <v>-6.5754433664480041E-3</v>
      </c>
      <c r="Q150" s="2125"/>
      <c r="R150" s="2185"/>
    </row>
    <row r="151" spans="1:19" s="349" customFormat="1" ht="15.75">
      <c r="A151" s="34"/>
      <c r="B151" s="20"/>
      <c r="C151" s="182"/>
      <c r="D151" s="22"/>
      <c r="E151" s="34"/>
      <c r="F151" s="242"/>
      <c r="G151" s="193"/>
      <c r="H151" s="633"/>
      <c r="I151"/>
      <c r="J151" s="633"/>
      <c r="K151" s="633"/>
      <c r="L151" s="633"/>
      <c r="N151" s="633"/>
      <c r="O151" s="633"/>
      <c r="P151" s="633"/>
      <c r="Q151" s="2125"/>
      <c r="R151" s="2185"/>
    </row>
    <row r="152" spans="1:19" s="349" customFormat="1" ht="15.75">
      <c r="A152" s="34">
        <f>+A150+1</f>
        <v>82</v>
      </c>
      <c r="B152" s="20"/>
      <c r="C152" s="21" t="s">
        <v>648</v>
      </c>
      <c r="D152" s="22"/>
      <c r="E152" s="99" t="str">
        <f>"(Note "&amp;B321&amp;")"</f>
        <v>(Note O)</v>
      </c>
      <c r="F152" s="47"/>
      <c r="G152" s="23"/>
      <c r="H152" s="804">
        <v>0</v>
      </c>
      <c r="I152"/>
      <c r="J152" s="804">
        <v>0</v>
      </c>
      <c r="K152" s="1094">
        <f>$H152-J152</f>
        <v>0</v>
      </c>
      <c r="L152" s="1576" t="str">
        <f>IF(J152=0,"n/m",K152/ABS(J152))</f>
        <v>n/m</v>
      </c>
      <c r="N152" s="804">
        <v>0</v>
      </c>
      <c r="O152" s="1094">
        <f>$H152-N152</f>
        <v>0</v>
      </c>
      <c r="P152" s="1576" t="str">
        <f>IF(N152=0,"n/m",O152/ABS(N152))</f>
        <v>n/m</v>
      </c>
      <c r="Q152" s="2125"/>
      <c r="R152" s="2185"/>
    </row>
    <row r="153" spans="1:19" ht="15.75">
      <c r="A153" s="34"/>
      <c r="B153" s="20"/>
      <c r="C153" s="21"/>
      <c r="D153" s="22"/>
      <c r="E153" s="34"/>
      <c r="F153" s="242"/>
      <c r="G153" s="193"/>
      <c r="H153" s="635"/>
      <c r="I153"/>
      <c r="J153" s="635"/>
      <c r="K153" s="635"/>
      <c r="L153" s="635"/>
      <c r="N153" s="635"/>
      <c r="O153" s="635"/>
      <c r="P153" s="635"/>
      <c r="Q153" s="2125"/>
      <c r="R153" s="2185"/>
    </row>
    <row r="154" spans="1:19" s="31" customFormat="1" ht="16.5" thickBot="1">
      <c r="A154" s="8">
        <f>+A152+1</f>
        <v>83</v>
      </c>
      <c r="B154" s="186" t="s">
        <v>268</v>
      </c>
      <c r="C154" s="186"/>
      <c r="D154" s="52"/>
      <c r="E154" s="529"/>
      <c r="F154" s="973" t="str">
        <f>"(Lines "&amp;A144&amp;" + "&amp;A150&amp;" + "&amp;A152&amp;")"</f>
        <v>(Lines 76 + 81 + 82)</v>
      </c>
      <c r="G154" s="530"/>
      <c r="H154" s="649">
        <f>H144+H150+H152</f>
        <v>113555399.20297305</v>
      </c>
      <c r="I154"/>
      <c r="J154" s="649">
        <v>105285179.31209183</v>
      </c>
      <c r="K154" s="1638">
        <f>$H154-J154</f>
        <v>8270219.8908812255</v>
      </c>
      <c r="L154" s="1639">
        <f>IF(J154=0,"n/m",K154/ABS(J154))</f>
        <v>7.8550655893990629E-2</v>
      </c>
      <c r="N154" s="649">
        <v>111477278.67054871</v>
      </c>
      <c r="O154" s="1638">
        <f>$H154-N154</f>
        <v>2078120.5324243456</v>
      </c>
      <c r="P154" s="1639">
        <f>IF(N154=0,"n/m",O154/ABS(N154))</f>
        <v>1.8641651080897496E-2</v>
      </c>
      <c r="Q154" s="2125"/>
      <c r="R154" s="2185"/>
      <c r="S154" s="349"/>
    </row>
    <row r="155" spans="1:19" ht="16.5" thickTop="1">
      <c r="F155" s="349"/>
      <c r="G155" s="349"/>
      <c r="H155" s="632"/>
      <c r="I155"/>
      <c r="J155" s="632"/>
      <c r="K155" s="632"/>
      <c r="L155" s="632"/>
      <c r="N155" s="632"/>
      <c r="O155" s="632"/>
      <c r="P155" s="632"/>
      <c r="Q155" s="2125"/>
      <c r="R155" s="2185"/>
    </row>
    <row r="156" spans="1:19" ht="15.75">
      <c r="A156" s="692" t="s">
        <v>521</v>
      </c>
      <c r="B156" s="187"/>
      <c r="C156" s="188"/>
      <c r="D156" s="62"/>
      <c r="E156" s="129"/>
      <c r="F156" s="63"/>
      <c r="G156" s="63"/>
      <c r="H156" s="647"/>
      <c r="I156"/>
      <c r="J156" s="647">
        <v>0</v>
      </c>
      <c r="K156" s="647"/>
      <c r="L156" s="647"/>
      <c r="N156" s="647">
        <v>0</v>
      </c>
      <c r="O156" s="647"/>
      <c r="P156" s="647"/>
      <c r="Q156" s="2125"/>
      <c r="R156" s="2185"/>
    </row>
    <row r="157" spans="1:19" ht="15.75">
      <c r="A157" s="113"/>
      <c r="B157" s="8"/>
      <c r="C157" s="7"/>
      <c r="D157" s="22"/>
      <c r="E157" s="157"/>
      <c r="F157" s="9"/>
      <c r="G157" s="9"/>
      <c r="H157" s="646"/>
      <c r="I157"/>
      <c r="J157" s="646"/>
      <c r="K157" s="646"/>
      <c r="L157" s="646"/>
      <c r="N157" s="646"/>
      <c r="O157" s="646"/>
      <c r="P157" s="646"/>
      <c r="Q157" s="2125"/>
      <c r="R157" s="2185"/>
    </row>
    <row r="158" spans="1:19" ht="15.75">
      <c r="A158" s="34">
        <f>+A154+1</f>
        <v>84</v>
      </c>
      <c r="B158" s="182" t="s">
        <v>21</v>
      </c>
      <c r="C158" s="183"/>
      <c r="E158" s="99"/>
      <c r="F158" s="23" t="s">
        <v>196</v>
      </c>
      <c r="G158" s="23"/>
      <c r="H158" s="903">
        <f>'Att 2 - Other Taxes'!F27</f>
        <v>38104944.495851353</v>
      </c>
      <c r="I158"/>
      <c r="J158" s="1283">
        <v>35960263.950502515</v>
      </c>
      <c r="K158" s="1094">
        <f>$H158-J158</f>
        <v>2144680.545348838</v>
      </c>
      <c r="L158" s="1576">
        <f>IF(J158=0,"n/m",K158/ABS(J158))</f>
        <v>5.9640289301015205E-2</v>
      </c>
      <c r="N158" s="1283">
        <v>37145684.374436811</v>
      </c>
      <c r="O158" s="1094">
        <f>$H158-N158</f>
        <v>959260.1214145422</v>
      </c>
      <c r="P158" s="1576">
        <f>IF(N158=0,"n/m",O158/ABS(N158))</f>
        <v>2.5824268352279783E-2</v>
      </c>
      <c r="Q158" s="2125"/>
      <c r="R158" s="2185"/>
    </row>
    <row r="159" spans="1:19" ht="15.75">
      <c r="A159" s="45"/>
      <c r="B159" s="22"/>
      <c r="E159" s="8"/>
      <c r="F159" s="21"/>
      <c r="G159" s="23"/>
      <c r="H159" s="632"/>
      <c r="I159"/>
      <c r="J159" s="632"/>
      <c r="K159" s="632"/>
      <c r="L159" s="632"/>
      <c r="N159" s="632"/>
      <c r="O159" s="632"/>
      <c r="P159" s="632"/>
      <c r="Q159" s="2125"/>
      <c r="R159" s="2185"/>
    </row>
    <row r="160" spans="1:19" ht="16.5" thickBot="1">
      <c r="A160" s="34">
        <f>+A158+1</f>
        <v>85</v>
      </c>
      <c r="B160" s="13" t="s">
        <v>22</v>
      </c>
      <c r="C160" s="13"/>
      <c r="D160" s="52"/>
      <c r="E160" s="88"/>
      <c r="F160" s="508" t="str">
        <f>"(Line "&amp;A158&amp;")"</f>
        <v>(Line 84)</v>
      </c>
      <c r="G160" s="15"/>
      <c r="H160" s="641">
        <f>H158</f>
        <v>38104944.495851353</v>
      </c>
      <c r="I160"/>
      <c r="J160" s="641">
        <v>35960263.950502515</v>
      </c>
      <c r="K160" s="1638">
        <f>$H160-J160</f>
        <v>2144680.545348838</v>
      </c>
      <c r="L160" s="1639">
        <f>IF(J160=0,"n/m",K160/ABS(J160))</f>
        <v>5.9640289301015205E-2</v>
      </c>
      <c r="N160" s="641">
        <v>37145684.374436811</v>
      </c>
      <c r="O160" s="1638">
        <f>$H160-N160</f>
        <v>959260.1214145422</v>
      </c>
      <c r="P160" s="1639">
        <f>IF(N160=0,"n/m",O160/ABS(N160))</f>
        <v>2.5824268352279783E-2</v>
      </c>
      <c r="Q160" s="2125"/>
      <c r="R160" s="2185"/>
    </row>
    <row r="161" spans="1:18" ht="16.5" thickTop="1">
      <c r="A161" s="44"/>
      <c r="F161" s="23"/>
      <c r="G161" s="349"/>
      <c r="H161" s="632"/>
      <c r="I161"/>
      <c r="J161" s="632"/>
      <c r="K161" s="632"/>
      <c r="L161" s="632"/>
      <c r="N161" s="632"/>
      <c r="O161" s="632"/>
      <c r="P161" s="632"/>
      <c r="Q161" s="2125"/>
      <c r="R161" s="2185"/>
    </row>
    <row r="162" spans="1:18" ht="15.75">
      <c r="A162" s="692" t="s">
        <v>23</v>
      </c>
      <c r="B162" s="187"/>
      <c r="C162" s="188"/>
      <c r="D162" s="62"/>
      <c r="E162" s="526"/>
      <c r="F162" s="63"/>
      <c r="G162" s="63"/>
      <c r="H162" s="647"/>
      <c r="I162"/>
      <c r="J162" s="647">
        <v>0</v>
      </c>
      <c r="K162" s="647"/>
      <c r="L162" s="647"/>
      <c r="N162" s="647">
        <v>0</v>
      </c>
      <c r="O162" s="647"/>
      <c r="P162" s="647"/>
      <c r="Q162" s="2125"/>
      <c r="R162" s="2185"/>
    </row>
    <row r="163" spans="1:18" ht="15.75">
      <c r="A163" s="19"/>
      <c r="B163" s="8"/>
      <c r="C163" s="7"/>
      <c r="D163" s="22"/>
      <c r="E163" s="157"/>
      <c r="F163" s="9"/>
      <c r="G163" s="9"/>
      <c r="H163" s="646"/>
      <c r="I163"/>
      <c r="J163" s="646"/>
      <c r="K163" s="646"/>
      <c r="L163" s="646"/>
      <c r="N163" s="646"/>
      <c r="O163" s="646"/>
      <c r="P163" s="646"/>
      <c r="Q163" s="2125"/>
      <c r="R163" s="2185"/>
    </row>
    <row r="164" spans="1:18" s="349" customFormat="1" ht="18.75">
      <c r="A164" s="560"/>
      <c r="B164" s="576" t="s">
        <v>876</v>
      </c>
      <c r="D164" s="442"/>
      <c r="E164" s="442"/>
      <c r="F164" s="697"/>
      <c r="G164" s="443"/>
      <c r="H164" s="443"/>
      <c r="I164"/>
      <c r="J164" s="443"/>
      <c r="K164" s="443"/>
      <c r="L164" s="443"/>
      <c r="N164" s="443"/>
      <c r="O164" s="443"/>
      <c r="P164" s="443"/>
      <c r="Q164" s="2125"/>
      <c r="R164" s="2185"/>
    </row>
    <row r="165" spans="1:18" s="349" customFormat="1" ht="18.75">
      <c r="A165" s="560">
        <f>SUM(A160+1)</f>
        <v>86</v>
      </c>
      <c r="B165" s="442"/>
      <c r="C165" s="443" t="s">
        <v>870</v>
      </c>
      <c r="E165" s="443"/>
      <c r="F165" s="443" t="s">
        <v>472</v>
      </c>
      <c r="G165" s="444"/>
      <c r="H165" s="445">
        <f>'Att 14 - Cost of Capital Detail'!C6</f>
        <v>7046645769.2307692</v>
      </c>
      <c r="I165"/>
      <c r="J165" s="1275">
        <v>7111415153.8461542</v>
      </c>
      <c r="K165" s="1094">
        <f>$H165-J165</f>
        <v>-64769384.615385056</v>
      </c>
      <c r="L165" s="1576">
        <f>IF(J165=0,"n/m",K165/ABS(J165))</f>
        <v>-9.1078052981276216E-3</v>
      </c>
      <c r="N165" s="1275">
        <v>7108466230.7692308</v>
      </c>
      <c r="O165" s="1094">
        <f>$H165-N165</f>
        <v>-61820461.538461685</v>
      </c>
      <c r="P165" s="1576">
        <f>IF(N165=0,"n/m",O165/ABS(N165))</f>
        <v>-8.6967370360247018E-3</v>
      </c>
      <c r="Q165" s="2125"/>
      <c r="R165" s="2185"/>
    </row>
    <row r="166" spans="1:18" s="349" customFormat="1" ht="18.75">
      <c r="A166" s="560">
        <f>SUM(A165+1)</f>
        <v>87</v>
      </c>
      <c r="B166" s="442"/>
      <c r="C166" s="443" t="s">
        <v>1937</v>
      </c>
      <c r="F166" s="443" t="s">
        <v>472</v>
      </c>
      <c r="G166" s="444"/>
      <c r="H166" s="445">
        <f>'Att 14 - Cost of Capital Detail'!C7</f>
        <v>0</v>
      </c>
      <c r="I166"/>
      <c r="J166" s="1275">
        <v>0</v>
      </c>
      <c r="K166" s="1094">
        <f>$H166-J166</f>
        <v>0</v>
      </c>
      <c r="L166" s="1576" t="str">
        <f>IF(J166=0,"n/m",K166/ABS(J166))</f>
        <v>n/m</v>
      </c>
      <c r="N166" s="1275">
        <v>0</v>
      </c>
      <c r="O166" s="1094">
        <f>$H166-N166</f>
        <v>0</v>
      </c>
      <c r="P166" s="1576" t="str">
        <f>IF(N166=0,"n/m",O166/ABS(N166))</f>
        <v>n/m</v>
      </c>
      <c r="Q166" s="2125"/>
      <c r="R166" s="2185"/>
    </row>
    <row r="167" spans="1:18" s="349" customFormat="1" ht="18.75">
      <c r="A167" s="560">
        <f>SUM(A166+1)</f>
        <v>88</v>
      </c>
      <c r="B167" s="442"/>
      <c r="C167" s="443" t="s">
        <v>875</v>
      </c>
      <c r="E167" s="446"/>
      <c r="F167" s="443" t="s">
        <v>472</v>
      </c>
      <c r="G167" s="444"/>
      <c r="H167" s="445">
        <f>'Att 14 - Cost of Capital Detail'!C8</f>
        <v>0</v>
      </c>
      <c r="I167"/>
      <c r="J167" s="1275">
        <v>0</v>
      </c>
      <c r="K167" s="1094">
        <f>$H167-J167</f>
        <v>0</v>
      </c>
      <c r="L167" s="1576" t="str">
        <f>IF(J167=0,"n/m",K167/ABS(J167))</f>
        <v>n/m</v>
      </c>
      <c r="N167" s="1275">
        <v>0</v>
      </c>
      <c r="O167" s="1094">
        <f>$H167-N167</f>
        <v>0</v>
      </c>
      <c r="P167" s="1576" t="str">
        <f>IF(N167=0,"n/m",O167/ABS(N167))</f>
        <v>n/m</v>
      </c>
      <c r="Q167" s="2125"/>
      <c r="R167" s="2185"/>
    </row>
    <row r="168" spans="1:18" s="349" customFormat="1" ht="18.75">
      <c r="A168" s="560">
        <f>SUM(A167+1)</f>
        <v>89</v>
      </c>
      <c r="B168" s="442"/>
      <c r="C168" s="443" t="s">
        <v>877</v>
      </c>
      <c r="E168" s="443"/>
      <c r="F168" s="443" t="s">
        <v>472</v>
      </c>
      <c r="G168" s="444"/>
      <c r="H168" s="445">
        <f>'Att 14 - Cost of Capital Detail'!C9</f>
        <v>0</v>
      </c>
      <c r="I168"/>
      <c r="J168" s="1275">
        <v>0</v>
      </c>
      <c r="K168" s="1094">
        <f>$H168-J168</f>
        <v>0</v>
      </c>
      <c r="L168" s="1576" t="str">
        <f>IF(J168=0,"n/m",K168/ABS(J168))</f>
        <v>n/m</v>
      </c>
      <c r="N168" s="1275">
        <v>0</v>
      </c>
      <c r="O168" s="1094">
        <f>$H168-N168</f>
        <v>0</v>
      </c>
      <c r="P168" s="1576" t="str">
        <f>IF(N168=0,"n/m",O168/ABS(N168))</f>
        <v>n/m</v>
      </c>
      <c r="Q168" s="2125"/>
      <c r="R168" s="2185"/>
    </row>
    <row r="169" spans="1:18" s="349" customFormat="1" ht="18.75">
      <c r="A169" s="560">
        <f t="shared" ref="A169:A176" si="6">SUM(A168+1)</f>
        <v>90</v>
      </c>
      <c r="B169" s="442"/>
      <c r="C169" s="582" t="s">
        <v>878</v>
      </c>
      <c r="D169" s="579"/>
      <c r="E169" s="578"/>
      <c r="F169" s="577" t="str">
        <f>"Sum Lines "&amp;A165&amp;" through "&amp;A168</f>
        <v>Sum Lines 86 through 89</v>
      </c>
      <c r="G169" s="580"/>
      <c r="H169" s="581">
        <f>H165-H166+H167+H168</f>
        <v>7046645769.2307692</v>
      </c>
      <c r="I169"/>
      <c r="J169" s="962">
        <v>7111415153.8461542</v>
      </c>
      <c r="K169" s="1609">
        <f>$H169-J169</f>
        <v>-64769384.615385056</v>
      </c>
      <c r="L169" s="1601">
        <f>IF(J169=0,"n/m",K169/ABS(J169))</f>
        <v>-9.1078052981276216E-3</v>
      </c>
      <c r="N169" s="962">
        <v>7108466230.7692308</v>
      </c>
      <c r="O169" s="1609">
        <f>$H169-N169</f>
        <v>-61820461.538461685</v>
      </c>
      <c r="P169" s="1601">
        <f>IF(N169=0,"n/m",O169/ABS(N169))</f>
        <v>-8.6967370360247018E-3</v>
      </c>
      <c r="Q169" s="2125"/>
      <c r="R169" s="2185"/>
    </row>
    <row r="170" spans="1:18" s="349" customFormat="1" ht="18.75">
      <c r="A170" s="560"/>
      <c r="B170" s="442"/>
      <c r="C170" s="447"/>
      <c r="E170" s="443"/>
      <c r="F170" s="445"/>
      <c r="G170" s="444"/>
      <c r="H170" s="474"/>
      <c r="I170"/>
      <c r="J170" s="474"/>
      <c r="K170" s="474"/>
      <c r="L170" s="474"/>
      <c r="N170" s="474"/>
      <c r="O170" s="474"/>
      <c r="P170" s="474"/>
      <c r="Q170" s="2125"/>
      <c r="R170" s="2185"/>
    </row>
    <row r="171" spans="1:18" s="349" customFormat="1" ht="18.75">
      <c r="A171" s="560">
        <f>SUM(A169+1)</f>
        <v>91</v>
      </c>
      <c r="B171" s="442"/>
      <c r="C171" s="443" t="s">
        <v>1938</v>
      </c>
      <c r="E171" s="99" t="str">
        <f>"(Note "&amp;B$331&amp;")"</f>
        <v>(Note T)</v>
      </c>
      <c r="F171" s="443" t="s">
        <v>472</v>
      </c>
      <c r="G171" s="444"/>
      <c r="H171" s="445">
        <f>'Att 14 - Cost of Capital Detail'!C10</f>
        <v>10973949.676923078</v>
      </c>
      <c r="I171"/>
      <c r="J171" s="1275">
        <v>12859624.381538462</v>
      </c>
      <c r="K171" s="1094">
        <f t="shared" ref="K171:K176" si="7">$H171-J171</f>
        <v>-1885674.7046153843</v>
      </c>
      <c r="L171" s="1576">
        <f t="shared" ref="L171:L176" si="8">IF(J171=0,"n/m",K171/ABS(J171))</f>
        <v>-0.14663528643359888</v>
      </c>
      <c r="N171" s="1275">
        <v>11992787.013076931</v>
      </c>
      <c r="O171" s="1094">
        <f t="shared" ref="O171:O176" si="9">$H171-N171</f>
        <v>-1018837.3361538537</v>
      </c>
      <c r="P171" s="1576">
        <f t="shared" ref="P171:P176" si="10">IF(N171=0,"n/m",O171/ABS(N171))</f>
        <v>-8.495417579274224E-2</v>
      </c>
      <c r="Q171" s="2125"/>
      <c r="R171" s="2185"/>
    </row>
    <row r="172" spans="1:18" s="349" customFormat="1" ht="18.75">
      <c r="A172" s="560">
        <f t="shared" si="6"/>
        <v>92</v>
      </c>
      <c r="B172" s="442"/>
      <c r="C172" s="443" t="s">
        <v>1939</v>
      </c>
      <c r="E172" s="99" t="str">
        <f>"(Note "&amp;B$331&amp;")"</f>
        <v>(Note T)</v>
      </c>
      <c r="F172" s="443" t="s">
        <v>472</v>
      </c>
      <c r="G172" s="444"/>
      <c r="H172" s="445">
        <f>'Att 14 - Cost of Capital Detail'!C11</f>
        <v>28336965.896153845</v>
      </c>
      <c r="I172"/>
      <c r="J172" s="1275">
        <v>33577275.64692308</v>
      </c>
      <c r="K172" s="1094">
        <f t="shared" si="7"/>
        <v>-5240309.7507692352</v>
      </c>
      <c r="L172" s="1576">
        <f t="shared" si="8"/>
        <v>-0.15606715106588587</v>
      </c>
      <c r="N172" s="1275">
        <v>31458866.74692307</v>
      </c>
      <c r="O172" s="1094">
        <f t="shared" si="9"/>
        <v>-3121900.8507692255</v>
      </c>
      <c r="P172" s="1576">
        <f t="shared" si="10"/>
        <v>-9.9237549651230605E-2</v>
      </c>
      <c r="Q172" s="2125"/>
      <c r="R172" s="2185"/>
    </row>
    <row r="173" spans="1:18" s="349" customFormat="1" ht="18.75">
      <c r="A173" s="560">
        <f t="shared" si="6"/>
        <v>93</v>
      </c>
      <c r="B173" s="442"/>
      <c r="C173" s="443" t="s">
        <v>1940</v>
      </c>
      <c r="E173" s="99" t="str">
        <f>"(Note "&amp;B$331&amp;")"</f>
        <v>(Note T)</v>
      </c>
      <c r="F173" s="443" t="s">
        <v>472</v>
      </c>
      <c r="G173" s="444"/>
      <c r="H173" s="445">
        <f>'Att 14 - Cost of Capital Detail'!C12</f>
        <v>5459590.7430769242</v>
      </c>
      <c r="I173"/>
      <c r="J173" s="1275">
        <v>6751859.0884615397</v>
      </c>
      <c r="K173" s="1094">
        <f t="shared" si="7"/>
        <v>-1292268.3453846155</v>
      </c>
      <c r="L173" s="1576">
        <f t="shared" si="8"/>
        <v>-0.19139444832209437</v>
      </c>
      <c r="N173" s="1275">
        <v>6095144.927692309</v>
      </c>
      <c r="O173" s="1094">
        <f t="shared" si="9"/>
        <v>-635554.18461538479</v>
      </c>
      <c r="P173" s="1576">
        <f t="shared" si="10"/>
        <v>-0.10427220224540466</v>
      </c>
      <c r="Q173" s="2125"/>
      <c r="R173" s="2185"/>
    </row>
    <row r="174" spans="1:18" s="349" customFormat="1" ht="18.75">
      <c r="A174" s="560">
        <f t="shared" si="6"/>
        <v>94</v>
      </c>
      <c r="B174" s="442"/>
      <c r="C174" s="443" t="s">
        <v>1941</v>
      </c>
      <c r="E174" s="99" t="str">
        <f>"(Note "&amp;B$331&amp;")"</f>
        <v>(Note T)</v>
      </c>
      <c r="F174" s="443" t="s">
        <v>472</v>
      </c>
      <c r="G174" s="444"/>
      <c r="H174" s="445">
        <f>'Att 14 - Cost of Capital Detail'!C13</f>
        <v>52560.979230769219</v>
      </c>
      <c r="I174"/>
      <c r="J174" s="1275">
        <v>74612.771538461515</v>
      </c>
      <c r="K174" s="1094">
        <f t="shared" si="7"/>
        <v>-22051.792307692296</v>
      </c>
      <c r="L174" s="1576">
        <f t="shared" si="8"/>
        <v>-0.29554983487411401</v>
      </c>
      <c r="N174" s="1275">
        <v>63586.87230769224</v>
      </c>
      <c r="O174" s="1094">
        <f t="shared" si="9"/>
        <v>-11025.893076923021</v>
      </c>
      <c r="P174" s="1576">
        <f t="shared" si="10"/>
        <v>-0.17339889000310518</v>
      </c>
      <c r="Q174" s="2125"/>
      <c r="R174" s="2185"/>
    </row>
    <row r="175" spans="1:18" s="349" customFormat="1" ht="18.75">
      <c r="A175" s="560">
        <f t="shared" si="6"/>
        <v>95</v>
      </c>
      <c r="B175" s="442"/>
      <c r="C175" s="443" t="s">
        <v>1942</v>
      </c>
      <c r="E175" s="99" t="str">
        <f>"(Note "&amp;B$331&amp;")"</f>
        <v>(Note T)</v>
      </c>
      <c r="F175" s="443" t="s">
        <v>472</v>
      </c>
      <c r="G175" s="444"/>
      <c r="H175" s="474">
        <f>'Att 14 - Cost of Capital Detail'!C14</f>
        <v>0</v>
      </c>
      <c r="I175"/>
      <c r="J175" s="1276">
        <v>0</v>
      </c>
      <c r="K175" s="1094">
        <f t="shared" si="7"/>
        <v>0</v>
      </c>
      <c r="L175" s="1576" t="str">
        <f t="shared" si="8"/>
        <v>n/m</v>
      </c>
      <c r="N175" s="1276">
        <v>0</v>
      </c>
      <c r="O175" s="1094">
        <f t="shared" si="9"/>
        <v>0</v>
      </c>
      <c r="P175" s="1576" t="str">
        <f t="shared" si="10"/>
        <v>n/m</v>
      </c>
      <c r="Q175" s="2125"/>
      <c r="R175" s="2185"/>
    </row>
    <row r="176" spans="1:18" s="349" customFormat="1" ht="18.75">
      <c r="A176" s="560">
        <f t="shared" si="6"/>
        <v>96</v>
      </c>
      <c r="B176" s="442"/>
      <c r="C176" s="582" t="s">
        <v>709</v>
      </c>
      <c r="D176" s="579"/>
      <c r="E176" s="578"/>
      <c r="F176" s="577" t="str">
        <f>"Sum Lines "&amp;A169&amp;" through "&amp;A175</f>
        <v>Sum Lines 90 through 95</v>
      </c>
      <c r="G176" s="580"/>
      <c r="H176" s="581">
        <f>+H169-H171-H172-H173+H174+H175</f>
        <v>7001927823.8938465</v>
      </c>
      <c r="I176"/>
      <c r="J176" s="962">
        <v>7058301007.5007696</v>
      </c>
      <c r="K176" s="1609">
        <f t="shared" si="7"/>
        <v>-56373183.606923103</v>
      </c>
      <c r="L176" s="1601">
        <f t="shared" si="8"/>
        <v>-7.9867922247883749E-3</v>
      </c>
      <c r="N176" s="962">
        <v>7058983018.953846</v>
      </c>
      <c r="O176" s="1609">
        <f t="shared" si="9"/>
        <v>-57055195.059999466</v>
      </c>
      <c r="P176" s="1601">
        <f t="shared" si="10"/>
        <v>-8.0826366782300527E-3</v>
      </c>
      <c r="Q176" s="2125"/>
      <c r="R176" s="2185"/>
    </row>
    <row r="177" spans="1:18" s="349" customFormat="1" ht="18.75">
      <c r="A177" s="560"/>
      <c r="B177" s="442"/>
      <c r="C177" s="447"/>
      <c r="E177" s="443"/>
      <c r="F177" s="445"/>
      <c r="G177" s="444"/>
      <c r="H177" s="474"/>
      <c r="I177"/>
      <c r="J177" s="474"/>
      <c r="K177" s="474"/>
      <c r="L177" s="474"/>
      <c r="N177" s="474"/>
      <c r="O177" s="474"/>
      <c r="P177" s="474"/>
      <c r="Q177" s="2125"/>
      <c r="R177" s="2185"/>
    </row>
    <row r="178" spans="1:18" s="349" customFormat="1" ht="15.75">
      <c r="A178" s="560"/>
      <c r="B178" s="576" t="s">
        <v>732</v>
      </c>
      <c r="E178" s="443"/>
      <c r="F178" s="443"/>
      <c r="G178" s="444"/>
      <c r="H178" s="444"/>
      <c r="I178"/>
      <c r="J178" s="444"/>
      <c r="K178" s="444"/>
      <c r="L178" s="444"/>
      <c r="N178" s="444"/>
      <c r="O178" s="444"/>
      <c r="P178" s="444"/>
      <c r="Q178" s="2125"/>
      <c r="R178" s="2185"/>
    </row>
    <row r="179" spans="1:18" s="349" customFormat="1" ht="18.75">
      <c r="A179" s="560">
        <f>A176+1</f>
        <v>97</v>
      </c>
      <c r="B179" s="442"/>
      <c r="C179" s="445" t="s">
        <v>998</v>
      </c>
      <c r="E179" s="99" t="str">
        <f>"(Notes "&amp;$B$325&amp;" &amp; "&amp;$B$331&amp;")"</f>
        <v>(Notes R &amp; T)</v>
      </c>
      <c r="F179" s="445" t="s">
        <v>472</v>
      </c>
      <c r="G179" s="444"/>
      <c r="H179" s="445">
        <f>'Att 14 - Cost of Capital Detail'!C15</f>
        <v>360014410.24000001</v>
      </c>
      <c r="I179"/>
      <c r="J179" s="1275">
        <v>356471778.42000002</v>
      </c>
      <c r="K179" s="1094">
        <f t="shared" ref="K179:K185" si="11">$H179-J179</f>
        <v>3542631.8199999928</v>
      </c>
      <c r="L179" s="1576">
        <f t="shared" ref="L179:L185" si="12">IF(J179=0,"n/m",K179/ABS(J179))</f>
        <v>9.9380428815489981E-3</v>
      </c>
      <c r="N179" s="1275">
        <v>359474830.06</v>
      </c>
      <c r="O179" s="1094">
        <f t="shared" ref="O179:O185" si="13">$H179-N179</f>
        <v>539580.18000000715</v>
      </c>
      <c r="P179" s="1576">
        <f t="shared" ref="P179:P185" si="14">IF(N179=0,"n/m",O179/ABS(N179))</f>
        <v>1.5010235345544103E-3</v>
      </c>
      <c r="Q179" s="2125"/>
      <c r="R179" s="2185"/>
    </row>
    <row r="180" spans="1:18" s="349" customFormat="1" ht="18.75">
      <c r="A180" s="560">
        <f t="shared" ref="A180:A185" si="15">A179+1</f>
        <v>98</v>
      </c>
      <c r="B180" s="442"/>
      <c r="C180" s="445" t="s">
        <v>931</v>
      </c>
      <c r="E180" s="99" t="str">
        <f>"(Note "&amp;$B$325&amp;")"</f>
        <v>(Note R)</v>
      </c>
      <c r="F180" s="443" t="s">
        <v>472</v>
      </c>
      <c r="G180" s="444"/>
      <c r="H180" s="474">
        <f>'Att 14 - Cost of Capital Detail'!C16</f>
        <v>0</v>
      </c>
      <c r="I180"/>
      <c r="J180" s="1276">
        <v>0</v>
      </c>
      <c r="K180" s="1094">
        <f t="shared" si="11"/>
        <v>0</v>
      </c>
      <c r="L180" s="1576" t="str">
        <f t="shared" si="12"/>
        <v>n/m</v>
      </c>
      <c r="N180" s="1276">
        <v>0</v>
      </c>
      <c r="O180" s="1094">
        <f t="shared" si="13"/>
        <v>0</v>
      </c>
      <c r="P180" s="1576" t="str">
        <f t="shared" si="14"/>
        <v>n/m</v>
      </c>
      <c r="Q180" s="2125"/>
      <c r="R180" s="2185"/>
    </row>
    <row r="181" spans="1:18" s="349" customFormat="1" ht="18.75">
      <c r="A181" s="560">
        <f t="shared" si="15"/>
        <v>99</v>
      </c>
      <c r="B181" s="442"/>
      <c r="C181" s="443" t="s">
        <v>880</v>
      </c>
      <c r="E181" s="99" t="str">
        <f>"(Note "&amp;B$331&amp;")"</f>
        <v>(Note T)</v>
      </c>
      <c r="F181" s="443" t="s">
        <v>472</v>
      </c>
      <c r="G181" s="444"/>
      <c r="H181" s="445">
        <f>'Att 14 - Cost of Capital Detail'!C17</f>
        <v>4121973.4400000004</v>
      </c>
      <c r="I181"/>
      <c r="J181" s="1275">
        <v>4088677.3200000003</v>
      </c>
      <c r="K181" s="1094">
        <f t="shared" si="11"/>
        <v>33296.120000000112</v>
      </c>
      <c r="L181" s="1576">
        <f t="shared" si="12"/>
        <v>8.143494189949944E-3</v>
      </c>
      <c r="N181" s="1275">
        <v>4142214.6300000004</v>
      </c>
      <c r="O181" s="1094">
        <f t="shared" si="13"/>
        <v>-20241.189999999944</v>
      </c>
      <c r="P181" s="1576">
        <f t="shared" si="14"/>
        <v>-4.8865623363413069E-3</v>
      </c>
      <c r="Q181" s="2125"/>
      <c r="R181" s="2185"/>
    </row>
    <row r="182" spans="1:18" s="349" customFormat="1" ht="18.75">
      <c r="A182" s="560">
        <f t="shared" si="15"/>
        <v>100</v>
      </c>
      <c r="B182" s="442"/>
      <c r="C182" s="443" t="s">
        <v>1943</v>
      </c>
      <c r="E182" s="99" t="str">
        <f>"(Note "&amp;B$331&amp;")"</f>
        <v>(Note T)</v>
      </c>
      <c r="F182" s="443" t="s">
        <v>472</v>
      </c>
      <c r="G182" s="444"/>
      <c r="H182" s="445">
        <f>'Att 14 - Cost of Capital Detail'!C18</f>
        <v>639595.03000000014</v>
      </c>
      <c r="I182"/>
      <c r="J182" s="1275">
        <v>832211.71</v>
      </c>
      <c r="K182" s="1094">
        <f t="shared" si="11"/>
        <v>-192616.67999999982</v>
      </c>
      <c r="L182" s="1576">
        <f t="shared" si="12"/>
        <v>-0.23145153773431021</v>
      </c>
      <c r="N182" s="1275">
        <v>667664.6100000001</v>
      </c>
      <c r="O182" s="1094">
        <f t="shared" si="13"/>
        <v>-28069.579999999958</v>
      </c>
      <c r="P182" s="1576">
        <f t="shared" si="14"/>
        <v>-4.204143754152246E-2</v>
      </c>
      <c r="Q182" s="2125"/>
      <c r="R182" s="2185"/>
    </row>
    <row r="183" spans="1:18" s="349" customFormat="1" ht="18.75">
      <c r="A183" s="560">
        <f t="shared" si="15"/>
        <v>101</v>
      </c>
      <c r="B183" s="442"/>
      <c r="C183" s="443" t="s">
        <v>879</v>
      </c>
      <c r="E183" s="99" t="str">
        <f>"(Note "&amp;B$331&amp;")"</f>
        <v>(Note T)</v>
      </c>
      <c r="F183" s="443" t="s">
        <v>472</v>
      </c>
      <c r="G183" s="444"/>
      <c r="H183" s="445">
        <f>'Att 14 - Cost of Capital Detail'!C19</f>
        <v>11025.9</v>
      </c>
      <c r="I183"/>
      <c r="J183" s="1275">
        <v>11025.9</v>
      </c>
      <c r="K183" s="1094">
        <f t="shared" si="11"/>
        <v>0</v>
      </c>
      <c r="L183" s="1576">
        <f t="shared" si="12"/>
        <v>0</v>
      </c>
      <c r="N183" s="1275">
        <v>11025.9</v>
      </c>
      <c r="O183" s="1094">
        <f t="shared" si="13"/>
        <v>0</v>
      </c>
      <c r="P183" s="1576">
        <f t="shared" si="14"/>
        <v>0</v>
      </c>
      <c r="Q183" s="2125"/>
      <c r="R183" s="2185"/>
    </row>
    <row r="184" spans="1:18" s="349" customFormat="1" ht="18.75">
      <c r="A184" s="560">
        <f t="shared" si="15"/>
        <v>102</v>
      </c>
      <c r="B184" s="442"/>
      <c r="C184" s="443" t="s">
        <v>1944</v>
      </c>
      <c r="E184" s="99" t="str">
        <f>"(Note "&amp;B$331&amp;")"</f>
        <v>(Note T)</v>
      </c>
      <c r="F184" s="443" t="s">
        <v>472</v>
      </c>
      <c r="G184" s="444"/>
      <c r="H184" s="445">
        <f>'Att 14 - Cost of Capital Detail'!C20</f>
        <v>0</v>
      </c>
      <c r="I184"/>
      <c r="J184" s="1275">
        <v>0</v>
      </c>
      <c r="K184" s="1094">
        <f t="shared" si="11"/>
        <v>0</v>
      </c>
      <c r="L184" s="1576" t="str">
        <f t="shared" si="12"/>
        <v>n/m</v>
      </c>
      <c r="N184" s="1275">
        <v>0</v>
      </c>
      <c r="O184" s="1094">
        <f t="shared" si="13"/>
        <v>0</v>
      </c>
      <c r="P184" s="1576" t="str">
        <f t="shared" si="14"/>
        <v>n/m</v>
      </c>
      <c r="Q184" s="2125"/>
      <c r="R184" s="2185"/>
    </row>
    <row r="185" spans="1:18" s="349" customFormat="1" ht="18.75">
      <c r="A185" s="560">
        <f t="shared" si="15"/>
        <v>103</v>
      </c>
      <c r="B185" s="442"/>
      <c r="C185" s="582" t="s">
        <v>710</v>
      </c>
      <c r="D185" s="579"/>
      <c r="E185" s="579"/>
      <c r="F185" s="577" t="str">
        <f>"Sum Lines "&amp;A179&amp;" through "&amp;A184</f>
        <v>Sum Lines 97 through 102</v>
      </c>
      <c r="G185" s="580"/>
      <c r="H185" s="581">
        <f>+H179-H180+H181+H182-H183-H184</f>
        <v>364764952.81</v>
      </c>
      <c r="I185"/>
      <c r="J185" s="962">
        <v>361381641.55000001</v>
      </c>
      <c r="K185" s="1609">
        <f t="shared" si="11"/>
        <v>3383311.2599999905</v>
      </c>
      <c r="L185" s="1601">
        <f t="shared" si="12"/>
        <v>9.3621558789999653E-3</v>
      </c>
      <c r="N185" s="962">
        <v>364273683.40000004</v>
      </c>
      <c r="O185" s="1609">
        <f t="shared" si="13"/>
        <v>491269.40999996662</v>
      </c>
      <c r="P185" s="1601">
        <f t="shared" si="14"/>
        <v>1.3486272338276923E-3</v>
      </c>
      <c r="Q185" s="2125"/>
      <c r="R185" s="2185"/>
    </row>
    <row r="186" spans="1:18" s="349" customFormat="1" ht="18.75">
      <c r="A186" s="561"/>
      <c r="B186" s="442"/>
      <c r="C186" s="443"/>
      <c r="E186" s="443"/>
      <c r="F186" s="445"/>
      <c r="G186" s="444"/>
      <c r="H186" s="444"/>
      <c r="I186"/>
      <c r="J186" s="444"/>
      <c r="K186" s="444"/>
      <c r="L186" s="444"/>
      <c r="N186" s="444"/>
      <c r="O186" s="444"/>
      <c r="P186" s="444"/>
      <c r="Q186" s="2125"/>
      <c r="R186" s="2185"/>
    </row>
    <row r="187" spans="1:18" s="349" customFormat="1" ht="18.75">
      <c r="A187" s="560"/>
      <c r="B187" s="576" t="s">
        <v>733</v>
      </c>
      <c r="E187" s="442"/>
      <c r="F187" s="445"/>
      <c r="G187" s="444"/>
      <c r="H187" s="444"/>
      <c r="I187"/>
      <c r="J187" s="444"/>
      <c r="K187" s="444"/>
      <c r="L187" s="444"/>
      <c r="N187" s="444"/>
      <c r="O187" s="444"/>
      <c r="P187" s="444"/>
      <c r="Q187" s="2125"/>
      <c r="R187" s="2185"/>
    </row>
    <row r="188" spans="1:18" s="349" customFormat="1" ht="18.75">
      <c r="A188" s="560">
        <f>+A185+1</f>
        <v>104</v>
      </c>
      <c r="B188" s="442"/>
      <c r="C188" s="443" t="s">
        <v>871</v>
      </c>
      <c r="E188" s="443"/>
      <c r="F188" s="445" t="s">
        <v>472</v>
      </c>
      <c r="G188" s="444"/>
      <c r="H188" s="445">
        <f>'Att 14 - Cost of Capital Detail'!C21</f>
        <v>2397600</v>
      </c>
      <c r="I188"/>
      <c r="J188" s="1275">
        <v>2397600</v>
      </c>
      <c r="K188" s="1094">
        <f t="shared" ref="K188:K194" si="16">$H188-J188</f>
        <v>0</v>
      </c>
      <c r="L188" s="1576">
        <f t="shared" ref="L188:L194" si="17">IF(J188=0,"n/m",K188/ABS(J188))</f>
        <v>0</v>
      </c>
      <c r="N188" s="1275">
        <v>2397600</v>
      </c>
      <c r="O188" s="1094">
        <f t="shared" ref="O188:O194" si="18">$H188-N188</f>
        <v>0</v>
      </c>
      <c r="P188" s="1576">
        <f t="shared" ref="P188:P194" si="19">IF(N188=0,"n/m",O188/ABS(N188))</f>
        <v>0</v>
      </c>
      <c r="Q188" s="2125"/>
      <c r="R188" s="2185"/>
    </row>
    <row r="189" spans="1:18" s="349" customFormat="1" ht="18.75">
      <c r="A189" s="560">
        <f t="shared" ref="A189:A202" si="20">+A188+1</f>
        <v>105</v>
      </c>
      <c r="B189" s="442"/>
      <c r="C189" s="443" t="s">
        <v>1945</v>
      </c>
      <c r="E189" s="443"/>
      <c r="F189" s="445" t="s">
        <v>472</v>
      </c>
      <c r="G189" s="444"/>
      <c r="H189" s="445">
        <f>'Att 14 - Cost of Capital Detail'!C22</f>
        <v>0</v>
      </c>
      <c r="I189"/>
      <c r="J189" s="1275">
        <v>0</v>
      </c>
      <c r="K189" s="1094">
        <f t="shared" si="16"/>
        <v>0</v>
      </c>
      <c r="L189" s="1576" t="str">
        <f t="shared" si="17"/>
        <v>n/m</v>
      </c>
      <c r="N189" s="1275">
        <v>0</v>
      </c>
      <c r="O189" s="1094">
        <f t="shared" si="18"/>
        <v>0</v>
      </c>
      <c r="P189" s="1576" t="str">
        <f t="shared" si="19"/>
        <v>n/m</v>
      </c>
      <c r="Q189" s="2125"/>
      <c r="R189" s="2185"/>
    </row>
    <row r="190" spans="1:18" s="349" customFormat="1" ht="18.75">
      <c r="A190" s="560">
        <f t="shared" si="20"/>
        <v>106</v>
      </c>
      <c r="B190" s="442"/>
      <c r="C190" s="443" t="s">
        <v>873</v>
      </c>
      <c r="E190" s="443"/>
      <c r="F190" s="445" t="s">
        <v>472</v>
      </c>
      <c r="G190" s="444"/>
      <c r="H190" s="445">
        <f>'Att 14 - Cost of Capital Detail'!C23</f>
        <v>0</v>
      </c>
      <c r="I190"/>
      <c r="J190" s="1275">
        <v>0</v>
      </c>
      <c r="K190" s="1094">
        <f t="shared" si="16"/>
        <v>0</v>
      </c>
      <c r="L190" s="1576" t="str">
        <f t="shared" si="17"/>
        <v>n/m</v>
      </c>
      <c r="N190" s="1275">
        <v>0</v>
      </c>
      <c r="O190" s="1094">
        <f t="shared" si="18"/>
        <v>0</v>
      </c>
      <c r="P190" s="1576" t="str">
        <f t="shared" si="19"/>
        <v>n/m</v>
      </c>
      <c r="Q190" s="2125"/>
      <c r="R190" s="2185"/>
    </row>
    <row r="191" spans="1:18" s="349" customFormat="1" ht="18.75">
      <c r="A191" s="560">
        <f t="shared" si="20"/>
        <v>107</v>
      </c>
      <c r="B191" s="442"/>
      <c r="C191" s="443" t="s">
        <v>882</v>
      </c>
      <c r="E191" s="443"/>
      <c r="F191" s="445" t="s">
        <v>472</v>
      </c>
      <c r="G191" s="444"/>
      <c r="H191" s="445">
        <f>'Att 14 - Cost of Capital Detail'!C24</f>
        <v>0</v>
      </c>
      <c r="I191"/>
      <c r="J191" s="1275">
        <v>0</v>
      </c>
      <c r="K191" s="1094">
        <f t="shared" si="16"/>
        <v>0</v>
      </c>
      <c r="L191" s="1576" t="str">
        <f t="shared" si="17"/>
        <v>n/m</v>
      </c>
      <c r="N191" s="1275">
        <v>0</v>
      </c>
      <c r="O191" s="1094">
        <f t="shared" si="18"/>
        <v>0</v>
      </c>
      <c r="P191" s="1576" t="str">
        <f t="shared" si="19"/>
        <v>n/m</v>
      </c>
      <c r="Q191" s="2125"/>
      <c r="R191" s="2185"/>
    </row>
    <row r="192" spans="1:18" s="349" customFormat="1" ht="18.75">
      <c r="A192" s="560">
        <f t="shared" si="20"/>
        <v>108</v>
      </c>
      <c r="B192" s="442"/>
      <c r="C192" s="443" t="s">
        <v>929</v>
      </c>
      <c r="E192" s="443"/>
      <c r="F192" s="445" t="s">
        <v>472</v>
      </c>
      <c r="G192" s="444"/>
      <c r="H192" s="445">
        <f>'Att 14 - Cost of Capital Detail'!C25</f>
        <v>0</v>
      </c>
      <c r="I192"/>
      <c r="J192" s="1275">
        <v>0</v>
      </c>
      <c r="K192" s="1094">
        <f t="shared" si="16"/>
        <v>0</v>
      </c>
      <c r="L192" s="1576" t="str">
        <f t="shared" si="17"/>
        <v>n/m</v>
      </c>
      <c r="N192" s="1275">
        <v>0</v>
      </c>
      <c r="O192" s="1094">
        <f t="shared" si="18"/>
        <v>0</v>
      </c>
      <c r="P192" s="1576" t="str">
        <f t="shared" si="19"/>
        <v>n/m</v>
      </c>
      <c r="Q192" s="2125"/>
      <c r="R192" s="2185"/>
    </row>
    <row r="193" spans="1:18" s="349" customFormat="1" ht="18.75">
      <c r="A193" s="560">
        <f t="shared" si="20"/>
        <v>109</v>
      </c>
      <c r="B193" s="442"/>
      <c r="C193" s="443" t="s">
        <v>872</v>
      </c>
      <c r="E193" s="443"/>
      <c r="F193" s="445" t="s">
        <v>472</v>
      </c>
      <c r="G193" s="444"/>
      <c r="H193" s="445">
        <f>'Att 14 - Cost of Capital Detail'!C26</f>
        <v>0</v>
      </c>
      <c r="I193"/>
      <c r="J193" s="1275">
        <v>0</v>
      </c>
      <c r="K193" s="1094">
        <f t="shared" si="16"/>
        <v>0</v>
      </c>
      <c r="L193" s="1576" t="str">
        <f t="shared" si="17"/>
        <v>n/m</v>
      </c>
      <c r="N193" s="1275">
        <v>0</v>
      </c>
      <c r="O193" s="1094">
        <f t="shared" si="18"/>
        <v>0</v>
      </c>
      <c r="P193" s="1576" t="str">
        <f t="shared" si="19"/>
        <v>n/m</v>
      </c>
      <c r="Q193" s="2125"/>
      <c r="R193" s="2185"/>
    </row>
    <row r="194" spans="1:18" s="349" customFormat="1" ht="18.75">
      <c r="A194" s="560">
        <f t="shared" si="20"/>
        <v>110</v>
      </c>
      <c r="B194" s="442"/>
      <c r="C194" s="582" t="s">
        <v>715</v>
      </c>
      <c r="D194" s="579"/>
      <c r="E194" s="579"/>
      <c r="F194" s="577" t="str">
        <f>"Sum Lines "&amp;A188&amp;" through "&amp;A193</f>
        <v>Sum Lines 104 through 109</v>
      </c>
      <c r="G194" s="577"/>
      <c r="H194" s="581">
        <f>+H188-H189+H190+H191-H192-H193</f>
        <v>2397600</v>
      </c>
      <c r="I194"/>
      <c r="J194" s="962">
        <v>2397600</v>
      </c>
      <c r="K194" s="1609">
        <f t="shared" si="16"/>
        <v>0</v>
      </c>
      <c r="L194" s="1601">
        <f t="shared" si="17"/>
        <v>0</v>
      </c>
      <c r="N194" s="962">
        <v>2397600</v>
      </c>
      <c r="O194" s="1609">
        <f t="shared" si="18"/>
        <v>0</v>
      </c>
      <c r="P194" s="1601">
        <f t="shared" si="19"/>
        <v>0</v>
      </c>
      <c r="Q194" s="2125"/>
      <c r="R194" s="2185"/>
    </row>
    <row r="195" spans="1:18" customFormat="1" ht="15.75">
      <c r="G195" s="2"/>
      <c r="H195" s="650"/>
      <c r="J195" s="650"/>
      <c r="K195" s="650"/>
      <c r="L195" s="650"/>
      <c r="N195" s="650"/>
      <c r="O195" s="650"/>
      <c r="P195" s="650"/>
      <c r="Q195" s="2125"/>
      <c r="R195" s="2185"/>
    </row>
    <row r="196" spans="1:18" s="349" customFormat="1" ht="18.75">
      <c r="A196" s="560">
        <f>+A194+1</f>
        <v>111</v>
      </c>
      <c r="B196" s="442"/>
      <c r="C196" s="582" t="s">
        <v>716</v>
      </c>
      <c r="D196" s="579"/>
      <c r="E196" s="578"/>
      <c r="F196" s="577" t="s">
        <v>472</v>
      </c>
      <c r="G196" s="813" t="s">
        <v>930</v>
      </c>
      <c r="H196" s="962">
        <f>'Att 14 - Cost of Capital Detail'!C27</f>
        <v>161901.96</v>
      </c>
      <c r="I196"/>
      <c r="J196" s="1277">
        <v>161901.96</v>
      </c>
      <c r="K196" s="1609">
        <f>$H196-J196</f>
        <v>0</v>
      </c>
      <c r="L196" s="1601">
        <f>IF(J196=0,"n/m",K196/ABS(J196))</f>
        <v>0</v>
      </c>
      <c r="N196" s="1277">
        <v>161901.96</v>
      </c>
      <c r="O196" s="1609">
        <f>$H196-N196</f>
        <v>0</v>
      </c>
      <c r="P196" s="1601">
        <f>IF(N196=0,"n/m",O196/ABS(N196))</f>
        <v>0</v>
      </c>
      <c r="Q196" s="2125"/>
      <c r="R196" s="2185"/>
    </row>
    <row r="197" spans="1:18" s="349" customFormat="1" ht="18.75">
      <c r="A197" s="561"/>
      <c r="B197" s="442"/>
      <c r="C197" s="443"/>
      <c r="E197" s="443"/>
      <c r="F197" s="445"/>
      <c r="G197" s="444"/>
      <c r="H197" s="444"/>
      <c r="I197"/>
      <c r="J197" s="444"/>
      <c r="K197" s="444"/>
      <c r="L197" s="444"/>
      <c r="N197" s="444"/>
      <c r="O197" s="444"/>
      <c r="P197" s="444"/>
      <c r="Q197" s="2125"/>
      <c r="R197" s="2185"/>
    </row>
    <row r="198" spans="1:18" s="349" customFormat="1" ht="18.75">
      <c r="A198" s="560"/>
      <c r="B198" s="576" t="s">
        <v>213</v>
      </c>
      <c r="E198" s="442"/>
      <c r="F198" s="445"/>
      <c r="G198" s="444"/>
      <c r="H198" s="444"/>
      <c r="I198"/>
      <c r="J198" s="444"/>
      <c r="K198" s="444"/>
      <c r="L198" s="444"/>
      <c r="N198" s="444"/>
      <c r="O198" s="444"/>
      <c r="P198" s="444"/>
      <c r="Q198" s="2125"/>
      <c r="R198" s="2185"/>
    </row>
    <row r="199" spans="1:18" s="349" customFormat="1" ht="18.75">
      <c r="A199" s="560">
        <f>+A196+1</f>
        <v>112</v>
      </c>
      <c r="B199" s="442"/>
      <c r="C199" s="443" t="s">
        <v>284</v>
      </c>
      <c r="E199" s="443"/>
      <c r="F199" s="445" t="s">
        <v>472</v>
      </c>
      <c r="G199" s="444"/>
      <c r="H199" s="2357">
        <f>'Att 14 - Cost of Capital Detail'!$C$28</f>
        <v>7497597603.7146158</v>
      </c>
      <c r="I199"/>
      <c r="J199" s="1275">
        <v>7458553511.3146152</v>
      </c>
      <c r="K199" s="1094">
        <f>$H199-J199</f>
        <v>39044092.400000572</v>
      </c>
      <c r="L199" s="1576">
        <f>IF(J199=0,"n/m",K199/ABS(J199))</f>
        <v>5.2348075723758951E-3</v>
      </c>
      <c r="N199" s="1275">
        <v>7531558737.1307697</v>
      </c>
      <c r="O199" s="1094">
        <f>$H199-N199</f>
        <v>-33961133.416153908</v>
      </c>
      <c r="P199" s="1576">
        <f>IF(N199=0,"n/m",O199/ABS(N199))</f>
        <v>-4.5091772634958931E-3</v>
      </c>
      <c r="Q199" s="2125"/>
      <c r="R199" s="2185"/>
    </row>
    <row r="200" spans="1:18" s="349" customFormat="1" ht="18.75">
      <c r="A200" s="560">
        <f t="shared" si="20"/>
        <v>113</v>
      </c>
      <c r="B200" s="442"/>
      <c r="C200" s="443" t="s">
        <v>989</v>
      </c>
      <c r="F200" s="37" t="str">
        <f>"(Line "&amp;A194&amp;")"</f>
        <v>(Line 110)</v>
      </c>
      <c r="G200" s="444"/>
      <c r="H200" s="445">
        <f>H194</f>
        <v>2397600</v>
      </c>
      <c r="I200"/>
      <c r="J200" s="445">
        <v>2397600</v>
      </c>
      <c r="K200" s="1094">
        <f>$H200-J200</f>
        <v>0</v>
      </c>
      <c r="L200" s="1576">
        <f>IF(J200=0,"n/m",K200/ABS(J200))</f>
        <v>0</v>
      </c>
      <c r="N200" s="445">
        <v>2397600</v>
      </c>
      <c r="O200" s="1094">
        <f>$H200-N200</f>
        <v>0</v>
      </c>
      <c r="P200" s="1576">
        <f>IF(N200=0,"n/m",O200/ABS(N200))</f>
        <v>0</v>
      </c>
      <c r="Q200" s="2125"/>
      <c r="R200" s="2185"/>
    </row>
    <row r="201" spans="1:18" s="349" customFormat="1" ht="18.75">
      <c r="A201" s="560">
        <f t="shared" si="20"/>
        <v>114</v>
      </c>
      <c r="B201" s="442"/>
      <c r="C201" s="443" t="s">
        <v>881</v>
      </c>
      <c r="F201" s="445" t="s">
        <v>472</v>
      </c>
      <c r="G201" s="444"/>
      <c r="H201" s="445">
        <f>'Att 14 - Cost of Capital Detail'!C29</f>
        <v>116833918.79538462</v>
      </c>
      <c r="I201"/>
      <c r="J201" s="1275">
        <v>147464388.14923078</v>
      </c>
      <c r="K201" s="1094">
        <f>$H201-J201</f>
        <v>-30630469.353846163</v>
      </c>
      <c r="L201" s="1576">
        <f>IF(J201=0,"n/m",K201/ABS(J201))</f>
        <v>-0.20771434878805309</v>
      </c>
      <c r="N201" s="1275">
        <v>139867117.10153845</v>
      </c>
      <c r="O201" s="1094">
        <f>$H201-N201</f>
        <v>-23033198.306153834</v>
      </c>
      <c r="P201" s="1576">
        <f>IF(N201=0,"n/m",O201/ABS(N201))</f>
        <v>-0.16467915249466797</v>
      </c>
      <c r="Q201" s="2125"/>
      <c r="R201" s="2185"/>
    </row>
    <row r="202" spans="1:18" s="349" customFormat="1" ht="18.75">
      <c r="A202" s="560">
        <f t="shared" si="20"/>
        <v>115</v>
      </c>
      <c r="B202" s="442"/>
      <c r="C202" s="443" t="s">
        <v>883</v>
      </c>
      <c r="F202" s="445" t="s">
        <v>472</v>
      </c>
      <c r="G202" s="886"/>
      <c r="H202" s="474">
        <f>'Att 14 - Cost of Capital Detail'!C30</f>
        <v>-12567850.549230771</v>
      </c>
      <c r="I202"/>
      <c r="J202" s="1276">
        <v>-13306314.38769231</v>
      </c>
      <c r="K202" s="1094">
        <f>$H202-J202</f>
        <v>738463.83846153878</v>
      </c>
      <c r="L202" s="1576">
        <f>IF(J202=0,"n/m",K202/ABS(J202))</f>
        <v>5.5497248670494492E-2</v>
      </c>
      <c r="N202" s="1276">
        <v>-11852626.353076924</v>
      </c>
      <c r="O202" s="1094">
        <f>$H202-N202</f>
        <v>-715224.1961538475</v>
      </c>
      <c r="P202" s="1576">
        <f>IF(N202=0,"n/m",O202/ABS(N202))</f>
        <v>-6.0343098217061096E-2</v>
      </c>
      <c r="Q202" s="2125"/>
      <c r="R202" s="2185"/>
    </row>
    <row r="203" spans="1:18" s="349" customFormat="1" ht="18.75">
      <c r="A203" s="560">
        <f>A202+1</f>
        <v>116</v>
      </c>
      <c r="B203" s="442"/>
      <c r="C203" s="582" t="s">
        <v>384</v>
      </c>
      <c r="D203" s="579"/>
      <c r="E203" s="579"/>
      <c r="F203" s="577" t="str">
        <f>"Sum Lines "&amp;A199&amp;" through "&amp;A202</f>
        <v>Sum Lines 112 through 115</v>
      </c>
      <c r="G203" s="577"/>
      <c r="H203" s="581">
        <f>H199-H200-H201-H202</f>
        <v>7390933935.468462</v>
      </c>
      <c r="I203"/>
      <c r="J203" s="962">
        <v>7321997837.5530767</v>
      </c>
      <c r="K203" s="1609">
        <f>$H203-J203</f>
        <v>68936097.915385246</v>
      </c>
      <c r="L203" s="1601">
        <f>IF(J203=0,"n/m",K203/ABS(J203))</f>
        <v>9.4149301112635749E-3</v>
      </c>
      <c r="N203" s="962">
        <v>7401146646.382308</v>
      </c>
      <c r="O203" s="1609">
        <f>$H203-N203</f>
        <v>-10212710.913846016</v>
      </c>
      <c r="P203" s="1601">
        <f>IF(N203=0,"n/m",O203/ABS(N203))</f>
        <v>-1.3798822536286327E-3</v>
      </c>
      <c r="Q203" s="2125"/>
      <c r="R203" s="2185"/>
    </row>
    <row r="204" spans="1:18" ht="16.5" thickBot="1">
      <c r="A204" s="34"/>
      <c r="B204" s="585"/>
      <c r="C204" s="585"/>
      <c r="D204" s="586"/>
      <c r="E204" s="263"/>
      <c r="F204" s="587"/>
      <c r="G204" s="588"/>
      <c r="H204" s="589"/>
      <c r="I204"/>
      <c r="J204" s="589"/>
      <c r="K204" s="66"/>
      <c r="L204" s="66"/>
      <c r="N204" s="589"/>
      <c r="O204" s="66"/>
      <c r="P204" s="66"/>
      <c r="Q204" s="2125"/>
      <c r="R204" s="2185"/>
    </row>
    <row r="205" spans="1:18" ht="15.75">
      <c r="A205" s="34"/>
      <c r="B205" s="8"/>
      <c r="C205" s="506"/>
      <c r="F205" s="23"/>
      <c r="G205" s="476"/>
      <c r="H205" s="373"/>
      <c r="I205"/>
      <c r="J205" s="373"/>
      <c r="K205" s="373"/>
      <c r="L205" s="373"/>
      <c r="N205" s="373"/>
      <c r="O205" s="373"/>
      <c r="P205" s="373"/>
      <c r="Q205" s="2125"/>
      <c r="R205" s="2185"/>
    </row>
    <row r="206" spans="1:18" ht="15.75">
      <c r="A206" s="34">
        <f>+A203+1</f>
        <v>117</v>
      </c>
      <c r="B206" s="8"/>
      <c r="C206" s="36" t="s">
        <v>911</v>
      </c>
      <c r="D206" s="249" t="s">
        <v>217</v>
      </c>
      <c r="E206" s="99" t="str">
        <f>"(Notes "&amp;B324&amp;" &amp; "&amp;B325&amp;")"</f>
        <v>(Notes Q &amp; R)</v>
      </c>
      <c r="F206" s="242" t="str">
        <f>"(Line "&amp;A169&amp;" / (Lines "&amp;A$169&amp;" + "&amp;A$194&amp;" +"&amp;A$203&amp;"))"</f>
        <v>(Line 90 / (Lines 90 + 110 +116))</v>
      </c>
      <c r="G206" s="254"/>
      <c r="H206" s="375">
        <f>+H169/(H169+H194+H203)</f>
        <v>0.48799562634614152</v>
      </c>
      <c r="I206"/>
      <c r="J206" s="375">
        <v>0.49262319623971046</v>
      </c>
      <c r="K206" s="1657">
        <f>$H206-J206</f>
        <v>-4.6275698935689391E-3</v>
      </c>
      <c r="L206" s="375"/>
      <c r="N206" s="375">
        <v>0.48983331716588602</v>
      </c>
      <c r="O206" s="1657">
        <f>$H206-N206</f>
        <v>-1.8376908197444974E-3</v>
      </c>
      <c r="P206" s="375"/>
      <c r="Q206" s="2125"/>
      <c r="R206" s="2185"/>
    </row>
    <row r="207" spans="1:18" ht="15.75">
      <c r="A207" s="34">
        <f>+A206+1</f>
        <v>118</v>
      </c>
      <c r="B207" s="8"/>
      <c r="C207" s="36" t="s">
        <v>912</v>
      </c>
      <c r="D207" s="506" t="s">
        <v>230</v>
      </c>
      <c r="E207" s="99"/>
      <c r="F207" s="242" t="str">
        <f>"(Line "&amp;A194&amp;" / (Lines "&amp;A$169&amp;" + "&amp;A$194&amp;" +"&amp;A$203&amp;"))"</f>
        <v>(Line 110 / (Lines 90 + 110 +116))</v>
      </c>
      <c r="G207" s="254"/>
      <c r="H207" s="375">
        <f>H194/(H169+H194+H203)</f>
        <v>1.6603904212645433E-4</v>
      </c>
      <c r="I207"/>
      <c r="J207" s="375">
        <v>1.6608696718620536E-4</v>
      </c>
      <c r="K207" s="1657">
        <f>$H207-J207</f>
        <v>-4.7925059751030607E-8</v>
      </c>
      <c r="L207" s="375"/>
      <c r="N207" s="375">
        <v>1.6521487520801515E-4</v>
      </c>
      <c r="O207" s="1657">
        <f>$H207-N207</f>
        <v>8.2416691843918504E-7</v>
      </c>
      <c r="P207" s="375"/>
      <c r="Q207" s="2125"/>
      <c r="R207" s="2185"/>
    </row>
    <row r="208" spans="1:18" ht="15.75">
      <c r="A208" s="34">
        <f>+A207+1</f>
        <v>119</v>
      </c>
      <c r="B208" s="8"/>
      <c r="C208" s="36" t="s">
        <v>913</v>
      </c>
      <c r="D208" s="506" t="s">
        <v>213</v>
      </c>
      <c r="E208" s="99" t="str">
        <f>+E206</f>
        <v>(Notes Q &amp; R)</v>
      </c>
      <c r="F208" s="242" t="str">
        <f>"(Line "&amp;A203&amp;" / (Lines "&amp;A$169&amp;" + "&amp;A$194&amp;" +"&amp;A$203&amp;"))"</f>
        <v>(Line 116 / (Lines 90 + 110 +116))</v>
      </c>
      <c r="G208" s="254"/>
      <c r="H208" s="375">
        <f>H203/(H169+H194+H203)</f>
        <v>0.51183833461173212</v>
      </c>
      <c r="I208"/>
      <c r="J208" s="375">
        <v>0.50721071679310337</v>
      </c>
      <c r="K208" s="1657">
        <f>$H208-J208</f>
        <v>4.6276178186287487E-3</v>
      </c>
      <c r="L208" s="375"/>
      <c r="N208" s="375">
        <v>0.510001467958906</v>
      </c>
      <c r="O208" s="1657">
        <f>$H208-N208</f>
        <v>1.8368666528261191E-3</v>
      </c>
      <c r="P208" s="375"/>
      <c r="Q208" s="2125"/>
      <c r="R208" s="2185"/>
    </row>
    <row r="209" spans="1:19" ht="15.75">
      <c r="A209" s="34"/>
      <c r="B209" s="35"/>
      <c r="C209" s="597"/>
      <c r="D209" s="48"/>
      <c r="E209" s="125"/>
      <c r="F209" s="478"/>
      <c r="G209" s="478"/>
      <c r="H209" s="598"/>
      <c r="I209"/>
      <c r="J209" s="598"/>
      <c r="K209" s="595"/>
      <c r="L209" s="595"/>
      <c r="N209" s="598"/>
      <c r="O209" s="595"/>
      <c r="P209" s="595"/>
      <c r="Q209" s="2125"/>
      <c r="R209" s="2185"/>
    </row>
    <row r="210" spans="1:19" s="349" customFormat="1" ht="15.75">
      <c r="A210" s="34"/>
      <c r="B210" s="35"/>
      <c r="C210" s="594"/>
      <c r="D210" s="28"/>
      <c r="E210" s="103"/>
      <c r="F210" s="242"/>
      <c r="G210" s="242"/>
      <c r="H210" s="595"/>
      <c r="I210"/>
      <c r="J210" s="595"/>
      <c r="K210" s="595"/>
      <c r="L210" s="595"/>
      <c r="N210" s="595"/>
      <c r="O210" s="595"/>
      <c r="P210" s="595"/>
      <c r="Q210" s="2125"/>
      <c r="R210" s="2185"/>
    </row>
    <row r="211" spans="1:19" ht="45" customHeight="1">
      <c r="A211" s="34">
        <f>+A208+1</f>
        <v>120</v>
      </c>
      <c r="B211" s="8"/>
      <c r="C211" s="531" t="s">
        <v>314</v>
      </c>
      <c r="D211" s="583" t="s">
        <v>908</v>
      </c>
      <c r="E211" s="45"/>
      <c r="F211" s="242" t="str">
        <f>"(Line "&amp;A185&amp;" / Line "&amp;A176&amp;")"</f>
        <v>(Line 103 / Line 96)</v>
      </c>
      <c r="G211" s="254"/>
      <c r="H211" s="471">
        <f>H185/H176</f>
        <v>5.2094931850804244E-2</v>
      </c>
      <c r="I211"/>
      <c r="J211" s="1591">
        <v>5.1199522543167848E-2</v>
      </c>
      <c r="K211" s="1657">
        <f>$H211-J211</f>
        <v>8.9540930763639531E-4</v>
      </c>
      <c r="L211" s="471"/>
      <c r="N211" s="471">
        <v>5.1604272516579314E-2</v>
      </c>
      <c r="O211" s="1657">
        <f>$H211-N211</f>
        <v>4.9065933422492991E-4</v>
      </c>
      <c r="P211" s="1591"/>
      <c r="Q211" s="2125"/>
      <c r="R211" s="2185"/>
    </row>
    <row r="212" spans="1:19" ht="45.75">
      <c r="A212" s="34">
        <f>+A211+1</f>
        <v>121</v>
      </c>
      <c r="B212" s="8"/>
      <c r="C212" s="531" t="s">
        <v>319</v>
      </c>
      <c r="D212" s="584" t="s">
        <v>909</v>
      </c>
      <c r="E212" s="45"/>
      <c r="F212" s="242" t="str">
        <f>"(Line "&amp;A196&amp;" / Line "&amp;A194&amp;")"</f>
        <v>(Line 111 / Line 110)</v>
      </c>
      <c r="G212" s="254"/>
      <c r="H212" s="471">
        <f>H196/H194</f>
        <v>6.7526676676676667E-2</v>
      </c>
      <c r="I212"/>
      <c r="J212" s="1591">
        <v>6.7526676676676667E-2</v>
      </c>
      <c r="K212" s="1657">
        <f>$H212-J212</f>
        <v>0</v>
      </c>
      <c r="L212" s="471"/>
      <c r="M212" s="346"/>
      <c r="N212" s="471">
        <v>6.7526676676676667E-2</v>
      </c>
      <c r="O212" s="1657">
        <f>$H212-N212</f>
        <v>0</v>
      </c>
      <c r="P212" s="1591"/>
      <c r="Q212" s="2125"/>
      <c r="R212" s="2185"/>
    </row>
    <row r="213" spans="1:19" ht="15.75">
      <c r="A213" s="34">
        <f>+A212+1</f>
        <v>122</v>
      </c>
      <c r="B213" s="8"/>
      <c r="C213" s="531" t="s">
        <v>315</v>
      </c>
      <c r="D213" s="506" t="s">
        <v>213</v>
      </c>
      <c r="E213" s="99" t="str">
        <f>"(Note "&amp;B310&amp;")"</f>
        <v>(Note H)</v>
      </c>
      <c r="F213" s="254" t="s">
        <v>306</v>
      </c>
      <c r="G213" s="254"/>
      <c r="H213" s="1096">
        <f>Inputs!$E$7</f>
        <v>9.8000000000000004E-2</v>
      </c>
      <c r="I213"/>
      <c r="J213" s="1096">
        <v>9.8000000000000004E-2</v>
      </c>
      <c r="K213" s="1278"/>
      <c r="L213" s="1278"/>
      <c r="M213" s="346"/>
      <c r="N213" s="1096">
        <v>9.8000000000000004E-2</v>
      </c>
      <c r="O213" s="1278"/>
      <c r="P213" s="1278"/>
      <c r="Q213" s="2125"/>
      <c r="R213" s="2185"/>
    </row>
    <row r="214" spans="1:19" s="349" customFormat="1" ht="15.75">
      <c r="A214" s="34"/>
      <c r="B214" s="35"/>
      <c r="C214" s="597"/>
      <c r="D214" s="533"/>
      <c r="E214" s="102"/>
      <c r="F214" s="478"/>
      <c r="G214" s="478"/>
      <c r="H214" s="480"/>
      <c r="I214"/>
      <c r="J214" s="480"/>
      <c r="K214" s="542"/>
      <c r="L214" s="542"/>
      <c r="N214" s="480"/>
      <c r="O214" s="1611"/>
      <c r="P214" s="1611"/>
      <c r="Q214" s="2125"/>
      <c r="R214" s="2185"/>
    </row>
    <row r="215" spans="1:19" ht="15.75">
      <c r="A215" s="34"/>
      <c r="B215" s="35"/>
      <c r="C215" s="594"/>
      <c r="D215" s="28"/>
      <c r="E215" s="103"/>
      <c r="F215" s="242"/>
      <c r="G215" s="242"/>
      <c r="H215" s="596"/>
      <c r="I215"/>
      <c r="J215" s="596"/>
      <c r="K215" s="596"/>
      <c r="L215" s="596"/>
      <c r="M215" s="346"/>
      <c r="N215" s="596"/>
      <c r="O215" s="596"/>
      <c r="P215" s="596"/>
      <c r="Q215" s="2125"/>
      <c r="R215" s="2185"/>
    </row>
    <row r="216" spans="1:19" ht="15.75">
      <c r="A216" s="34">
        <f>+A213+1</f>
        <v>123</v>
      </c>
      <c r="B216" s="8"/>
      <c r="C216" s="36" t="s">
        <v>316</v>
      </c>
      <c r="D216" s="249" t="s">
        <v>218</v>
      </c>
      <c r="F216" s="242" t="str">
        <f>"(Line "&amp;A206&amp;" * Line "&amp;A211&amp;")"</f>
        <v>(Line 117 * Line 120)</v>
      </c>
      <c r="G216" s="477"/>
      <c r="H216" s="471">
        <f>H206*H211</f>
        <v>2.5422098897992775E-2</v>
      </c>
      <c r="I216"/>
      <c r="J216" s="471">
        <v>2.5222072441162455E-2</v>
      </c>
      <c r="K216" s="471"/>
      <c r="L216" s="471"/>
      <c r="M216" s="346"/>
      <c r="N216" s="471">
        <v>2.527749198672841E-2</v>
      </c>
      <c r="O216" s="1591"/>
      <c r="P216" s="1591"/>
      <c r="Q216" s="2125"/>
      <c r="R216" s="2185"/>
    </row>
    <row r="217" spans="1:19" ht="15.75">
      <c r="A217" s="34">
        <f>+A216+1</f>
        <v>124</v>
      </c>
      <c r="B217" s="8"/>
      <c r="C217" s="36" t="s">
        <v>56</v>
      </c>
      <c r="D217" s="506" t="s">
        <v>230</v>
      </c>
      <c r="F217" s="242" t="str">
        <f>"(Line "&amp;A207&amp;" * Line "&amp;A212&amp;")"</f>
        <v>(Line 118 * Line 121)</v>
      </c>
      <c r="G217" s="32"/>
      <c r="H217" s="471">
        <f>H207*H212</f>
        <v>1.1212064713378177E-5</v>
      </c>
      <c r="I217"/>
      <c r="J217" s="471">
        <v>1.1215300933392697E-5</v>
      </c>
      <c r="K217" s="471"/>
      <c r="L217" s="471"/>
      <c r="M217" s="346"/>
      <c r="N217" s="471">
        <v>1.1156411460349123E-5</v>
      </c>
      <c r="O217" s="1591"/>
      <c r="P217" s="1591"/>
      <c r="Q217" s="2125"/>
      <c r="R217" s="2185"/>
    </row>
    <row r="218" spans="1:19" ht="15.75">
      <c r="A218" s="34">
        <f>+A217+1</f>
        <v>125</v>
      </c>
      <c r="B218" s="8"/>
      <c r="C218" s="532" t="s">
        <v>317</v>
      </c>
      <c r="D218" s="533" t="s">
        <v>213</v>
      </c>
      <c r="E218" s="91"/>
      <c r="F218" s="478" t="str">
        <f>"(Line "&amp;A208&amp;" * Line "&amp;A213&amp;")"</f>
        <v>(Line 119 * Line 122)</v>
      </c>
      <c r="G218" s="479"/>
      <c r="H218" s="480">
        <f>H208*H213</f>
        <v>5.0160156791949746E-2</v>
      </c>
      <c r="I218"/>
      <c r="J218" s="480">
        <v>4.9706650245724134E-2</v>
      </c>
      <c r="K218" s="542"/>
      <c r="L218" s="542"/>
      <c r="M218" s="346"/>
      <c r="N218" s="480">
        <v>4.9980143859972792E-2</v>
      </c>
      <c r="O218" s="1611"/>
      <c r="P218" s="1611"/>
      <c r="Q218" s="2125"/>
      <c r="R218" s="2185"/>
    </row>
    <row r="219" spans="1:19" s="1" customFormat="1" ht="15.75">
      <c r="A219" s="8">
        <f>+A218+1</f>
        <v>126</v>
      </c>
      <c r="B219" s="8"/>
      <c r="C219" s="599" t="s">
        <v>320</v>
      </c>
      <c r="D219" s="65"/>
      <c r="E219" s="93"/>
      <c r="F219" s="242" t="str">
        <f>"(Sum Lines "&amp;A216&amp;" to "&amp;A218&amp;")"</f>
        <v>(Sum Lines 123 to 125)</v>
      </c>
      <c r="G219" s="41"/>
      <c r="H219" s="1629">
        <f>SUM(H216:H218)</f>
        <v>7.5593467754655891E-2</v>
      </c>
      <c r="I219"/>
      <c r="J219" s="347">
        <v>7.4939937987819977E-2</v>
      </c>
      <c r="K219" s="1656">
        <f>$H219-J219</f>
        <v>6.5352976683591413E-4</v>
      </c>
      <c r="L219" s="347"/>
      <c r="M219" s="346"/>
      <c r="N219" s="347">
        <v>7.5268792258161549E-2</v>
      </c>
      <c r="O219" s="1656">
        <f>$H219-N219</f>
        <v>3.2467549649434213E-4</v>
      </c>
      <c r="P219" s="1604"/>
      <c r="Q219" s="2125"/>
      <c r="R219" s="2185"/>
      <c r="S219" s="349"/>
    </row>
    <row r="220" spans="1:19" s="1" customFormat="1" ht="15.75">
      <c r="A220" s="4"/>
      <c r="B220" s="4"/>
      <c r="C220" s="39"/>
      <c r="D220" s="65"/>
      <c r="E220" s="93"/>
      <c r="F220" s="66"/>
      <c r="G220" s="41"/>
      <c r="H220" s="33"/>
      <c r="I220"/>
      <c r="J220" s="33"/>
      <c r="K220" s="33"/>
      <c r="L220" s="33"/>
      <c r="M220" s="346"/>
      <c r="N220" s="33"/>
      <c r="O220" s="33"/>
      <c r="P220" s="33"/>
      <c r="Q220" s="2125"/>
      <c r="R220" s="2185"/>
    </row>
    <row r="221" spans="1:19" ht="16.5" thickBot="1">
      <c r="A221" s="8">
        <f>+A219+1</f>
        <v>127</v>
      </c>
      <c r="B221" s="54" t="s">
        <v>265</v>
      </c>
      <c r="C221" s="53"/>
      <c r="D221" s="52"/>
      <c r="E221" s="94"/>
      <c r="F221" s="508" t="str">
        <f>"(Line "&amp;A106&amp;" * Line "&amp;A219&amp;")"</f>
        <v>(Line 52 * Line 126)</v>
      </c>
      <c r="G221" s="55"/>
      <c r="H221" s="651">
        <f>H106*H219</f>
        <v>260609206.54479018</v>
      </c>
      <c r="I221"/>
      <c r="J221" s="651">
        <v>262623424.65825579</v>
      </c>
      <c r="K221" s="1638">
        <f>$H221-J221</f>
        <v>-2014218.1134656072</v>
      </c>
      <c r="L221" s="1639">
        <f>IF(J221=0,"n/m",K221/ABS(J221))</f>
        <v>-7.6696056952522441E-3</v>
      </c>
      <c r="M221" s="346"/>
      <c r="N221" s="651">
        <v>265454052.97688448</v>
      </c>
      <c r="O221" s="1638">
        <f>$H221-N221</f>
        <v>-4844846.4320943058</v>
      </c>
      <c r="P221" s="1639">
        <f>IF(N221=0,"n/m",O221/ABS(N221))</f>
        <v>-1.8251167679538844E-2</v>
      </c>
      <c r="Q221" s="2225"/>
      <c r="R221" s="2185"/>
    </row>
    <row r="222" spans="1:19" ht="16.5" thickTop="1">
      <c r="A222" s="8"/>
      <c r="B222" s="8"/>
      <c r="C222" s="506"/>
      <c r="F222" s="476"/>
      <c r="G222" s="476"/>
      <c r="H222" s="534"/>
      <c r="I222"/>
      <c r="J222" s="534"/>
      <c r="K222" s="534"/>
      <c r="L222" s="534"/>
      <c r="M222" s="346"/>
      <c r="N222" s="534"/>
      <c r="O222" s="534"/>
      <c r="P222" s="534"/>
      <c r="Q222" s="2225"/>
      <c r="R222" s="2185"/>
    </row>
    <row r="223" spans="1:19" ht="15.75">
      <c r="A223" s="692" t="s">
        <v>138</v>
      </c>
      <c r="B223" s="187"/>
      <c r="C223" s="188"/>
      <c r="D223" s="62"/>
      <c r="E223" s="129"/>
      <c r="F223" s="63"/>
      <c r="G223" s="63"/>
      <c r="H223" s="64"/>
      <c r="I223"/>
      <c r="J223" s="64">
        <v>0</v>
      </c>
      <c r="K223" s="64"/>
      <c r="L223" s="64"/>
      <c r="M223" s="346"/>
      <c r="N223" s="64">
        <v>0</v>
      </c>
      <c r="O223" s="64"/>
      <c r="P223" s="64"/>
      <c r="Q223" s="2125"/>
      <c r="R223" s="2185"/>
    </row>
    <row r="224" spans="1:19" ht="15.75">
      <c r="A224" s="21"/>
      <c r="B224" s="8"/>
      <c r="C224" s="7"/>
      <c r="D224" s="22"/>
      <c r="E224" s="157"/>
      <c r="F224" s="9"/>
      <c r="G224" s="9"/>
      <c r="H224" s="11"/>
      <c r="I224"/>
      <c r="J224" s="11"/>
      <c r="K224" s="11"/>
      <c r="L224" s="11"/>
      <c r="M224" s="346"/>
      <c r="N224" s="11"/>
      <c r="O224" s="1629"/>
      <c r="P224" s="1629"/>
      <c r="Q224" s="2125"/>
      <c r="R224" s="2185"/>
    </row>
    <row r="225" spans="1:18" ht="15.75">
      <c r="A225" s="8" t="s">
        <v>225</v>
      </c>
      <c r="B225" s="68" t="s">
        <v>266</v>
      </c>
      <c r="E225" s="157"/>
      <c r="F225" s="476"/>
      <c r="G225" s="535"/>
      <c r="H225" s="22"/>
      <c r="I225"/>
      <c r="J225" s="22"/>
      <c r="K225" s="22"/>
      <c r="L225" s="22"/>
      <c r="M225" s="346"/>
      <c r="N225" s="22"/>
      <c r="O225" s="22"/>
      <c r="P225" s="22"/>
      <c r="Q225" s="2125"/>
      <c r="R225" s="2185"/>
    </row>
    <row r="226" spans="1:18" ht="15.75">
      <c r="A226" s="8">
        <f>+A221+1</f>
        <v>128</v>
      </c>
      <c r="B226" s="8"/>
      <c r="C226" s="9" t="s">
        <v>868</v>
      </c>
      <c r="E226" s="99" t="str">
        <f>"(Note "&amp;B$306&amp;")"</f>
        <v>(Note G)</v>
      </c>
      <c r="F226" s="9"/>
      <c r="G226" s="473"/>
      <c r="H226" s="1095">
        <f>Inputs!E91</f>
        <v>0.35</v>
      </c>
      <c r="I226"/>
      <c r="J226" s="1284">
        <v>0.35</v>
      </c>
      <c r="K226" s="1657">
        <f>$H226-J226</f>
        <v>0</v>
      </c>
      <c r="L226" s="1591"/>
      <c r="M226" s="346"/>
      <c r="N226" s="1284">
        <v>0.35</v>
      </c>
      <c r="O226" s="1657">
        <f>$H226-N226</f>
        <v>0</v>
      </c>
      <c r="P226" s="1591"/>
      <c r="Q226" s="2125"/>
      <c r="R226" s="2185"/>
    </row>
    <row r="227" spans="1:18" ht="15.75">
      <c r="A227" s="8">
        <f>+A226+1</f>
        <v>129</v>
      </c>
      <c r="B227" s="8"/>
      <c r="C227" s="473" t="s">
        <v>869</v>
      </c>
      <c r="D227" s="536"/>
      <c r="E227" s="99" t="str">
        <f>"(Note "&amp;B$306&amp;")"</f>
        <v>(Note G)</v>
      </c>
      <c r="F227" s="9" t="s">
        <v>177</v>
      </c>
      <c r="G227" s="473"/>
      <c r="H227" s="471">
        <f>'Att 5 - Cost Support'!H257</f>
        <v>4.5400000000000003E-2</v>
      </c>
      <c r="I227"/>
      <c r="J227" s="1284">
        <v>4.5400000000000003E-2</v>
      </c>
      <c r="K227" s="1657">
        <f>$H227-J227</f>
        <v>0</v>
      </c>
      <c r="L227" s="1591"/>
      <c r="M227" s="346"/>
      <c r="N227" s="1284">
        <v>4.5400000000000003E-2</v>
      </c>
      <c r="O227" s="1657">
        <f>$H227-N227</f>
        <v>0</v>
      </c>
      <c r="P227" s="1591"/>
      <c r="Q227" s="2125"/>
      <c r="R227" s="2185"/>
    </row>
    <row r="228" spans="1:18" ht="15.75">
      <c r="A228" s="8">
        <f>+A227+1</f>
        <v>130</v>
      </c>
      <c r="B228" s="8"/>
      <c r="C228" s="473" t="s">
        <v>302</v>
      </c>
      <c r="D228" s="473" t="s">
        <v>303</v>
      </c>
      <c r="F228" s="9" t="s">
        <v>910</v>
      </c>
      <c r="G228" s="473"/>
      <c r="H228" s="1095">
        <f>Inputs!E93</f>
        <v>0</v>
      </c>
      <c r="I228"/>
      <c r="J228" s="1284">
        <v>0</v>
      </c>
      <c r="K228" s="1657">
        <f>$H228-J228</f>
        <v>0</v>
      </c>
      <c r="L228" s="1591"/>
      <c r="M228" s="346"/>
      <c r="N228" s="1284">
        <v>0</v>
      </c>
      <c r="O228" s="1657">
        <f>$H228-N228</f>
        <v>0</v>
      </c>
      <c r="P228" s="1591"/>
      <c r="Q228" s="2125"/>
      <c r="R228" s="2185"/>
    </row>
    <row r="229" spans="1:18" ht="15.75">
      <c r="A229" s="34">
        <f>+A228+1</f>
        <v>131</v>
      </c>
      <c r="B229" s="34"/>
      <c r="C229" s="473" t="s">
        <v>307</v>
      </c>
      <c r="D229" s="472" t="s">
        <v>867</v>
      </c>
      <c r="E229" s="45"/>
      <c r="F229" s="22"/>
      <c r="G229" s="473"/>
      <c r="H229" s="537">
        <f>1-(((1-H227)*(1-H226))/(1-H227*H226*H228))</f>
        <v>0.37951000000000001</v>
      </c>
      <c r="I229"/>
      <c r="J229" s="537">
        <v>0.37951000000000001</v>
      </c>
      <c r="K229" s="537"/>
      <c r="L229" s="537"/>
      <c r="M229" s="346"/>
      <c r="N229" s="537">
        <v>0.37951000000000001</v>
      </c>
      <c r="O229" s="537"/>
      <c r="P229" s="537"/>
      <c r="Q229" s="2125"/>
      <c r="R229" s="2185"/>
    </row>
    <row r="230" spans="1:18" customFormat="1" ht="15.75">
      <c r="A230" s="45">
        <f>A229+1</f>
        <v>132</v>
      </c>
      <c r="B230" s="323"/>
      <c r="C230" s="473" t="s">
        <v>285</v>
      </c>
      <c r="D230" s="323"/>
      <c r="E230" s="323"/>
      <c r="F230" s="323"/>
      <c r="G230" s="323"/>
      <c r="H230" s="537">
        <f>H229/(1-H229)</f>
        <v>0.6116295186062628</v>
      </c>
      <c r="J230" s="537">
        <v>0.6116295186062628</v>
      </c>
      <c r="K230" s="537"/>
      <c r="L230" s="537"/>
      <c r="M230" s="346"/>
      <c r="N230" s="537">
        <v>0.6116295186062628</v>
      </c>
      <c r="O230" s="537"/>
      <c r="P230" s="537"/>
      <c r="Q230" s="2125"/>
      <c r="R230" s="2185"/>
    </row>
    <row r="231" spans="1:18" ht="15.75">
      <c r="A231" s="8"/>
      <c r="B231" s="8"/>
      <c r="E231" s="513"/>
      <c r="F231" s="538"/>
      <c r="G231" s="535"/>
      <c r="H231" s="539"/>
      <c r="I231"/>
      <c r="J231" s="539"/>
      <c r="K231" s="539"/>
      <c r="L231" s="539"/>
      <c r="M231" s="346"/>
      <c r="N231" s="539"/>
      <c r="O231" s="539"/>
      <c r="P231" s="539"/>
      <c r="Q231" s="2125"/>
      <c r="R231" s="2185"/>
    </row>
    <row r="232" spans="1:18" ht="15.75">
      <c r="A232" s="8"/>
      <c r="B232" s="68" t="s">
        <v>253</v>
      </c>
      <c r="C232" s="540"/>
      <c r="D232" s="28"/>
      <c r="F232" s="242"/>
      <c r="G232" s="541"/>
      <c r="H232" s="542"/>
      <c r="I232"/>
      <c r="J232" s="542"/>
      <c r="K232" s="542"/>
      <c r="L232" s="542"/>
      <c r="M232" s="346"/>
      <c r="N232" s="542"/>
      <c r="O232" s="1611"/>
      <c r="P232" s="1611"/>
      <c r="Q232" s="2125"/>
      <c r="R232" s="2185"/>
    </row>
    <row r="233" spans="1:18" ht="15.75">
      <c r="A233" s="8">
        <f>A230+1</f>
        <v>133</v>
      </c>
      <c r="B233" s="8"/>
      <c r="C233" s="249" t="s">
        <v>263</v>
      </c>
      <c r="D233" s="28"/>
      <c r="E233" s="99"/>
      <c r="F233" s="242" t="s">
        <v>177</v>
      </c>
      <c r="G233" s="541"/>
      <c r="H233" s="628">
        <f>'Att 5 - Cost Support'!J159</f>
        <v>-969214.4439162506</v>
      </c>
      <c r="I233"/>
      <c r="J233" s="1126">
        <v>-1249695.1113480714</v>
      </c>
      <c r="K233" s="1094">
        <f>$H233-J233</f>
        <v>280480.66743182077</v>
      </c>
      <c r="L233" s="1576">
        <f>IF(J233=0,"n/m",K233/ABS(J233))</f>
        <v>0.22443927713637338</v>
      </c>
      <c r="M233" s="346"/>
      <c r="N233" s="1126">
        <v>-1150335.7563610196</v>
      </c>
      <c r="O233" s="1094">
        <f>$H233-N233</f>
        <v>181121.31244476896</v>
      </c>
      <c r="P233" s="1576">
        <f>IF(N233=0,"n/m",O233/ABS(N233))</f>
        <v>0.15745082376447153</v>
      </c>
      <c r="Q233" s="2125"/>
      <c r="R233" s="2185"/>
    </row>
    <row r="234" spans="1:18" ht="15.75">
      <c r="A234" s="8">
        <f>+A233+1</f>
        <v>134</v>
      </c>
      <c r="B234" s="8"/>
      <c r="C234" s="82" t="s">
        <v>109</v>
      </c>
      <c r="D234" s="37" t="s">
        <v>925</v>
      </c>
      <c r="E234" s="99"/>
      <c r="F234" s="242" t="str">
        <f>"Line "&amp;A233&amp;" * (1 / (1 - Line "&amp;A229&amp;"))"</f>
        <v>Line 133 * (1 / (1 - Line 131))</v>
      </c>
      <c r="G234" s="543"/>
      <c r="H234" s="639">
        <f>H233*(1/(1-H229))</f>
        <v>-1562014.6076749836</v>
      </c>
      <c r="I234"/>
      <c r="J234" s="639">
        <v>-2014045.5307064923</v>
      </c>
      <c r="K234" s="1094">
        <f>$H234-J234</f>
        <v>452030.92303150869</v>
      </c>
      <c r="L234" s="1576">
        <f>IF(J234=0,"n/m",K234/ABS(J234))</f>
        <v>0.22443927713637341</v>
      </c>
      <c r="M234" s="346"/>
      <c r="N234" s="639">
        <v>-1853915.0612596811</v>
      </c>
      <c r="O234" s="1094">
        <f>$H234-N234</f>
        <v>291900.45358469756</v>
      </c>
      <c r="P234" s="1576">
        <f>IF(N234=0,"n/m",O234/ABS(N234))</f>
        <v>0.15745082376447156</v>
      </c>
      <c r="Q234" s="2125"/>
      <c r="R234" s="2185"/>
    </row>
    <row r="235" spans="1:18" ht="15.75">
      <c r="A235" s="8"/>
      <c r="B235" s="8"/>
      <c r="E235" s="513"/>
      <c r="F235" s="544"/>
      <c r="G235" s="535"/>
      <c r="H235" s="652"/>
      <c r="I235"/>
      <c r="J235" s="652"/>
      <c r="K235" s="652"/>
      <c r="L235" s="652"/>
      <c r="M235" s="346"/>
      <c r="N235" s="652"/>
      <c r="O235" s="652"/>
      <c r="P235" s="652"/>
      <c r="Q235" s="2125"/>
      <c r="R235" s="2185"/>
    </row>
    <row r="236" spans="1:18" ht="15.75">
      <c r="A236" s="34">
        <f>+A234+1</f>
        <v>135</v>
      </c>
      <c r="B236" s="107" t="s">
        <v>279</v>
      </c>
      <c r="C236" s="23"/>
      <c r="D236" s="22" t="s">
        <v>926</v>
      </c>
      <c r="E236" s="373"/>
      <c r="F236" s="242" t="str">
        <f>"[Line "&amp;A230&amp;" * Line "&amp;A221&amp;" * (1- (Line "&amp;A216&amp;" / Line "&amp;A219&amp;"))]"</f>
        <v>[Line 132 * Line 127 * (1- (Line 123 / Line 126))]</v>
      </c>
      <c r="G236" s="22"/>
      <c r="H236" s="653">
        <f>((H230*H221*(1-(H216/H219))))</f>
        <v>105791280.2993765</v>
      </c>
      <c r="I236"/>
      <c r="J236" s="653">
        <v>106566583.77374253</v>
      </c>
      <c r="K236" s="1094">
        <f>$H236-J236</f>
        <v>-775303.47436602414</v>
      </c>
      <c r="L236" s="1576">
        <f>IF(J236=0,"n/m",K236/ABS(J236))</f>
        <v>-7.2752963162647146E-3</v>
      </c>
      <c r="M236" s="346"/>
      <c r="N236" s="653">
        <v>107834389.31763923</v>
      </c>
      <c r="O236" s="1094">
        <f>$H236-N236</f>
        <v>-2043109.018262729</v>
      </c>
      <c r="P236" s="1576">
        <f>IF(N236=0,"n/m",O236/ABS(N236))</f>
        <v>-1.8946729621146224E-2</v>
      </c>
      <c r="R236" s="2185"/>
    </row>
    <row r="237" spans="1:18" ht="15.75">
      <c r="A237" s="8"/>
      <c r="B237" s="8"/>
      <c r="C237" s="36"/>
      <c r="D237" s="37"/>
      <c r="E237" s="464"/>
      <c r="F237" s="191"/>
      <c r="G237" s="543"/>
      <c r="H237" s="654"/>
      <c r="I237"/>
      <c r="J237" s="654"/>
      <c r="K237" s="654"/>
      <c r="L237" s="654"/>
      <c r="M237" s="346"/>
      <c r="N237" s="654"/>
      <c r="O237" s="654"/>
      <c r="P237" s="654"/>
      <c r="R237" s="2185"/>
    </row>
    <row r="238" spans="1:18" ht="16.5" thickBot="1">
      <c r="A238" s="8">
        <f>+A236+1</f>
        <v>136</v>
      </c>
      <c r="B238" s="54" t="s">
        <v>209</v>
      </c>
      <c r="C238" s="54"/>
      <c r="D238" s="52"/>
      <c r="E238" s="88"/>
      <c r="F238" s="508" t="str">
        <f>"(Line "&amp;A234&amp;" + Line "&amp;A236&amp;")"</f>
        <v>(Line 134 + Line 135)</v>
      </c>
      <c r="G238" s="67"/>
      <c r="H238" s="655">
        <f>H234+H236</f>
        <v>104229265.69170152</v>
      </c>
      <c r="I238"/>
      <c r="J238" s="655">
        <v>104552538.24303603</v>
      </c>
      <c r="K238" s="1638">
        <f>$H238-J238</f>
        <v>-323272.55133451521</v>
      </c>
      <c r="L238" s="1639">
        <f>IF(J238=0,"n/m",K238/ABS(J238))</f>
        <v>-3.09196272770592E-3</v>
      </c>
      <c r="M238" s="346"/>
      <c r="N238" s="655">
        <v>105980474.25637954</v>
      </c>
      <c r="O238" s="1638">
        <f>$H238-N238</f>
        <v>-1751208.5646780282</v>
      </c>
      <c r="P238" s="1639">
        <f>IF(N238=0,"n/m",O238/ABS(N238))</f>
        <v>-1.6523879299139985E-2</v>
      </c>
      <c r="Q238" s="2225"/>
      <c r="R238" s="2185"/>
    </row>
    <row r="239" spans="1:18" ht="16.5" thickTop="1">
      <c r="A239" s="8"/>
      <c r="B239" s="8"/>
      <c r="C239" s="538"/>
      <c r="F239" s="519"/>
      <c r="G239" s="545"/>
      <c r="H239" s="686"/>
      <c r="I239"/>
      <c r="J239" s="686"/>
      <c r="K239" s="1265"/>
      <c r="L239" s="1265"/>
      <c r="M239" s="346"/>
      <c r="N239" s="686"/>
      <c r="O239" s="1265"/>
      <c r="P239" s="1265"/>
      <c r="Q239" s="2225"/>
      <c r="R239" s="2185"/>
    </row>
    <row r="240" spans="1:18" ht="15.75">
      <c r="A240" s="692" t="s">
        <v>20</v>
      </c>
      <c r="B240" s="187"/>
      <c r="C240" s="188"/>
      <c r="D240" s="62"/>
      <c r="E240" s="526"/>
      <c r="F240" s="63"/>
      <c r="G240" s="63"/>
      <c r="H240" s="687"/>
      <c r="I240"/>
      <c r="J240" s="687">
        <v>0</v>
      </c>
      <c r="K240" s="687"/>
      <c r="L240" s="687"/>
      <c r="M240" s="346"/>
      <c r="N240" s="687">
        <v>0</v>
      </c>
      <c r="O240" s="687"/>
      <c r="P240" s="687"/>
      <c r="Q240" s="2125"/>
      <c r="R240" s="2185"/>
    </row>
    <row r="241" spans="1:20" ht="15.75">
      <c r="A241" s="44"/>
      <c r="B241" s="349"/>
      <c r="C241" s="349"/>
      <c r="D241" s="349"/>
      <c r="F241" s="349"/>
      <c r="G241" s="349"/>
      <c r="H241" s="632"/>
      <c r="I241"/>
      <c r="J241" s="632"/>
      <c r="K241" s="632"/>
      <c r="L241" s="632"/>
      <c r="M241" s="346"/>
      <c r="N241" s="632"/>
      <c r="O241" s="632"/>
      <c r="P241" s="632"/>
      <c r="Q241" s="2125"/>
      <c r="R241" s="2185"/>
    </row>
    <row r="242" spans="1:20" ht="15.75">
      <c r="A242" s="44"/>
      <c r="B242" s="1" t="s">
        <v>210</v>
      </c>
      <c r="C242" s="51"/>
      <c r="D242" s="38"/>
      <c r="F242" s="349"/>
      <c r="G242" s="349"/>
      <c r="H242" s="632"/>
      <c r="I242"/>
      <c r="J242" s="632"/>
      <c r="K242" s="632"/>
      <c r="L242" s="632"/>
      <c r="M242" s="346"/>
      <c r="N242" s="632"/>
      <c r="O242" s="632"/>
      <c r="P242" s="632"/>
      <c r="Q242" s="2125"/>
      <c r="R242" s="2185"/>
    </row>
    <row r="243" spans="1:20" ht="15.75">
      <c r="A243" s="44">
        <f>+A238+1</f>
        <v>137</v>
      </c>
      <c r="B243" s="349"/>
      <c r="C243" s="51" t="s">
        <v>211</v>
      </c>
      <c r="D243" s="38"/>
      <c r="F243" s="242" t="str">
        <f>"(Line "&amp;A64&amp;")"</f>
        <v>(Line 32)</v>
      </c>
      <c r="G243" s="349"/>
      <c r="H243" s="632">
        <f>H64</f>
        <v>4580502795.0228043</v>
      </c>
      <c r="I243"/>
      <c r="J243" s="632">
        <v>4573485298.6002302</v>
      </c>
      <c r="K243" s="1094">
        <f>$H243-J243</f>
        <v>7017496.4225740433</v>
      </c>
      <c r="L243" s="1576">
        <f>IF(J243=0,"n/m",K243/ABS(J243))</f>
        <v>1.5343870078082097E-3</v>
      </c>
      <c r="M243" s="346"/>
      <c r="N243" s="632">
        <v>4637294898.096302</v>
      </c>
      <c r="O243" s="1094">
        <f>$H243-N243</f>
        <v>-56792103.073497772</v>
      </c>
      <c r="P243" s="1576">
        <f>IF(N243=0,"n/m",O243/ABS(N243))</f>
        <v>-1.2246817233213272E-2</v>
      </c>
      <c r="Q243" s="2125"/>
      <c r="R243" s="2185"/>
    </row>
    <row r="244" spans="1:20" ht="15.75">
      <c r="A244" s="8">
        <f>+A243+1</f>
        <v>138</v>
      </c>
      <c r="B244" s="349"/>
      <c r="C244" s="51" t="s">
        <v>5</v>
      </c>
      <c r="D244" s="38"/>
      <c r="F244" s="478" t="str">
        <f>"(Line "&amp;A104&amp;")"</f>
        <v>(Line 51)</v>
      </c>
      <c r="G244" s="349"/>
      <c r="H244" s="632">
        <f>H104</f>
        <v>-1132993184.9250596</v>
      </c>
      <c r="I244"/>
      <c r="J244" s="632">
        <v>-1069033177.210163</v>
      </c>
      <c r="K244" s="1094">
        <f>$H244-J244</f>
        <v>-63960007.71489656</v>
      </c>
      <c r="L244" s="1576">
        <f>IF(J244=0,"n/m",K244/ABS(J244))</f>
        <v>-5.9829768690445942E-2</v>
      </c>
      <c r="M244" s="346"/>
      <c r="N244" s="632">
        <v>-1110547025.4000885</v>
      </c>
      <c r="O244" s="1094">
        <f>$H244-N244</f>
        <v>-22446159.524971008</v>
      </c>
      <c r="P244" s="1576">
        <f>IF(N244=0,"n/m",O244/ABS(N244))</f>
        <v>-2.0211804643648024E-2</v>
      </c>
      <c r="Q244" s="2125"/>
      <c r="R244" s="2185"/>
    </row>
    <row r="245" spans="1:20" ht="15.75">
      <c r="A245" s="8">
        <f>+A244+1</f>
        <v>139</v>
      </c>
      <c r="B245" s="8"/>
      <c r="C245" s="26" t="s">
        <v>278</v>
      </c>
      <c r="D245" s="70"/>
      <c r="E245" s="96"/>
      <c r="F245" s="242" t="str">
        <f>"(Line "&amp;A106&amp;")"</f>
        <v>(Line 52)</v>
      </c>
      <c r="G245" s="71"/>
      <c r="H245" s="656">
        <f>SUM(H243:H244)</f>
        <v>3447509610.0977449</v>
      </c>
      <c r="I245"/>
      <c r="J245" s="656">
        <v>3504452121.3900671</v>
      </c>
      <c r="K245" s="1609">
        <f>$H245-J245</f>
        <v>-56942511.292322159</v>
      </c>
      <c r="L245" s="1601">
        <f>IF(J245=0,"n/m",K245/ABS(J245))</f>
        <v>-1.62486201323063E-2</v>
      </c>
      <c r="M245" s="346"/>
      <c r="N245" s="656">
        <v>3526747872.6962137</v>
      </c>
      <c r="O245" s="1609">
        <f>$H245-N245</f>
        <v>-79238262.598468781</v>
      </c>
      <c r="P245" s="1601">
        <f>IF(N245=0,"n/m",O245/ABS(N245))</f>
        <v>-2.2467799076856265E-2</v>
      </c>
      <c r="Q245" s="2125"/>
      <c r="R245" s="2185"/>
    </row>
    <row r="246" spans="1:20" ht="15.75">
      <c r="A246" s="8"/>
      <c r="B246" s="8"/>
      <c r="C246" s="249"/>
      <c r="D246" s="37"/>
      <c r="E246" s="157"/>
      <c r="F246" s="22"/>
      <c r="G246" s="9"/>
      <c r="H246" s="632"/>
      <c r="I246"/>
      <c r="J246" s="632"/>
      <c r="K246" s="632"/>
      <c r="L246" s="632"/>
      <c r="M246" s="346"/>
      <c r="N246" s="632"/>
      <c r="O246" s="632"/>
      <c r="P246" s="632"/>
      <c r="Q246" s="2125"/>
      <c r="R246" s="2185"/>
    </row>
    <row r="247" spans="1:20" ht="15.75">
      <c r="A247" s="8">
        <f>+A245+1</f>
        <v>140</v>
      </c>
      <c r="C247" s="249" t="s">
        <v>272</v>
      </c>
      <c r="D247" s="28"/>
      <c r="F247" s="242" t="str">
        <f>"(Line "&amp;A139&amp;")"</f>
        <v>(Line 75)</v>
      </c>
      <c r="G247" s="349"/>
      <c r="H247" s="632">
        <f>H139</f>
        <v>73541475.971105978</v>
      </c>
      <c r="I247"/>
      <c r="J247" s="632">
        <v>69887252.685854971</v>
      </c>
      <c r="K247" s="1094">
        <f>$H247-J247</f>
        <v>3654223.2852510065</v>
      </c>
      <c r="L247" s="1576">
        <f>IF(J247=0,"n/m",K247/ABS(J247))</f>
        <v>5.2287407857865523E-2</v>
      </c>
      <c r="M247" s="346"/>
      <c r="N247" s="632">
        <v>75595793.468789339</v>
      </c>
      <c r="O247" s="1094">
        <f>$H247-N247</f>
        <v>-2054317.4976833612</v>
      </c>
      <c r="P247" s="1576">
        <f>IF(N247=0,"n/m",O247/ABS(N247))</f>
        <v>-2.7175023945366902E-2</v>
      </c>
      <c r="Q247" s="2125"/>
      <c r="R247" s="2185"/>
    </row>
    <row r="248" spans="1:20" ht="15.75">
      <c r="A248" s="8">
        <f>+A247+1</f>
        <v>141</v>
      </c>
      <c r="C248" s="332" t="s">
        <v>268</v>
      </c>
      <c r="D248" s="28"/>
      <c r="F248" s="242" t="str">
        <f>"(Line "&amp;A154&amp;")"</f>
        <v>(Line 83)</v>
      </c>
      <c r="G248" s="349"/>
      <c r="H248" s="632">
        <f>H154</f>
        <v>113555399.20297305</v>
      </c>
      <c r="I248"/>
      <c r="J248" s="632">
        <v>105285179.31209183</v>
      </c>
      <c r="K248" s="1094">
        <f>$H248-J248</f>
        <v>8270219.8908812255</v>
      </c>
      <c r="L248" s="1576">
        <f>IF(J248=0,"n/m",K248/ABS(J248))</f>
        <v>7.8550655893990629E-2</v>
      </c>
      <c r="M248" s="346"/>
      <c r="N248" s="632">
        <v>111477278.67054871</v>
      </c>
      <c r="O248" s="1094">
        <f>$H248-N248</f>
        <v>2078120.5324243456</v>
      </c>
      <c r="P248" s="1576">
        <f>IF(N248=0,"n/m",O248/ABS(N248))</f>
        <v>1.8641651080897496E-2</v>
      </c>
      <c r="Q248" s="2125"/>
      <c r="R248" s="2185"/>
    </row>
    <row r="249" spans="1:20" ht="15.75">
      <c r="A249" s="8">
        <f>+A248+1</f>
        <v>142</v>
      </c>
      <c r="B249" s="8"/>
      <c r="C249" s="249" t="s">
        <v>212</v>
      </c>
      <c r="D249" s="37"/>
      <c r="E249" s="157"/>
      <c r="F249" s="242" t="str">
        <f>"(Line "&amp;A160&amp;")"</f>
        <v>(Line 85)</v>
      </c>
      <c r="G249" s="9"/>
      <c r="H249" s="632">
        <f>H160</f>
        <v>38104944.495851353</v>
      </c>
      <c r="I249"/>
      <c r="J249" s="632">
        <v>35960263.950502515</v>
      </c>
      <c r="K249" s="1094">
        <f>$H249-J249</f>
        <v>2144680.545348838</v>
      </c>
      <c r="L249" s="1576">
        <f>IF(J249=0,"n/m",K249/ABS(J249))</f>
        <v>5.9640289301015205E-2</v>
      </c>
      <c r="M249" s="346"/>
      <c r="N249" s="632">
        <v>37145684.374436811</v>
      </c>
      <c r="O249" s="1094">
        <f>$H249-N249</f>
        <v>959260.1214145422</v>
      </c>
      <c r="P249" s="1576">
        <f>IF(N249=0,"n/m",O249/ABS(N249))</f>
        <v>2.5824268352279783E-2</v>
      </c>
      <c r="Q249" s="2125"/>
      <c r="R249" s="2185"/>
    </row>
    <row r="250" spans="1:20" ht="15.75">
      <c r="A250" s="8">
        <f>+A249+1</f>
        <v>143</v>
      </c>
      <c r="B250" s="8"/>
      <c r="C250" s="546" t="s">
        <v>289</v>
      </c>
      <c r="D250" s="37"/>
      <c r="E250" s="157"/>
      <c r="F250" s="242" t="str">
        <f>"(Line "&amp;A221&amp;")"</f>
        <v>(Line 127)</v>
      </c>
      <c r="G250" s="9"/>
      <c r="H250" s="632">
        <f>H221</f>
        <v>260609206.54479018</v>
      </c>
      <c r="I250"/>
      <c r="J250" s="632">
        <v>262623424.65825579</v>
      </c>
      <c r="K250" s="1094">
        <f>$H250-J250</f>
        <v>-2014218.1134656072</v>
      </c>
      <c r="L250" s="1576">
        <f>IF(J250=0,"n/m",K250/ABS(J250))</f>
        <v>-7.6696056952522441E-3</v>
      </c>
      <c r="M250" s="346"/>
      <c r="N250" s="632">
        <v>265454052.97688448</v>
      </c>
      <c r="O250" s="1094">
        <f>$H250-N250</f>
        <v>-4844846.4320943058</v>
      </c>
      <c r="P250" s="1576">
        <f>IF(N250=0,"n/m",O250/ABS(N250))</f>
        <v>-1.8251167679538844E-2</v>
      </c>
      <c r="Q250" s="2125"/>
      <c r="R250" s="2185"/>
    </row>
    <row r="251" spans="1:20" ht="15.75">
      <c r="A251" s="8">
        <f>+A250+1</f>
        <v>144</v>
      </c>
      <c r="B251" s="8"/>
      <c r="C251" s="546" t="s">
        <v>290</v>
      </c>
      <c r="D251" s="37"/>
      <c r="E251" s="157"/>
      <c r="F251" s="242" t="str">
        <f>"(Line "&amp;A238&amp;")"</f>
        <v>(Line 136)</v>
      </c>
      <c r="G251" s="9"/>
      <c r="H251" s="632">
        <f>H238</f>
        <v>104229265.69170152</v>
      </c>
      <c r="I251"/>
      <c r="J251" s="632">
        <v>104552538.24303603</v>
      </c>
      <c r="K251" s="1094">
        <f>$H251-J251</f>
        <v>-323272.55133451521</v>
      </c>
      <c r="L251" s="1576">
        <f>IF(J251=0,"n/m",K251/ABS(J251))</f>
        <v>-3.09196272770592E-3</v>
      </c>
      <c r="M251" s="346"/>
      <c r="N251" s="632">
        <v>105980474.25637954</v>
      </c>
      <c r="O251" s="1094">
        <f>$H251-N251</f>
        <v>-1751208.5646780282</v>
      </c>
      <c r="P251" s="1576">
        <f>IF(N251=0,"n/m",O251/ABS(N251))</f>
        <v>-1.6523879299139985E-2</v>
      </c>
      <c r="Q251" s="2125"/>
      <c r="R251" s="2185"/>
    </row>
    <row r="252" spans="1:20" ht="16.5" thickBot="1">
      <c r="A252" s="8"/>
      <c r="B252" s="8"/>
      <c r="C252" s="546"/>
      <c r="D252" s="37"/>
      <c r="E252" s="157"/>
      <c r="F252" s="22"/>
      <c r="G252" s="9"/>
      <c r="H252" s="632"/>
      <c r="I252"/>
      <c r="J252" s="632"/>
      <c r="K252" s="632"/>
      <c r="L252" s="632"/>
      <c r="M252" s="346"/>
      <c r="N252" s="632"/>
      <c r="O252" s="632"/>
      <c r="P252" s="632"/>
      <c r="Q252" s="2125"/>
      <c r="R252" s="2185"/>
    </row>
    <row r="253" spans="1:20" ht="18.75" thickBot="1">
      <c r="A253" s="74">
        <f>+A251+1</f>
        <v>145</v>
      </c>
      <c r="B253" s="72"/>
      <c r="C253" s="195" t="s">
        <v>301</v>
      </c>
      <c r="D253" s="547"/>
      <c r="E253" s="548"/>
      <c r="F253" s="970" t="str">
        <f>"(Sum Lines "&amp;A247&amp;" to "&amp;A251&amp;")"</f>
        <v>(Sum Lines 140 to 144)</v>
      </c>
      <c r="G253" s="73"/>
      <c r="H253" s="1074">
        <f>SUM(H247:H251)</f>
        <v>590040291.90642214</v>
      </c>
      <c r="I253"/>
      <c r="J253" s="1281">
        <v>578308658.8497411</v>
      </c>
      <c r="K253" s="1633">
        <f>$H253-J253</f>
        <v>11731633.056681037</v>
      </c>
      <c r="L253" s="1607">
        <f>IF(J253=0,"n/m",K253/ABS(J253))</f>
        <v>2.0286109981502466E-2</v>
      </c>
      <c r="M253" s="346"/>
      <c r="N253" s="1281">
        <v>595653283.74703884</v>
      </c>
      <c r="O253" s="1633">
        <f>$H253-N253</f>
        <v>-5612991.840616703</v>
      </c>
      <c r="P253" s="1607">
        <f>IF(N253=0,"n/m",O253/ABS(N253))</f>
        <v>-9.423253415657187E-3</v>
      </c>
      <c r="Q253" s="330"/>
      <c r="R253" s="2185"/>
      <c r="S253" s="349"/>
      <c r="T253" s="42"/>
    </row>
    <row r="254" spans="1:20" ht="18">
      <c r="A254" s="80"/>
      <c r="B254" s="105"/>
      <c r="C254" s="196"/>
      <c r="D254" s="398"/>
      <c r="E254" s="549"/>
      <c r="F254" s="40"/>
      <c r="G254" s="106"/>
      <c r="H254" s="657"/>
      <c r="I254"/>
      <c r="J254" s="657"/>
      <c r="K254" s="657"/>
      <c r="L254" s="657"/>
      <c r="M254" s="346"/>
      <c r="N254" s="657"/>
      <c r="O254" s="657"/>
      <c r="P254" s="657"/>
      <c r="Q254" s="330"/>
      <c r="R254" s="2185"/>
      <c r="S254" s="349"/>
    </row>
    <row r="255" spans="1:20" ht="18">
      <c r="A255" s="80"/>
      <c r="B255" s="82" t="s">
        <v>237</v>
      </c>
      <c r="C255" s="196"/>
      <c r="D255" s="398"/>
      <c r="E255" s="549"/>
      <c r="F255" s="40"/>
      <c r="G255" s="106"/>
      <c r="H255" s="658"/>
      <c r="I255"/>
      <c r="J255" s="658"/>
      <c r="K255" s="658"/>
      <c r="L255" s="658"/>
      <c r="M255" s="346"/>
      <c r="N255" s="658"/>
      <c r="O255" s="658"/>
      <c r="P255" s="658"/>
      <c r="Q255" s="2125"/>
      <c r="R255" s="2185"/>
    </row>
    <row r="256" spans="1:20" ht="18">
      <c r="A256" s="464">
        <f>+A253+1</f>
        <v>146</v>
      </c>
      <c r="B256" s="464"/>
      <c r="C256" s="249" t="str">
        <f>+C38</f>
        <v>Transmission Plant In Service</v>
      </c>
      <c r="D256" s="398"/>
      <c r="E256" s="549"/>
      <c r="F256" s="242" t="str">
        <f>"(Line "&amp;A38&amp;")"</f>
        <v>(Line 15)</v>
      </c>
      <c r="G256" s="106"/>
      <c r="H256" s="659">
        <f>H38</f>
        <v>6122640456.5884609</v>
      </c>
      <c r="I256"/>
      <c r="J256" s="659">
        <v>5910756444.3699999</v>
      </c>
      <c r="K256" s="1094">
        <f>$H256-J256</f>
        <v>211884012.21846104</v>
      </c>
      <c r="L256" s="1576">
        <f>IF(J256=0,"n/m",K256/ABS(J256))</f>
        <v>3.5847190492898875E-2</v>
      </c>
      <c r="M256" s="346"/>
      <c r="N256" s="659">
        <v>6051719907.0800028</v>
      </c>
      <c r="O256" s="1094">
        <f>$H256-N256</f>
        <v>70920549.508458138</v>
      </c>
      <c r="P256" s="1576">
        <f>IF(N256=0,"n/m",O256/ABS(N256))</f>
        <v>1.1719073353921595E-2</v>
      </c>
      <c r="Q256" s="2125"/>
      <c r="R256" s="2185"/>
      <c r="S256" s="349"/>
    </row>
    <row r="257" spans="1:19" ht="18">
      <c r="A257" s="464">
        <f>+A256+1</f>
        <v>147</v>
      </c>
      <c r="B257" s="464"/>
      <c r="C257" s="510" t="s">
        <v>238</v>
      </c>
      <c r="D257" s="550"/>
      <c r="E257" s="102" t="str">
        <f>"(Note "&amp;B$315&amp;")"</f>
        <v>(Note J)</v>
      </c>
      <c r="F257" s="478" t="s">
        <v>474</v>
      </c>
      <c r="G257" s="218"/>
      <c r="H257" s="660">
        <f>'Att 15 - GSU and Assoc''d Equip'!C27</f>
        <v>170890309.77620298</v>
      </c>
      <c r="I257"/>
      <c r="J257" s="1279">
        <v>242640976.00425023</v>
      </c>
      <c r="K257" s="1094">
        <f>$H257-J257</f>
        <v>-71750666.228047252</v>
      </c>
      <c r="L257" s="1576">
        <f>IF(J257=0,"n/m",K257/ABS(J257))</f>
        <v>-0.29570712832440316</v>
      </c>
      <c r="M257" s="346"/>
      <c r="N257" s="1279">
        <v>244927582.07000023</v>
      </c>
      <c r="O257" s="1094">
        <f>$H257-N257</f>
        <v>-74037272.293797255</v>
      </c>
      <c r="P257" s="1576">
        <f>IF(N257=0,"n/m",O257/ABS(N257))</f>
        <v>-0.30228229776357907</v>
      </c>
      <c r="Q257" s="2125"/>
      <c r="R257" s="2185"/>
      <c r="S257" s="23"/>
    </row>
    <row r="258" spans="1:19" ht="18">
      <c r="A258" s="464">
        <f>+A257+1</f>
        <v>148</v>
      </c>
      <c r="B258" s="464"/>
      <c r="C258" s="249" t="s">
        <v>239</v>
      </c>
      <c r="D258" s="398"/>
      <c r="E258" s="551"/>
      <c r="F258" s="242" t="str">
        <f>"(Line "&amp;A256&amp;" - Line "&amp;A257&amp;")"</f>
        <v>(Line 146 - Line 147)</v>
      </c>
      <c r="G258" s="106"/>
      <c r="H258" s="659">
        <f>H256-H257</f>
        <v>5951750146.8122578</v>
      </c>
      <c r="I258"/>
      <c r="J258" s="659">
        <v>5668115468.3657494</v>
      </c>
      <c r="K258" s="1609">
        <f>$H258-J258</f>
        <v>283634678.44650841</v>
      </c>
      <c r="L258" s="1601">
        <f>IF(J258=0,"n/m",K258/ABS(J258))</f>
        <v>5.0040384679793222E-2</v>
      </c>
      <c r="M258" s="346"/>
      <c r="N258" s="659">
        <v>5806792325.0100021</v>
      </c>
      <c r="O258" s="1609">
        <f>$H258-N258</f>
        <v>144957821.80225563</v>
      </c>
      <c r="P258" s="1601">
        <f>IF(N258=0,"n/m",O258/ABS(N258))</f>
        <v>2.496349338651541E-2</v>
      </c>
      <c r="Q258" s="2125"/>
      <c r="R258" s="2185"/>
    </row>
    <row r="259" spans="1:19" ht="18">
      <c r="A259" s="464">
        <f>+A258+1</f>
        <v>149</v>
      </c>
      <c r="B259" s="464"/>
      <c r="C259" s="249" t="s">
        <v>240</v>
      </c>
      <c r="D259" s="398"/>
      <c r="E259" s="549"/>
      <c r="F259" s="242" t="str">
        <f>"(Line "&amp;A258&amp;" / Line "&amp;A256&amp;")"</f>
        <v>(Line 148 / Line 146)</v>
      </c>
      <c r="G259" s="106"/>
      <c r="H259" s="552">
        <f>H258/H256</f>
        <v>0.97208878898118034</v>
      </c>
      <c r="I259"/>
      <c r="J259" s="552">
        <v>0.95894925154032251</v>
      </c>
      <c r="K259" s="552"/>
      <c r="L259" s="552"/>
      <c r="M259" s="346"/>
      <c r="N259" s="552">
        <v>0.95952760771636902</v>
      </c>
      <c r="O259" s="1579"/>
      <c r="P259" s="1579"/>
      <c r="Q259" s="2125"/>
      <c r="R259" s="2185"/>
    </row>
    <row r="260" spans="1:19" ht="18">
      <c r="A260" s="464">
        <f>+A259+1</f>
        <v>150</v>
      </c>
      <c r="B260" s="464"/>
      <c r="C260" s="510" t="s">
        <v>301</v>
      </c>
      <c r="D260" s="550"/>
      <c r="E260" s="553"/>
      <c r="F260" s="478" t="str">
        <f>"(Line "&amp;A253&amp;")"</f>
        <v>(Line 145)</v>
      </c>
      <c r="G260" s="218"/>
      <c r="H260" s="660">
        <f>H253</f>
        <v>590040291.90642214</v>
      </c>
      <c r="I260"/>
      <c r="J260" s="660">
        <v>578308658.8497411</v>
      </c>
      <c r="K260" s="1094">
        <f>$H260-J260</f>
        <v>11731633.056681037</v>
      </c>
      <c r="L260" s="1576">
        <f>IF(J260=0,"n/m",K260/ABS(J260))</f>
        <v>2.0286109981502466E-2</v>
      </c>
      <c r="M260" s="346"/>
      <c r="N260" s="660">
        <v>595653283.74703884</v>
      </c>
      <c r="O260" s="1094">
        <f>$H260-N260</f>
        <v>-5612991.840616703</v>
      </c>
      <c r="P260" s="1576">
        <f>IF(N260=0,"n/m",O260/ABS(N260))</f>
        <v>-9.423253415657187E-3</v>
      </c>
      <c r="Q260" s="2125"/>
      <c r="R260" s="2185"/>
    </row>
    <row r="261" spans="1:19" ht="18">
      <c r="A261" s="464">
        <f>+A260+1</f>
        <v>151</v>
      </c>
      <c r="B261" s="464"/>
      <c r="C261" s="17" t="s">
        <v>241</v>
      </c>
      <c r="D261" s="398"/>
      <c r="E261" s="549"/>
      <c r="F261" s="242" t="str">
        <f>"(Line "&amp;A259&amp;" * Line "&amp;A260&amp;")"</f>
        <v>(Line 149 * Line 150)</v>
      </c>
      <c r="G261" s="106"/>
      <c r="H261" s="661">
        <f>H259*H260</f>
        <v>573571552.80941606</v>
      </c>
      <c r="I261"/>
      <c r="J261" s="661">
        <v>554568655.56324697</v>
      </c>
      <c r="K261" s="1609">
        <f>$H261-J261</f>
        <v>19002897.24616909</v>
      </c>
      <c r="L261" s="1601">
        <f>IF(J261=0,"n/m",K261/ABS(J261))</f>
        <v>3.4266086003127638E-2</v>
      </c>
      <c r="M261" s="346"/>
      <c r="N261" s="661">
        <v>571545770.38219571</v>
      </c>
      <c r="O261" s="1609">
        <f>$H261-N261</f>
        <v>2025782.4272203445</v>
      </c>
      <c r="P261" s="1601">
        <f>IF(N261=0,"n/m",O261/ABS(N261))</f>
        <v>3.5443922992653642E-3</v>
      </c>
      <c r="Q261" s="2125"/>
      <c r="R261" s="2185"/>
    </row>
    <row r="262" spans="1:19" ht="15.75">
      <c r="A262" s="113"/>
      <c r="B262" s="8"/>
      <c r="C262" s="249"/>
      <c r="D262" s="37"/>
      <c r="E262" s="157"/>
      <c r="F262" s="22"/>
      <c r="G262" s="9"/>
      <c r="H262" s="643"/>
      <c r="I262"/>
      <c r="J262" s="643"/>
      <c r="K262" s="643"/>
      <c r="L262" s="643"/>
      <c r="M262" s="346"/>
      <c r="N262" s="643"/>
      <c r="O262" s="643"/>
      <c r="P262" s="643"/>
      <c r="Q262" s="2125"/>
      <c r="R262" s="2185"/>
    </row>
    <row r="263" spans="1:19" ht="15.75">
      <c r="A263" s="113"/>
      <c r="B263" s="49" t="s">
        <v>214</v>
      </c>
      <c r="C263" s="249"/>
      <c r="D263" s="37"/>
      <c r="E263" s="157"/>
      <c r="F263" s="22"/>
      <c r="G263" s="9"/>
      <c r="H263" s="643"/>
      <c r="I263"/>
      <c r="J263" s="643"/>
      <c r="K263" s="643"/>
      <c r="L263" s="643"/>
      <c r="M263" s="346"/>
      <c r="N263" s="643"/>
      <c r="O263" s="643"/>
      <c r="P263" s="643"/>
      <c r="Q263" s="2125"/>
      <c r="R263" s="2185"/>
    </row>
    <row r="264" spans="1:19" ht="15.75">
      <c r="A264" s="34">
        <f>+A261+1</f>
        <v>152</v>
      </c>
      <c r="B264" s="349"/>
      <c r="C264" s="49" t="s">
        <v>214</v>
      </c>
      <c r="D264" s="174"/>
      <c r="E264" s="327"/>
      <c r="F264" s="22" t="s">
        <v>178</v>
      </c>
      <c r="G264" s="9"/>
      <c r="H264" s="653">
        <f>'Att 3 - Revenue Credits'!E22</f>
        <v>92982483.948170707</v>
      </c>
      <c r="I264"/>
      <c r="J264" s="1280">
        <v>152695083.38861677</v>
      </c>
      <c r="K264" s="1094">
        <f>$H264-J264</f>
        <v>-59712599.440446064</v>
      </c>
      <c r="L264" s="1576">
        <f>IF(J264=0,"n/m",K264/ABS(J264))</f>
        <v>-0.39105777419482757</v>
      </c>
      <c r="M264" s="346"/>
      <c r="N264" s="1280">
        <v>132780097.41754204</v>
      </c>
      <c r="O264" s="1094">
        <f>$H264-N264</f>
        <v>-39797613.469371334</v>
      </c>
      <c r="P264" s="1576">
        <f>IF(N264=0,"n/m",O264/ABS(N264))</f>
        <v>-0.29972574386824885</v>
      </c>
      <c r="Q264" s="2125"/>
      <c r="R264" s="2185"/>
    </row>
    <row r="265" spans="1:19" ht="16.5" thickBot="1">
      <c r="A265" s="8"/>
      <c r="B265" s="8"/>
      <c r="C265" s="51"/>
      <c r="D265" s="51"/>
      <c r="F265" s="9"/>
      <c r="G265" s="9"/>
      <c r="H265" s="646"/>
      <c r="I265"/>
      <c r="J265" s="646"/>
      <c r="K265" s="646"/>
      <c r="L265" s="646"/>
      <c r="M265" s="346"/>
      <c r="N265" s="646"/>
      <c r="O265" s="646"/>
      <c r="P265" s="646"/>
      <c r="Q265" s="2125"/>
      <c r="R265" s="2185"/>
    </row>
    <row r="266" spans="1:19" s="1" customFormat="1" ht="18.75" thickBot="1">
      <c r="A266" s="74">
        <f>A264+1</f>
        <v>153</v>
      </c>
      <c r="B266" s="79"/>
      <c r="C266" s="75" t="s">
        <v>308</v>
      </c>
      <c r="D266" s="76"/>
      <c r="E266" s="97"/>
      <c r="F266" s="971" t="str">
        <f>"(Line "&amp;A261&amp;" - Line "&amp;A264&amp;")"</f>
        <v>(Line 151 - Line 152)</v>
      </c>
      <c r="G266" s="77"/>
      <c r="H266" s="1075">
        <f>H261-H264</f>
        <v>480589068.86124533</v>
      </c>
      <c r="I266"/>
      <c r="J266" s="1281">
        <v>401873572.17463017</v>
      </c>
      <c r="K266" s="1633">
        <f>$H266-J266</f>
        <v>78715496.686615169</v>
      </c>
      <c r="L266" s="1607">
        <f>IF(J266=0,"n/m",K266/ABS(J266))</f>
        <v>0.1958712941999832</v>
      </c>
      <c r="M266" s="346"/>
      <c r="N266" s="1281">
        <v>438765672.96465367</v>
      </c>
      <c r="O266" s="1633">
        <f>$H266-N266</f>
        <v>41823395.896591663</v>
      </c>
      <c r="P266" s="1607">
        <f>IF(N266=0,"n/m",O266/ABS(N266))</f>
        <v>9.5320574223592233E-2</v>
      </c>
      <c r="Q266" s="2125"/>
      <c r="R266" s="2185"/>
    </row>
    <row r="267" spans="1:19" ht="15.75">
      <c r="A267" s="113"/>
      <c r="B267" s="8"/>
      <c r="C267" s="51"/>
      <c r="D267" s="51"/>
      <c r="F267" s="9"/>
      <c r="G267" s="9"/>
      <c r="H267" s="646"/>
      <c r="I267"/>
      <c r="J267" s="646"/>
      <c r="K267" s="646"/>
      <c r="L267" s="646"/>
      <c r="M267" s="346"/>
      <c r="N267" s="646"/>
      <c r="O267" s="646"/>
      <c r="P267" s="646"/>
      <c r="Q267" s="2125"/>
      <c r="R267" s="2185"/>
    </row>
    <row r="268" spans="1:19" ht="15.75">
      <c r="A268" s="34"/>
      <c r="B268" s="108" t="s">
        <v>48</v>
      </c>
      <c r="C268" s="23"/>
      <c r="D268" s="51"/>
      <c r="F268" s="22"/>
      <c r="G268" s="9"/>
      <c r="H268" s="646"/>
      <c r="I268"/>
      <c r="J268" s="646"/>
      <c r="K268" s="646"/>
      <c r="L268" s="646"/>
      <c r="M268" s="346"/>
      <c r="N268" s="646"/>
      <c r="O268" s="646"/>
      <c r="P268" s="646"/>
      <c r="Q268" s="2125"/>
      <c r="R268" s="2185"/>
    </row>
    <row r="269" spans="1:19" ht="15.75">
      <c r="A269" s="34">
        <f>+A266+1</f>
        <v>154</v>
      </c>
      <c r="B269" s="34"/>
      <c r="C269" s="51" t="str">
        <f>+C260</f>
        <v>Gross Revenue Requirement</v>
      </c>
      <c r="D269" s="51"/>
      <c r="F269" s="22" t="str">
        <f>"(Line "&amp;A260&amp;")"</f>
        <v>(Line 150)</v>
      </c>
      <c r="G269" s="9"/>
      <c r="H269" s="704">
        <f>H260</f>
        <v>590040291.90642214</v>
      </c>
      <c r="I269"/>
      <c r="J269" s="704">
        <v>578308658.8497411</v>
      </c>
      <c r="K269" s="1094">
        <f>$H269-J269</f>
        <v>11731633.056681037</v>
      </c>
      <c r="L269" s="1576">
        <f>IF(J269=0,"n/m",K269/ABS(J269))</f>
        <v>2.0286109981502466E-2</v>
      </c>
      <c r="M269" s="346"/>
      <c r="N269" s="704">
        <v>595653283.74703884</v>
      </c>
      <c r="O269" s="1094">
        <f>$H269-N269</f>
        <v>-5612991.840616703</v>
      </c>
      <c r="P269" s="1576">
        <f>IF(N269=0,"n/m",O269/ABS(N269))</f>
        <v>-9.423253415657187E-3</v>
      </c>
      <c r="Q269" s="2125"/>
      <c r="R269" s="2185"/>
    </row>
    <row r="270" spans="1:19" ht="15.75">
      <c r="A270" s="34">
        <f>+A269+1</f>
        <v>155</v>
      </c>
      <c r="B270" s="34"/>
      <c r="C270" s="51" t="s">
        <v>260</v>
      </c>
      <c r="D270" s="51"/>
      <c r="F270" s="22" t="str">
        <f>"(Line "&amp;A40&amp;" - Line "&amp;A54&amp;" + Line "&amp;A72&amp;")"</f>
        <v>(Line 17 - Line 25 + Line 34)</v>
      </c>
      <c r="G270" s="22"/>
      <c r="H270" s="705">
        <f>(H40-H54)+H72</f>
        <v>4483350658.7515383</v>
      </c>
      <c r="I270"/>
      <c r="J270" s="705">
        <v>4485390618.7532234</v>
      </c>
      <c r="K270" s="1094">
        <f>$H270-J270</f>
        <v>-2039960.0016851425</v>
      </c>
      <c r="L270" s="1576">
        <f>IF(J270=0,"n/m",K270/ABS(J270))</f>
        <v>-4.548009694308804E-4</v>
      </c>
      <c r="M270" s="346"/>
      <c r="N270" s="705">
        <v>4539652248.5392971</v>
      </c>
      <c r="O270" s="1094">
        <f>$H270-N270</f>
        <v>-56301589.787758827</v>
      </c>
      <c r="P270" s="1576">
        <f>IF(N270=0,"n/m",O270/ABS(N270))</f>
        <v>-1.2402181203609754E-2</v>
      </c>
      <c r="Q270" s="2125"/>
      <c r="R270" s="2185"/>
    </row>
    <row r="271" spans="1:19" ht="15.75">
      <c r="A271" s="34">
        <f>+A270+1</f>
        <v>156</v>
      </c>
      <c r="B271" s="34"/>
      <c r="C271" s="51" t="s">
        <v>53</v>
      </c>
      <c r="D271" s="51"/>
      <c r="F271" s="22" t="str">
        <f>"(Line "&amp;A269&amp;" / Line "&amp;A270&amp;")"</f>
        <v>(Line 154 / Line 155)</v>
      </c>
      <c r="G271" s="22"/>
      <c r="H271" s="511">
        <f>H269/H270</f>
        <v>0.13160699147068911</v>
      </c>
      <c r="I271"/>
      <c r="J271" s="511">
        <v>0.12893161555023941</v>
      </c>
      <c r="K271" s="1657">
        <f>$H271-J271</f>
        <v>2.6753759204496963E-3</v>
      </c>
      <c r="L271" s="511"/>
      <c r="M271" s="346"/>
      <c r="N271" s="511">
        <v>0.13121121423754417</v>
      </c>
      <c r="O271" s="1657">
        <f>$H271-N271</f>
        <v>3.9577723314493385E-4</v>
      </c>
      <c r="P271" s="1614"/>
      <c r="Q271" s="2125"/>
      <c r="R271" s="2185"/>
    </row>
    <row r="272" spans="1:19" ht="15.75">
      <c r="A272" s="34">
        <f>+A271+1</f>
        <v>157</v>
      </c>
      <c r="B272" s="34"/>
      <c r="C272" s="51" t="s">
        <v>54</v>
      </c>
      <c r="D272" s="51"/>
      <c r="F272" s="22" t="str">
        <f>"(Line "&amp;A269&amp;" - Line "&amp;A144&amp;") / Line "&amp;A270</f>
        <v>(Line 154 - Line 76) / Line 155</v>
      </c>
      <c r="G272" s="22"/>
      <c r="H272" s="511">
        <f>(H269-H144)/H270</f>
        <v>0.10779043235511593</v>
      </c>
      <c r="I272"/>
      <c r="J272" s="511">
        <v>0.1068067483012004</v>
      </c>
      <c r="K272" s="1657">
        <f>$H272-J272</f>
        <v>9.8368405391552338E-4</v>
      </c>
      <c r="L272" s="511"/>
      <c r="M272" s="346"/>
      <c r="N272" s="511">
        <v>0.10815768496475145</v>
      </c>
      <c r="O272" s="1657">
        <f>$H272-N272</f>
        <v>-3.6725260963552109E-4</v>
      </c>
      <c r="P272" s="1614"/>
      <c r="Q272" s="2125"/>
      <c r="R272" s="2185"/>
    </row>
    <row r="273" spans="1:243"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2.6414135918359657E-2</v>
      </c>
      <c r="I273"/>
      <c r="J273" s="511">
        <v>2.4946327635462836E-2</v>
      </c>
      <c r="K273" s="1657">
        <f>$H273-J273</f>
        <v>1.4678082828968216E-3</v>
      </c>
      <c r="L273" s="511"/>
      <c r="M273" s="346"/>
      <c r="N273" s="511">
        <v>2.633764525735342E-2</v>
      </c>
      <c r="O273" s="1657">
        <f>$H273-N273</f>
        <v>7.6490661006237831E-5</v>
      </c>
      <c r="P273" s="1614"/>
      <c r="Q273" s="2125"/>
      <c r="R273" s="2185"/>
    </row>
    <row r="274" spans="1:243" ht="15.75">
      <c r="A274" s="34"/>
      <c r="B274" s="34"/>
      <c r="C274" s="51"/>
      <c r="D274" s="51"/>
      <c r="F274" s="22"/>
      <c r="G274" s="22"/>
      <c r="H274" s="318"/>
      <c r="I274"/>
      <c r="J274" s="318"/>
      <c r="K274" s="318"/>
      <c r="L274" s="318"/>
      <c r="M274" s="346"/>
      <c r="N274" s="318"/>
      <c r="O274" s="1618"/>
      <c r="P274" s="1618"/>
      <c r="Q274" s="2125"/>
      <c r="R274" s="2185"/>
    </row>
    <row r="275" spans="1:243" ht="15.75">
      <c r="A275" s="34"/>
      <c r="B275" s="108" t="s">
        <v>49</v>
      </c>
      <c r="C275" s="51"/>
      <c r="D275" s="51"/>
      <c r="F275" s="22"/>
      <c r="G275" s="22"/>
      <c r="H275" s="318"/>
      <c r="I275"/>
      <c r="J275" s="318"/>
      <c r="K275" s="318"/>
      <c r="L275" s="318"/>
      <c r="M275" s="346"/>
      <c r="N275" s="318"/>
      <c r="O275" s="1618"/>
      <c r="P275" s="1618"/>
      <c r="Q275" s="2125"/>
      <c r="R275" s="2185"/>
    </row>
    <row r="276" spans="1:243" ht="15.75">
      <c r="A276" s="34">
        <f>+A273+1</f>
        <v>159</v>
      </c>
      <c r="B276" s="34"/>
      <c r="C276" s="51" t="s">
        <v>261</v>
      </c>
      <c r="D276" s="51"/>
      <c r="F276" s="22" t="str">
        <f>"(Line "&amp;A260&amp;" - Line "&amp;A250&amp;" - Line "&amp;A251&amp;")"</f>
        <v>(Line 150 - Line 143 - Line 144)</v>
      </c>
      <c r="G276" s="22"/>
      <c r="H276" s="706">
        <f>H260-H250-H251</f>
        <v>225201819.66993046</v>
      </c>
      <c r="I276"/>
      <c r="J276" s="706">
        <v>211132695.94844925</v>
      </c>
      <c r="K276" s="1094">
        <f>$H276-J276</f>
        <v>14069123.721481204</v>
      </c>
      <c r="L276" s="1576">
        <f>IF(J276=0,"n/m",K276/ABS(J276))</f>
        <v>6.6636404457774551E-2</v>
      </c>
      <c r="M276" s="346"/>
      <c r="N276" s="706">
        <v>224218756.51377481</v>
      </c>
      <c r="O276" s="1094">
        <f>$H276-N276</f>
        <v>983063.15615564585</v>
      </c>
      <c r="P276" s="1576">
        <f>IF(N276=0,"n/m",O276/ABS(N276))</f>
        <v>4.3843930429399722E-3</v>
      </c>
      <c r="Q276" s="2125"/>
      <c r="R276" s="2185"/>
    </row>
    <row r="277" spans="1:243" ht="15.75">
      <c r="A277" s="34">
        <f>+A276+1</f>
        <v>160</v>
      </c>
      <c r="B277" s="34"/>
      <c r="C277" s="51" t="s">
        <v>130</v>
      </c>
      <c r="D277" s="51"/>
      <c r="F277" s="22" t="s">
        <v>179</v>
      </c>
      <c r="G277" s="22"/>
      <c r="H277" s="706">
        <f>'Att 4 - 100 Basis Point ROE'!I8</f>
        <v>393276764.18947041</v>
      </c>
      <c r="I277"/>
      <c r="J277" s="1282">
        <v>395822607.8505637</v>
      </c>
      <c r="K277" s="1094">
        <f>$H277-J277</f>
        <v>-2545843.6610932946</v>
      </c>
      <c r="L277" s="1576">
        <f>IF(J277=0,"n/m",K277/ABS(J277))</f>
        <v>-6.4317793137637956E-3</v>
      </c>
      <c r="M277" s="346"/>
      <c r="N277" s="1282">
        <v>400422046.64850062</v>
      </c>
      <c r="O277" s="1094">
        <f>$H277-N277</f>
        <v>-7145282.459030211</v>
      </c>
      <c r="P277" s="1576">
        <f>IF(N277=0,"n/m",O277/ABS(N277))</f>
        <v>-1.7844378247490699E-2</v>
      </c>
      <c r="Q277" s="2125"/>
      <c r="R277" s="2185"/>
    </row>
    <row r="278" spans="1:243" ht="15.75">
      <c r="A278" s="34">
        <f>+A277+1</f>
        <v>161</v>
      </c>
      <c r="B278" s="34"/>
      <c r="C278" s="51" t="s">
        <v>50</v>
      </c>
      <c r="D278" s="51"/>
      <c r="F278" s="22" t="str">
        <f>"(Line "&amp;A276&amp;" + Line "&amp;A277&amp;")"</f>
        <v>(Line 159 + Line 160)</v>
      </c>
      <c r="G278" s="22"/>
      <c r="H278" s="706">
        <f>H276+H277</f>
        <v>618478583.85940087</v>
      </c>
      <c r="I278"/>
      <c r="J278" s="706">
        <v>606955303.7990129</v>
      </c>
      <c r="K278" s="1094">
        <f>$H278-J278</f>
        <v>11523280.060387969</v>
      </c>
      <c r="L278" s="1576">
        <f>IF(J278=0,"n/m",K278/ABS(J278))</f>
        <v>1.8985384901099384E-2</v>
      </c>
      <c r="M278" s="346"/>
      <c r="N278" s="706">
        <v>624640803.16227543</v>
      </c>
      <c r="O278" s="1094">
        <f>$H278-N278</f>
        <v>-6162219.3028745651</v>
      </c>
      <c r="P278" s="1576">
        <f>IF(N278=0,"n/m",O278/ABS(N278))</f>
        <v>-9.8652205742532674E-3</v>
      </c>
      <c r="Q278" s="2125"/>
      <c r="R278" s="2185"/>
    </row>
    <row r="279" spans="1:243" ht="15.75">
      <c r="A279" s="34">
        <f>+A278+1</f>
        <v>162</v>
      </c>
      <c r="B279" s="34"/>
      <c r="C279" s="51" t="str">
        <f>+C270</f>
        <v xml:space="preserve">Net Transmission Plant </v>
      </c>
      <c r="D279" s="51"/>
      <c r="F279" s="22" t="str">
        <f>"(Line "&amp;A40&amp;" - Line "&amp;A54&amp;" + Line "&amp;A72&amp;")"</f>
        <v>(Line 17 - Line 25 + Line 34)</v>
      </c>
      <c r="G279" s="22"/>
      <c r="H279" s="705">
        <f>(H40-H54)+H72</f>
        <v>4483350658.7515383</v>
      </c>
      <c r="I279"/>
      <c r="J279" s="705">
        <v>4485390618.7532234</v>
      </c>
      <c r="K279" s="1094">
        <f>$H279-J279</f>
        <v>-2039960.0016851425</v>
      </c>
      <c r="L279" s="1576">
        <f>IF(J279=0,"n/m",K279/ABS(J279))</f>
        <v>-4.548009694308804E-4</v>
      </c>
      <c r="M279" s="346"/>
      <c r="N279" s="705">
        <v>4539652248.5392971</v>
      </c>
      <c r="O279" s="1094">
        <f>$H279-N279</f>
        <v>-56301589.787758827</v>
      </c>
      <c r="P279" s="1576">
        <f>IF(N279=0,"n/m",O279/ABS(N279))</f>
        <v>-1.2402181203609754E-2</v>
      </c>
      <c r="Q279" s="2125"/>
      <c r="R279" s="2185"/>
    </row>
    <row r="280" spans="1:243" ht="15.75">
      <c r="A280" s="34">
        <f>+A279+1</f>
        <v>163</v>
      </c>
      <c r="B280" s="34"/>
      <c r="C280" s="51" t="s">
        <v>51</v>
      </c>
      <c r="D280" s="51"/>
      <c r="F280" s="22" t="str">
        <f>"(Line "&amp;A278&amp;" / Line "&amp;A279&amp;")"</f>
        <v>(Line 161 / Line 162)</v>
      </c>
      <c r="G280" s="9"/>
      <c r="H280" s="707">
        <f>H278/H279</f>
        <v>0.13795008040518211</v>
      </c>
      <c r="I280"/>
      <c r="J280" s="707">
        <v>0.13531827111363703</v>
      </c>
      <c r="K280" s="707"/>
      <c r="L280" s="707"/>
      <c r="M280" s="346"/>
      <c r="N280" s="707">
        <v>0.13759661951270899</v>
      </c>
      <c r="O280" s="707"/>
      <c r="P280" s="707"/>
      <c r="Q280" s="2125"/>
      <c r="R280" s="2185"/>
    </row>
    <row r="281" spans="1:243" ht="15.75">
      <c r="A281" s="34">
        <f>+A280+1</f>
        <v>164</v>
      </c>
      <c r="B281" s="34"/>
      <c r="C281" s="51" t="s">
        <v>52</v>
      </c>
      <c r="D281" s="51"/>
      <c r="F281" s="22" t="str">
        <f>"(Line "&amp;A278&amp;" - Line "&amp;A144&amp;") /  Line "&amp;A279</f>
        <v>(Line 161 - Line 76) /  Line 162</v>
      </c>
      <c r="G281" s="9"/>
      <c r="H281" s="707">
        <f>(H278-H144)/H279</f>
        <v>0.11413352128960892</v>
      </c>
      <c r="I281"/>
      <c r="J281" s="707">
        <v>0.11319340386459803</v>
      </c>
      <c r="K281" s="707"/>
      <c r="L281" s="707"/>
      <c r="M281" s="346"/>
      <c r="N281" s="707">
        <v>0.11454309023991625</v>
      </c>
      <c r="O281" s="707"/>
      <c r="P281" s="707"/>
      <c r="Q281" s="2125"/>
      <c r="R281" s="2185"/>
      <c r="S281" s="51"/>
      <c r="T281" s="51"/>
    </row>
    <row r="282" spans="1:243" ht="15.75">
      <c r="A282" s="34"/>
      <c r="B282" s="34"/>
      <c r="C282" s="51"/>
      <c r="D282" s="51"/>
      <c r="F282" s="22"/>
      <c r="G282" s="9"/>
      <c r="H282" s="11"/>
      <c r="I282"/>
      <c r="J282" s="11"/>
      <c r="K282" s="11"/>
      <c r="L282" s="11"/>
      <c r="M282" s="346"/>
      <c r="N282" s="11"/>
      <c r="O282" s="1629"/>
      <c r="P282" s="1629"/>
      <c r="Q282" s="2125"/>
      <c r="R282" s="2185"/>
      <c r="S282" s="51"/>
      <c r="T282" s="51"/>
    </row>
    <row r="283" spans="1:243" ht="15.75">
      <c r="A283" s="34">
        <f>+A281+1</f>
        <v>165</v>
      </c>
      <c r="B283" s="34"/>
      <c r="C283" s="108" t="s">
        <v>308</v>
      </c>
      <c r="D283" s="51"/>
      <c r="E283" s="45"/>
      <c r="F283" s="22" t="str">
        <f>"(Line "&amp;A266&amp;")"</f>
        <v>(Line 153)</v>
      </c>
      <c r="G283" s="9"/>
      <c r="H283" s="706">
        <f>H266</f>
        <v>480589068.86124533</v>
      </c>
      <c r="I283"/>
      <c r="J283" s="706">
        <v>401873572.17463017</v>
      </c>
      <c r="K283" s="1094">
        <f>$H283-J283</f>
        <v>78715496.686615169</v>
      </c>
      <c r="L283" s="1576">
        <f>IF(J283=0,"n/m",K283/ABS(J283))</f>
        <v>0.1958712941999832</v>
      </c>
      <c r="M283" s="346"/>
      <c r="N283" s="706">
        <v>438765672.96465367</v>
      </c>
      <c r="O283" s="1094">
        <f>$H283-N283</f>
        <v>41823395.896591663</v>
      </c>
      <c r="P283" s="1576">
        <f>IF(N283=0,"n/m",O283/ABS(N283))</f>
        <v>9.5320574223592233E-2</v>
      </c>
      <c r="Q283" s="2125"/>
      <c r="R283" s="2185"/>
      <c r="S283" s="51"/>
      <c r="T283" s="51"/>
    </row>
    <row r="284" spans="1:243" ht="15.75">
      <c r="A284" s="34">
        <f>+A283+1</f>
        <v>166</v>
      </c>
      <c r="B284" s="34"/>
      <c r="C284" s="37" t="s">
        <v>361</v>
      </c>
      <c r="D284" s="170"/>
      <c r="E284" s="99"/>
      <c r="F284" s="37" t="s">
        <v>202</v>
      </c>
      <c r="G284" s="9"/>
      <c r="H284" s="706">
        <f>'Att 5 - Cost Support'!H282</f>
        <v>0</v>
      </c>
      <c r="I284"/>
      <c r="J284" s="1282">
        <v>0</v>
      </c>
      <c r="K284" s="1094">
        <f>$H284-J284</f>
        <v>0</v>
      </c>
      <c r="L284" s="1576" t="str">
        <f>IF(J284=0,"n/m",K284/ABS(J284))</f>
        <v>n/m</v>
      </c>
      <c r="M284" s="346"/>
      <c r="N284" s="1282">
        <v>0</v>
      </c>
      <c r="O284" s="1094">
        <f>$H284-N284</f>
        <v>0</v>
      </c>
      <c r="P284" s="1576" t="str">
        <f>IF(N284=0,"n/m",O284/ABS(N284))</f>
        <v>n/m</v>
      </c>
      <c r="Q284" s="2125"/>
      <c r="R284" s="2185"/>
      <c r="S284" s="51"/>
      <c r="T284" s="51"/>
      <c r="II284" s="18">
        <f>SUM(A284:IH284)</f>
        <v>166</v>
      </c>
    </row>
    <row r="285" spans="1:243" ht="15.75">
      <c r="A285" s="34">
        <f>A284+1</f>
        <v>167</v>
      </c>
      <c r="B285" s="34"/>
      <c r="C285" s="37" t="s">
        <v>377</v>
      </c>
      <c r="D285" s="170"/>
      <c r="E285" s="99"/>
      <c r="F285" s="37" t="s">
        <v>378</v>
      </c>
      <c r="G285" s="9"/>
      <c r="H285" s="706">
        <f>INDEX('Att 7 - Trans Enhance Charge'!$D$30:$T$71,MATCH(IF(Toggle=Projection,data_year+1,data_year)&amp;'Att 7 - Trans Enhance Charge'!$C$31,'Att 7 - Trans Enhance Charge'!$B$30:$B$69,0),MATCH('Att 7 - Trans Enhance Charge'!$T$29,'Att 7 - Trans Enhance Charge'!$D$29:$T$29,0))</f>
        <v>4566717.83727929</v>
      </c>
      <c r="I285"/>
      <c r="J285" s="1282">
        <v>4677132.4473536313</v>
      </c>
      <c r="K285" s="1094">
        <f>$H285-J285</f>
        <v>-110414.6100743413</v>
      </c>
      <c r="L285" s="1576">
        <f>IF(J285=0,"n/m",K285/ABS(J285))</f>
        <v>-2.3607330200113318E-2</v>
      </c>
      <c r="M285" s="23"/>
      <c r="N285" s="1282">
        <v>4597902.6724603772</v>
      </c>
      <c r="O285" s="1094">
        <f>$H285-N285</f>
        <v>-31184.835181087255</v>
      </c>
      <c r="P285" s="1576">
        <f>IF(N285=0,"n/m",O285/ABS(N285))</f>
        <v>-6.7824043705561913E-3</v>
      </c>
      <c r="Q285" s="2125"/>
      <c r="R285" s="2185"/>
      <c r="S285" s="51"/>
      <c r="T285" s="51"/>
    </row>
    <row r="286" spans="1:243" ht="15.75">
      <c r="A286" s="34">
        <f>A285+1</f>
        <v>168</v>
      </c>
      <c r="B286" s="34"/>
      <c r="C286" s="37" t="s">
        <v>427</v>
      </c>
      <c r="D286" s="170"/>
      <c r="E286" s="99"/>
      <c r="F286" s="37" t="s">
        <v>202</v>
      </c>
      <c r="G286" s="9"/>
      <c r="H286" s="706">
        <f>'Att 5 - Cost Support'!H283</f>
        <v>1468173.9100000001</v>
      </c>
      <c r="I286"/>
      <c r="J286" s="1282">
        <v>1520802.88</v>
      </c>
      <c r="K286" s="1094">
        <f>$H286-J286</f>
        <v>-52628.969999999739</v>
      </c>
      <c r="L286" s="1576">
        <f>IF(J286=0,"n/m",K286/ABS(J286))</f>
        <v>-3.4606043092185457E-2</v>
      </c>
      <c r="M286" s="346"/>
      <c r="N286" s="1282">
        <v>1047559.3999999999</v>
      </c>
      <c r="O286" s="1094">
        <f>$H286-N286</f>
        <v>420614.51000000024</v>
      </c>
      <c r="P286" s="1576">
        <f>IF(N286=0,"n/m",O286/ABS(N286))</f>
        <v>0.4015185296413743</v>
      </c>
      <c r="Q286" s="2125"/>
      <c r="R286" s="2185"/>
      <c r="S286" s="51"/>
      <c r="T286" s="51"/>
    </row>
    <row r="287" spans="1:243" ht="15.75">
      <c r="A287" s="34">
        <f>A286+1</f>
        <v>169</v>
      </c>
      <c r="B287" s="34"/>
      <c r="C287" s="108" t="s">
        <v>101</v>
      </c>
      <c r="D287" s="51"/>
      <c r="E287" s="45"/>
      <c r="F287" s="22" t="str">
        <f>"(Line "&amp;A283&amp;" + "&amp;A284&amp;" + "&amp;A285&amp;" + "&amp;A286&amp;")"</f>
        <v>(Line 165 + 166 + 167 + 168)</v>
      </c>
      <c r="G287" s="9"/>
      <c r="H287" s="706">
        <f>(H283+H284+H285+H286)</f>
        <v>486623960.60852462</v>
      </c>
      <c r="I287"/>
      <c r="J287" s="706">
        <v>408071507.50198376</v>
      </c>
      <c r="K287" s="1094">
        <f>$H287-J287</f>
        <v>78552453.106540859</v>
      </c>
      <c r="L287" s="1576">
        <f>IF(J287=0,"n/m",K287/ABS(J287))</f>
        <v>0.19249678466257286</v>
      </c>
      <c r="M287" s="346"/>
      <c r="N287" s="706">
        <v>444411135.03711402</v>
      </c>
      <c r="O287" s="1094">
        <f>$H287-N287</f>
        <v>42212825.571410596</v>
      </c>
      <c r="P287" s="1576">
        <f>IF(N287=0,"n/m",O287/ABS(N287))</f>
        <v>9.4985976370473443E-2</v>
      </c>
      <c r="Q287" s="2125"/>
      <c r="R287" s="2185"/>
      <c r="S287" s="51"/>
      <c r="T287" s="51"/>
    </row>
    <row r="288" spans="1:243" ht="15.75">
      <c r="A288" s="34"/>
      <c r="B288" s="8"/>
      <c r="C288" s="51"/>
      <c r="D288" s="51"/>
      <c r="F288" s="22"/>
      <c r="G288" s="9"/>
      <c r="H288" s="653"/>
      <c r="I288"/>
      <c r="J288" s="653"/>
      <c r="K288" s="653"/>
      <c r="L288" s="653"/>
      <c r="M288" s="346"/>
      <c r="N288" s="653"/>
      <c r="O288" s="653"/>
      <c r="P288" s="653"/>
      <c r="Q288" s="2125"/>
      <c r="R288" s="2185"/>
      <c r="S288" s="51"/>
      <c r="T288" s="51"/>
    </row>
    <row r="289" spans="1:20" ht="15.75">
      <c r="A289" s="34"/>
      <c r="B289" s="182" t="s">
        <v>927</v>
      </c>
      <c r="C289" s="51"/>
      <c r="D289" s="51"/>
      <c r="E289" s="327"/>
      <c r="F289" s="22"/>
      <c r="G289" s="9"/>
      <c r="H289" s="653"/>
      <c r="I289"/>
      <c r="J289" s="653"/>
      <c r="K289" s="653"/>
      <c r="L289" s="653"/>
      <c r="M289" s="349"/>
      <c r="N289" s="653"/>
      <c r="O289" s="653"/>
      <c r="P289" s="653"/>
      <c r="Q289" s="2125"/>
      <c r="R289" s="2185"/>
      <c r="S289" s="51"/>
      <c r="T289" s="51"/>
    </row>
    <row r="290" spans="1:20" ht="15.75">
      <c r="A290" s="34">
        <f>+A287+1</f>
        <v>170</v>
      </c>
      <c r="B290" s="8"/>
      <c r="C290" s="22" t="s">
        <v>640</v>
      </c>
      <c r="E290" s="99" t="str">
        <f>"(Note "&amp;B$313&amp;")"</f>
        <v>(Note I)</v>
      </c>
      <c r="F290" s="51" t="s">
        <v>1040</v>
      </c>
      <c r="G290" s="51"/>
      <c r="H290" s="653">
        <f>IF(Toggle=Projection,'Att 9a - 2018 Projection'!AF43,IF(Toggle=True_up,'Att 9b - 2017 True-up'!AF43,"Set Toggle!"))</f>
        <v>13933.257916666667</v>
      </c>
      <c r="I290"/>
      <c r="J290" s="1280">
        <v>13738.341975833333</v>
      </c>
      <c r="K290" s="1094">
        <f>$H290-J290</f>
        <v>194.91594083333439</v>
      </c>
      <c r="L290" s="1576">
        <f>IF(J290=0,"n/m",K290/ABS(J290))</f>
        <v>1.4187733947531997E-2</v>
      </c>
      <c r="M290" s="885"/>
      <c r="N290" s="1280">
        <v>13875.273889166669</v>
      </c>
      <c r="O290" s="1094">
        <f>$H290-N290</f>
        <v>57.984027499998774</v>
      </c>
      <c r="P290" s="1576">
        <f>IF(N290=0,"n/m",O290/ABS(N290))</f>
        <v>4.1789465176086133E-3</v>
      </c>
      <c r="Q290" s="2125"/>
      <c r="R290" s="2185"/>
      <c r="S290" s="51"/>
      <c r="T290" s="51"/>
    </row>
    <row r="291" spans="1:20" ht="15.75">
      <c r="A291" s="34">
        <f>+A290+1</f>
        <v>171</v>
      </c>
      <c r="B291" s="8"/>
      <c r="C291" s="9" t="s">
        <v>482</v>
      </c>
      <c r="D291" s="554"/>
      <c r="E291" s="227"/>
      <c r="F291" s="242" t="str">
        <f>"(Line "&amp;A287&amp;" / "&amp;A290&amp;")"</f>
        <v>(Line 169 / 170)</v>
      </c>
      <c r="G291" s="226"/>
      <c r="H291" s="662">
        <f>H287/H290</f>
        <v>34925.353676718732</v>
      </c>
      <c r="I291"/>
      <c r="J291" s="662">
        <v>29703.111788875904</v>
      </c>
      <c r="K291" s="1094">
        <f>$H291-J291</f>
        <v>5222.2418878428289</v>
      </c>
      <c r="L291" s="1576">
        <f>IF(J291=0,"n/m",K291/ABS(J291))</f>
        <v>0.17581463938733208</v>
      </c>
      <c r="M291" s="346"/>
      <c r="N291" s="662">
        <v>32028.999109278469</v>
      </c>
      <c r="O291" s="1094">
        <f>$H291-N291</f>
        <v>2896.3545674402631</v>
      </c>
      <c r="P291" s="1576">
        <f>IF(N291=0,"n/m",O291/ABS(N291))</f>
        <v>9.0429131349322095E-2</v>
      </c>
      <c r="Q291" s="2125"/>
      <c r="R291" s="2185"/>
      <c r="S291" s="51"/>
      <c r="T291" s="51"/>
    </row>
    <row r="292" spans="1:20" ht="16.5" thickBot="1">
      <c r="A292" s="8"/>
      <c r="B292" s="8"/>
      <c r="E292" s="225"/>
      <c r="F292" s="555"/>
      <c r="G292" s="226"/>
      <c r="H292" s="190"/>
      <c r="I292"/>
      <c r="J292" s="190"/>
      <c r="K292" s="190"/>
      <c r="L292" s="190"/>
      <c r="M292" s="51"/>
      <c r="N292" s="190"/>
      <c r="O292" s="190"/>
      <c r="P292" s="190"/>
      <c r="Q292" s="2125"/>
      <c r="R292" s="2185"/>
      <c r="S292" s="51"/>
      <c r="T292" s="51"/>
    </row>
    <row r="293" spans="1:20" s="38" customFormat="1" ht="18.75" thickBot="1">
      <c r="A293" s="74">
        <f>+A291+1</f>
        <v>172</v>
      </c>
      <c r="B293" s="81"/>
      <c r="C293" s="698" t="s">
        <v>967</v>
      </c>
      <c r="D293" s="699"/>
      <c r="E293" s="699"/>
      <c r="F293" s="972" t="str">
        <f>"(Line "&amp;A291&amp;")"</f>
        <v>(Line 171)</v>
      </c>
      <c r="G293" s="699"/>
      <c r="H293" s="1076">
        <f>H291</f>
        <v>34925.353676718732</v>
      </c>
      <c r="I293"/>
      <c r="J293" s="1281">
        <v>29703.111788875904</v>
      </c>
      <c r="K293" s="1633">
        <f>$H293-J293</f>
        <v>5222.2418878428289</v>
      </c>
      <c r="L293" s="1607">
        <f>IF(J293=0,"n/m",K293/ABS(J293))</f>
        <v>0.17581463938733208</v>
      </c>
      <c r="M293" s="51"/>
      <c r="N293" s="1281">
        <v>32028.999109278469</v>
      </c>
      <c r="O293" s="1633">
        <f>$H293-N293</f>
        <v>2896.3545674402631</v>
      </c>
      <c r="P293" s="1607">
        <f>IF(N293=0,"n/m",O293/ABS(N293))</f>
        <v>9.0429131349322095E-2</v>
      </c>
      <c r="Q293" s="2125"/>
      <c r="R293" s="2185"/>
      <c r="S293" s="51"/>
      <c r="T293" s="51"/>
    </row>
    <row r="294" spans="1:20" s="38" customFormat="1" ht="15.75">
      <c r="A294" s="113"/>
      <c r="B294" s="35"/>
      <c r="C294" s="28"/>
      <c r="D294" s="28"/>
      <c r="E294" s="225"/>
      <c r="F294" s="226"/>
      <c r="G294" s="226"/>
      <c r="H294" s="190"/>
      <c r="I294"/>
      <c r="J294" s="190"/>
      <c r="K294" s="190"/>
      <c r="L294" s="190"/>
      <c r="M294" s="51"/>
      <c r="N294" s="190"/>
      <c r="O294" s="190"/>
      <c r="P294" s="190"/>
      <c r="Q294" s="2125"/>
      <c r="R294" s="2185"/>
      <c r="S294" s="51"/>
      <c r="T294" s="51"/>
    </row>
    <row r="295" spans="1:20" s="38" customFormat="1" ht="15.75">
      <c r="A295" s="625" t="s">
        <v>304</v>
      </c>
      <c r="B295" s="56"/>
      <c r="C295" s="56"/>
      <c r="D295" s="56"/>
      <c r="E295" s="509"/>
      <c r="F295" s="57"/>
      <c r="G295" s="57"/>
      <c r="H295" s="63"/>
      <c r="I295"/>
      <c r="J295" s="63"/>
      <c r="K295" s="63"/>
      <c r="L295" s="63"/>
      <c r="M295" s="51"/>
      <c r="N295" s="63"/>
      <c r="O295" s="63"/>
      <c r="P295" s="63"/>
      <c r="Q295" s="2125"/>
      <c r="R295" s="2185"/>
      <c r="S295" s="51"/>
      <c r="T295" s="51"/>
    </row>
    <row r="296" spans="1:20" s="38" customFormat="1" ht="20.25">
      <c r="A296" s="204"/>
      <c r="B296" s="377"/>
      <c r="C296" s="356"/>
      <c r="D296" s="355"/>
      <c r="E296" s="214"/>
      <c r="F296" s="556"/>
      <c r="G296" s="427"/>
      <c r="H296" s="406"/>
      <c r="I296"/>
      <c r="J296" s="406"/>
      <c r="K296" s="406"/>
      <c r="L296" s="406"/>
      <c r="M296" s="51"/>
      <c r="N296" s="406"/>
      <c r="O296" s="1600"/>
      <c r="P296" s="1600"/>
      <c r="Q296" s="2125"/>
      <c r="R296" s="2185"/>
      <c r="S296" s="51"/>
      <c r="T296" s="51"/>
    </row>
    <row r="297" spans="1:20"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125"/>
      <c r="R297" s="2185"/>
      <c r="S297" s="51"/>
      <c r="T297" s="51"/>
    </row>
    <row r="298" spans="1:20" s="38" customFormat="1" ht="20.25">
      <c r="A298" s="204"/>
      <c r="B298" s="426"/>
      <c r="C298" s="887" t="s">
        <v>665</v>
      </c>
      <c r="D298" s="355"/>
      <c r="E298" s="214"/>
      <c r="F298" s="427"/>
      <c r="G298" s="427"/>
      <c r="H298" s="213"/>
      <c r="I298"/>
      <c r="J298" s="213"/>
      <c r="K298" s="213"/>
      <c r="L298" s="213"/>
      <c r="M298" s="678"/>
      <c r="N298" s="213"/>
      <c r="O298" s="213"/>
      <c r="P298" s="213"/>
      <c r="Q298" s="2125"/>
      <c r="R298" s="2185"/>
      <c r="S298" s="51"/>
      <c r="T298" s="51"/>
    </row>
    <row r="299" spans="1:20" s="38" customFormat="1" ht="20.25">
      <c r="A299" s="204"/>
      <c r="B299" s="426"/>
      <c r="C299" s="887" t="s">
        <v>688</v>
      </c>
      <c r="D299" s="355"/>
      <c r="E299" s="214"/>
      <c r="F299" s="427"/>
      <c r="G299" s="427"/>
      <c r="H299" s="213"/>
      <c r="I299"/>
      <c r="J299" s="213"/>
      <c r="K299" s="213"/>
      <c r="L299" s="213"/>
      <c r="M299" s="51"/>
      <c r="N299" s="213"/>
      <c r="O299" s="213"/>
      <c r="P299" s="213"/>
      <c r="Q299" s="2125"/>
      <c r="R299" s="2185"/>
      <c r="S299" s="51"/>
      <c r="T299" s="51"/>
    </row>
    <row r="300" spans="1:20" s="38" customFormat="1" ht="20.25">
      <c r="A300" s="204"/>
      <c r="B300" s="377" t="s">
        <v>283</v>
      </c>
      <c r="C300" s="277" t="s">
        <v>110</v>
      </c>
      <c r="D300" s="355"/>
      <c r="E300" s="214"/>
      <c r="F300" s="427"/>
      <c r="G300" s="427"/>
      <c r="H300" s="213"/>
      <c r="I300"/>
      <c r="J300" s="213"/>
      <c r="K300" s="213"/>
      <c r="L300" s="213"/>
      <c r="M300" s="51"/>
      <c r="N300" s="213"/>
      <c r="O300" s="213"/>
      <c r="P300" s="213"/>
      <c r="Q300" s="2125"/>
      <c r="R300" s="2185"/>
      <c r="S300" s="51"/>
      <c r="T300" s="51"/>
    </row>
    <row r="301" spans="1:20" s="38" customFormat="1" ht="20.25" customHeight="1">
      <c r="A301" s="204"/>
      <c r="B301" s="377" t="s">
        <v>215</v>
      </c>
      <c r="C301" s="1078"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7"/>
      <c r="E301" s="1077"/>
      <c r="F301" s="1077"/>
      <c r="G301" s="1077"/>
      <c r="H301" s="1077"/>
      <c r="I301"/>
      <c r="J301" s="213"/>
      <c r="K301" s="213"/>
      <c r="L301" s="213"/>
      <c r="M301" s="677"/>
      <c r="N301" s="1077"/>
      <c r="O301" s="1077"/>
      <c r="P301" s="1077"/>
      <c r="Q301" s="2125"/>
      <c r="R301" s="2185"/>
      <c r="S301" s="51"/>
      <c r="T301" s="51"/>
    </row>
    <row r="302" spans="1:20" s="38" customFormat="1" ht="20.25" customHeight="1">
      <c r="A302" s="204"/>
      <c r="B302" s="377"/>
      <c r="C302" s="1078" t="str">
        <f>"Total A&amp;G.  Total A&amp;G does not include lobbying expenses."</f>
        <v>Total A&amp;G.  Total A&amp;G does not include lobbying expenses.</v>
      </c>
      <c r="D302" s="1077"/>
      <c r="E302" s="1077"/>
      <c r="F302" s="1077"/>
      <c r="G302" s="1077"/>
      <c r="H302" s="1077"/>
      <c r="I302" s="1077"/>
      <c r="J302" s="213"/>
      <c r="K302" s="213"/>
      <c r="L302" s="213"/>
      <c r="M302" s="677"/>
      <c r="N302" s="1077"/>
      <c r="O302" s="1077"/>
      <c r="P302" s="1077"/>
      <c r="Q302" s="2125"/>
      <c r="R302" s="2185"/>
      <c r="S302" s="51"/>
      <c r="T302" s="51"/>
    </row>
    <row r="303" spans="1:20" s="38" customFormat="1" ht="20.25">
      <c r="A303" s="204"/>
      <c r="B303" s="377" t="s">
        <v>228</v>
      </c>
      <c r="C303" s="279" t="s">
        <v>655</v>
      </c>
      <c r="D303" s="355"/>
      <c r="E303" s="214"/>
      <c r="F303" s="427"/>
      <c r="G303" s="427"/>
      <c r="H303" s="213"/>
      <c r="I303" s="213"/>
      <c r="J303" s="213"/>
      <c r="K303" s="213"/>
      <c r="L303" s="213"/>
      <c r="M303" s="51"/>
      <c r="N303" s="213"/>
      <c r="O303" s="213"/>
      <c r="P303" s="213"/>
      <c r="Q303" s="2125"/>
      <c r="R303" s="2185"/>
      <c r="S303" s="51"/>
      <c r="T303" s="51"/>
    </row>
    <row r="304" spans="1:20" s="38" customFormat="1" ht="20.25">
      <c r="A304" s="204"/>
      <c r="B304" s="377" t="s">
        <v>226</v>
      </c>
      <c r="C304" s="312" t="s">
        <v>555</v>
      </c>
      <c r="D304" s="355"/>
      <c r="E304" s="214"/>
      <c r="F304" s="427"/>
      <c r="G304" s="427"/>
      <c r="H304" s="213"/>
      <c r="I304" s="213"/>
      <c r="J304" s="213"/>
      <c r="K304" s="213"/>
      <c r="L304" s="213"/>
      <c r="M304" s="51"/>
      <c r="N304" s="213"/>
      <c r="O304" s="213"/>
      <c r="P304" s="213"/>
      <c r="Q304" s="2125"/>
      <c r="R304" s="2185"/>
      <c r="S304" s="51"/>
      <c r="T304" s="51"/>
    </row>
    <row r="305" spans="1:20" s="38" customFormat="1" ht="20.25">
      <c r="A305" s="204"/>
      <c r="B305" s="377" t="s">
        <v>107</v>
      </c>
      <c r="C305" s="355" t="s">
        <v>2</v>
      </c>
      <c r="D305" s="355"/>
      <c r="E305" s="214"/>
      <c r="F305" s="427"/>
      <c r="G305" s="427"/>
      <c r="H305" s="213"/>
      <c r="I305" s="213"/>
      <c r="J305" s="213"/>
      <c r="K305" s="213"/>
      <c r="L305" s="213"/>
      <c r="M305" s="51"/>
      <c r="N305" s="213"/>
      <c r="O305" s="213"/>
      <c r="P305" s="213"/>
      <c r="Q305" s="2125"/>
      <c r="R305" s="2185"/>
      <c r="S305" s="51"/>
      <c r="T305" s="51"/>
    </row>
    <row r="306" spans="1:20" s="38" customFormat="1" ht="20.25">
      <c r="A306" s="204"/>
      <c r="B306" s="377" t="s">
        <v>229</v>
      </c>
      <c r="C306" s="557" t="s">
        <v>300</v>
      </c>
      <c r="D306" s="355"/>
      <c r="E306" s="214"/>
      <c r="F306" s="427"/>
      <c r="G306" s="427"/>
      <c r="H306" s="213"/>
      <c r="I306" s="213"/>
      <c r="J306" s="213"/>
      <c r="K306" s="213"/>
      <c r="L306" s="213"/>
      <c r="M306" s="51"/>
      <c r="N306" s="213"/>
      <c r="O306" s="213"/>
      <c r="P306" s="213"/>
      <c r="Q306" s="2125"/>
      <c r="R306" s="2185"/>
      <c r="S306" s="51"/>
      <c r="T306" s="51"/>
    </row>
    <row r="307" spans="1:20" s="38" customFormat="1" ht="20.25">
      <c r="A307" s="204"/>
      <c r="B307" s="377"/>
      <c r="C307" s="312" t="s">
        <v>651</v>
      </c>
      <c r="D307" s="355"/>
      <c r="E307" s="214"/>
      <c r="F307" s="427"/>
      <c r="G307" s="427"/>
      <c r="H307" s="213"/>
      <c r="I307" s="213"/>
      <c r="J307" s="213"/>
      <c r="K307" s="213"/>
      <c r="L307" s="213"/>
      <c r="M307" s="51"/>
      <c r="N307" s="213"/>
      <c r="O307" s="213"/>
      <c r="P307" s="213"/>
      <c r="Q307" s="2125"/>
      <c r="R307" s="2185"/>
      <c r="S307" s="51"/>
      <c r="T307" s="51"/>
    </row>
    <row r="308" spans="1:20" s="38" customFormat="1" ht="20.25">
      <c r="A308" s="204"/>
      <c r="B308" s="426"/>
      <c r="C308" s="312" t="s">
        <v>660</v>
      </c>
      <c r="D308" s="355"/>
      <c r="E308" s="214"/>
      <c r="F308" s="427"/>
      <c r="G308" s="427"/>
      <c r="H308" s="213"/>
      <c r="I308" s="213"/>
      <c r="J308" s="213"/>
      <c r="K308" s="213"/>
      <c r="L308" s="213"/>
      <c r="M308" s="51"/>
      <c r="N308" s="213"/>
      <c r="O308" s="213"/>
      <c r="P308" s="213"/>
      <c r="Q308" s="2125"/>
      <c r="R308" s="2185"/>
      <c r="S308" s="51"/>
      <c r="T308" s="51"/>
    </row>
    <row r="309" spans="1:20" s="38" customFormat="1" ht="20.25">
      <c r="A309" s="204"/>
      <c r="B309" s="426"/>
      <c r="C309" s="376" t="s">
        <v>102</v>
      </c>
      <c r="D309" s="355"/>
      <c r="E309" s="214"/>
      <c r="F309" s="427"/>
      <c r="G309" s="427"/>
      <c r="H309" s="213"/>
      <c r="I309" s="213"/>
      <c r="J309" s="213"/>
      <c r="K309" s="213"/>
      <c r="L309" s="213"/>
      <c r="M309" s="51"/>
      <c r="N309" s="213"/>
      <c r="O309" s="213"/>
      <c r="P309" s="213"/>
      <c r="Q309" s="2125"/>
      <c r="R309" s="2185"/>
      <c r="S309" s="51"/>
      <c r="T309" s="51"/>
    </row>
    <row r="310" spans="1:20" s="38" customFormat="1" ht="20.25">
      <c r="A310" s="204"/>
      <c r="B310" s="377" t="s">
        <v>25</v>
      </c>
      <c r="C310" s="355" t="s">
        <v>554</v>
      </c>
      <c r="D310" s="355"/>
      <c r="E310" s="214"/>
      <c r="F310" s="427"/>
      <c r="G310" s="427"/>
      <c r="H310" s="213"/>
      <c r="I310" s="213"/>
      <c r="J310" s="213"/>
      <c r="K310" s="213"/>
      <c r="L310" s="213"/>
      <c r="M310" s="51"/>
      <c r="N310" s="213"/>
      <c r="O310" s="213"/>
      <c r="P310" s="213"/>
      <c r="Q310" s="2125"/>
      <c r="R310" s="2185"/>
      <c r="S310" s="51"/>
      <c r="T310" s="51"/>
    </row>
    <row r="311" spans="1:20" s="38" customFormat="1" ht="38.25" customHeight="1">
      <c r="A311" s="204"/>
      <c r="B311" s="377"/>
      <c r="C311" s="2659" t="s">
        <v>1740</v>
      </c>
      <c r="D311" s="2659"/>
      <c r="E311" s="2659"/>
      <c r="F311" s="2659"/>
      <c r="G311" s="2659"/>
      <c r="H311" s="2659"/>
      <c r="I311" s="213"/>
      <c r="J311" s="213"/>
      <c r="K311" s="213"/>
      <c r="L311" s="213"/>
      <c r="M311" s="51"/>
      <c r="N311" s="213"/>
      <c r="O311" s="213"/>
      <c r="P311" s="213"/>
      <c r="Q311" s="2125"/>
      <c r="R311" s="2185"/>
      <c r="S311" s="51"/>
      <c r="T311" s="51"/>
    </row>
    <row r="312" spans="1:20" s="38" customFormat="1" ht="20.25">
      <c r="A312" s="204"/>
      <c r="B312" s="377"/>
      <c r="C312" s="355" t="s">
        <v>1147</v>
      </c>
      <c r="D312" s="355"/>
      <c r="E312" s="214"/>
      <c r="F312" s="427"/>
      <c r="G312" s="427"/>
      <c r="H312" s="213"/>
      <c r="I312" s="213"/>
      <c r="J312" s="213"/>
      <c r="K312" s="213"/>
      <c r="L312" s="213"/>
      <c r="M312" s="51"/>
      <c r="N312" s="213"/>
      <c r="O312" s="213"/>
      <c r="P312" s="213"/>
      <c r="Q312" s="2125"/>
      <c r="R312" s="2185"/>
      <c r="S312" s="51"/>
      <c r="T312" s="51"/>
    </row>
    <row r="313" spans="1:20" s="38" customFormat="1" ht="20.25">
      <c r="A313" s="204"/>
      <c r="B313" s="377" t="s">
        <v>27</v>
      </c>
      <c r="C313" s="355" t="s">
        <v>652</v>
      </c>
      <c r="D313" s="355"/>
      <c r="E313" s="214"/>
      <c r="F313" s="427"/>
      <c r="G313" s="427"/>
      <c r="H313" s="213"/>
      <c r="I313" s="213"/>
      <c r="J313" s="213"/>
      <c r="K313" s="213"/>
      <c r="L313" s="213"/>
      <c r="M313" s="51"/>
      <c r="N313" s="213"/>
      <c r="O313" s="213"/>
      <c r="P313" s="213"/>
      <c r="Q313" s="2125"/>
      <c r="R313" s="2185"/>
      <c r="S313" s="51"/>
      <c r="T313" s="51"/>
    </row>
    <row r="314" spans="1:20" s="38" customFormat="1" ht="20.25">
      <c r="A314" s="204"/>
      <c r="B314" s="378"/>
      <c r="C314" s="279" t="s">
        <v>659</v>
      </c>
      <c r="D314" s="355"/>
      <c r="E314" s="214"/>
      <c r="F314" s="427"/>
      <c r="G314" s="427"/>
      <c r="H314" s="213"/>
      <c r="I314" s="213"/>
      <c r="J314" s="213"/>
      <c r="K314" s="213"/>
      <c r="L314" s="213"/>
      <c r="M314" s="51"/>
      <c r="N314" s="213"/>
      <c r="O314" s="213"/>
      <c r="P314" s="213"/>
      <c r="Q314" s="2125"/>
      <c r="R314" s="2185"/>
      <c r="S314" s="51"/>
      <c r="T314" s="51"/>
    </row>
    <row r="315" spans="1:20" s="38" customFormat="1" ht="20.25">
      <c r="A315" s="204"/>
      <c r="B315" s="432" t="s">
        <v>219</v>
      </c>
      <c r="C315" s="278" t="s">
        <v>1150</v>
      </c>
      <c r="D315" s="355"/>
      <c r="E315" s="214"/>
      <c r="F315" s="427"/>
      <c r="G315" s="427"/>
      <c r="H315" s="213"/>
      <c r="I315" s="213"/>
      <c r="J315" s="213"/>
      <c r="K315" s="213"/>
      <c r="L315" s="213"/>
      <c r="M315" s="51"/>
      <c r="N315" s="213"/>
      <c r="O315" s="213"/>
      <c r="P315" s="213"/>
      <c r="Q315" s="2125"/>
      <c r="R315" s="2185"/>
      <c r="S315" s="51"/>
      <c r="T315" s="51"/>
    </row>
    <row r="316" spans="1:20" s="38" customFormat="1" ht="20.25">
      <c r="A316" s="204"/>
      <c r="B316" s="432" t="s">
        <v>231</v>
      </c>
      <c r="C316" s="278" t="s">
        <v>656</v>
      </c>
      <c r="D316" s="355"/>
      <c r="E316" s="214"/>
      <c r="F316" s="427"/>
      <c r="G316" s="427"/>
      <c r="H316" s="213"/>
      <c r="I316" s="213"/>
      <c r="J316" s="213"/>
      <c r="K316" s="213"/>
      <c r="L316" s="213"/>
      <c r="M316" s="51"/>
      <c r="N316" s="213"/>
      <c r="O316" s="213"/>
      <c r="P316" s="213"/>
      <c r="Q316" s="2125"/>
      <c r="R316" s="2185"/>
      <c r="S316" s="51"/>
      <c r="T316" s="51"/>
    </row>
    <row r="317" spans="1:20" s="38" customFormat="1" ht="20.25">
      <c r="A317" s="204"/>
      <c r="B317" s="432" t="s">
        <v>269</v>
      </c>
      <c r="C317" s="279" t="s">
        <v>653</v>
      </c>
      <c r="D317" s="355"/>
      <c r="E317" s="214"/>
      <c r="F317" s="427"/>
      <c r="G317" s="427"/>
      <c r="H317" s="213"/>
      <c r="I317" s="213"/>
      <c r="J317" s="213"/>
      <c r="K317" s="213"/>
      <c r="L317" s="213"/>
      <c r="M317" s="51"/>
      <c r="N317" s="213"/>
      <c r="O317" s="213"/>
      <c r="P317" s="213"/>
      <c r="Q317" s="2125"/>
      <c r="R317" s="2185"/>
      <c r="S317" s="51"/>
      <c r="T317" s="51"/>
    </row>
    <row r="318" spans="1:20" s="38" customFormat="1" ht="20.25">
      <c r="A318" s="204"/>
      <c r="B318" s="377"/>
      <c r="C318" s="355" t="s">
        <v>654</v>
      </c>
      <c r="D318" s="355"/>
      <c r="E318" s="214"/>
      <c r="F318" s="427"/>
      <c r="G318" s="427"/>
      <c r="H318" s="213"/>
      <c r="I318" s="213"/>
      <c r="J318" s="213"/>
      <c r="K318" s="213"/>
      <c r="L318" s="213"/>
      <c r="M318" s="51"/>
      <c r="N318" s="213"/>
      <c r="O318" s="213"/>
      <c r="P318" s="213"/>
      <c r="Q318" s="2125"/>
      <c r="R318" s="2185"/>
      <c r="S318" s="51"/>
      <c r="T318" s="51"/>
    </row>
    <row r="319" spans="1:20" s="38" customFormat="1" ht="20.25">
      <c r="A319" s="204"/>
      <c r="B319" s="377" t="s">
        <v>634</v>
      </c>
      <c r="C319" s="355" t="s">
        <v>658</v>
      </c>
      <c r="D319" s="355"/>
      <c r="E319" s="214"/>
      <c r="F319" s="427"/>
      <c r="G319" s="427"/>
      <c r="H319" s="213"/>
      <c r="I319" s="213"/>
      <c r="J319" s="213"/>
      <c r="K319" s="213"/>
      <c r="L319" s="213"/>
      <c r="M319" s="51"/>
      <c r="N319" s="213"/>
      <c r="O319" s="213"/>
      <c r="P319" s="213"/>
      <c r="Q319" s="2125"/>
      <c r="R319" s="2185"/>
      <c r="S319" s="51"/>
      <c r="T319" s="51"/>
    </row>
    <row r="320" spans="1:20" s="38" customFormat="1" ht="20.25">
      <c r="A320" s="204"/>
      <c r="B320" s="377" t="s">
        <v>635</v>
      </c>
      <c r="C320" s="355" t="s">
        <v>1041</v>
      </c>
      <c r="D320" s="355"/>
      <c r="E320" s="214"/>
      <c r="F320" s="427"/>
      <c r="G320" s="427"/>
      <c r="H320" s="213"/>
      <c r="I320" s="213"/>
      <c r="J320" s="213"/>
      <c r="K320" s="213"/>
      <c r="L320" s="213"/>
      <c r="M320" s="51"/>
      <c r="N320" s="213"/>
      <c r="O320" s="213"/>
      <c r="P320" s="213"/>
      <c r="Q320" s="2125"/>
      <c r="R320" s="2185"/>
      <c r="S320" s="51"/>
      <c r="T320" s="51"/>
    </row>
    <row r="321" spans="1:20" ht="20.25">
      <c r="A321" s="558"/>
      <c r="B321" s="377" t="s">
        <v>636</v>
      </c>
      <c r="C321" s="355" t="s">
        <v>657</v>
      </c>
      <c r="D321" s="279"/>
      <c r="E321" s="214"/>
      <c r="F321" s="427"/>
      <c r="G321" s="427"/>
      <c r="H321" s="213"/>
      <c r="I321" s="213"/>
      <c r="J321" s="213"/>
      <c r="K321" s="213"/>
      <c r="L321" s="213"/>
      <c r="M321" s="23"/>
      <c r="N321" s="213"/>
      <c r="O321" s="213"/>
      <c r="P321" s="213"/>
      <c r="Q321" s="2125"/>
      <c r="R321" s="2185"/>
      <c r="S321" s="23"/>
      <c r="T321" s="23"/>
    </row>
    <row r="322" spans="1:20" ht="20.25" customHeight="1">
      <c r="A322" s="558"/>
      <c r="B322" s="432" t="s">
        <v>689</v>
      </c>
      <c r="C322" s="2650" t="s">
        <v>690</v>
      </c>
      <c r="D322" s="2650"/>
      <c r="E322" s="2650"/>
      <c r="F322" s="2650"/>
      <c r="G322" s="2650"/>
      <c r="H322" s="2650"/>
      <c r="I322" s="1257"/>
      <c r="J322" s="1257"/>
      <c r="K322" s="1257"/>
      <c r="L322" s="1257"/>
      <c r="M322" s="23"/>
      <c r="N322" s="1257"/>
      <c r="O322" s="1385"/>
      <c r="P322" s="1385"/>
      <c r="Q322" s="2125"/>
      <c r="R322" s="2185"/>
      <c r="S322" s="23"/>
      <c r="T322" s="23"/>
    </row>
    <row r="323" spans="1:20" ht="18" customHeight="1">
      <c r="A323" s="558"/>
      <c r="B323" s="378"/>
      <c r="C323" s="2650"/>
      <c r="D323" s="2650"/>
      <c r="E323" s="2650"/>
      <c r="F323" s="2650"/>
      <c r="G323" s="2650"/>
      <c r="H323" s="2650"/>
      <c r="I323" s="1257"/>
      <c r="J323" s="1257"/>
      <c r="K323" s="1257"/>
      <c r="L323" s="1257"/>
      <c r="M323" s="23"/>
      <c r="N323" s="1257"/>
      <c r="O323" s="1385"/>
      <c r="P323" s="1385"/>
      <c r="Q323" s="2125"/>
      <c r="R323" s="2185"/>
      <c r="S323" s="23"/>
      <c r="T323" s="23"/>
    </row>
    <row r="324" spans="1:20" ht="20.25">
      <c r="A324" s="559"/>
      <c r="B324" s="432" t="s">
        <v>703</v>
      </c>
      <c r="C324" s="2650" t="s">
        <v>1009</v>
      </c>
      <c r="D324" s="2650"/>
      <c r="E324" s="2650"/>
      <c r="F324" s="2650"/>
      <c r="G324" s="2650"/>
      <c r="H324" s="2650"/>
      <c r="I324" s="1257"/>
      <c r="J324" s="1257"/>
      <c r="K324" s="1257"/>
      <c r="L324" s="1257"/>
      <c r="M324" s="23"/>
      <c r="N324" s="1257"/>
      <c r="O324" s="1385"/>
      <c r="P324" s="1385"/>
      <c r="Q324" s="2125"/>
      <c r="R324" s="2185"/>
      <c r="S324" s="23"/>
      <c r="T324" s="23"/>
    </row>
    <row r="325" spans="1:20" ht="20.25">
      <c r="A325" s="559"/>
      <c r="B325" s="432" t="s">
        <v>704</v>
      </c>
      <c r="C325" s="2650" t="s">
        <v>1069</v>
      </c>
      <c r="D325" s="2650"/>
      <c r="E325" s="2650"/>
      <c r="F325" s="2650"/>
      <c r="G325" s="2650"/>
      <c r="H325" s="2650"/>
      <c r="I325" s="1257"/>
      <c r="J325" s="1257"/>
      <c r="K325" s="1257"/>
      <c r="L325" s="1257"/>
      <c r="M325" s="462"/>
      <c r="N325" s="1257"/>
      <c r="O325" s="1385"/>
      <c r="P325" s="1385"/>
      <c r="Q325" s="2125"/>
      <c r="R325" s="2185"/>
    </row>
    <row r="326" spans="1:20" ht="20.25">
      <c r="A326" s="559"/>
      <c r="B326" s="432"/>
      <c r="C326" s="2650"/>
      <c r="D326" s="2650"/>
      <c r="E326" s="2650"/>
      <c r="F326" s="2650"/>
      <c r="G326" s="2650"/>
      <c r="H326" s="2650"/>
      <c r="I326" s="1257"/>
      <c r="J326" s="1257"/>
      <c r="K326" s="1257"/>
      <c r="L326" s="1257"/>
      <c r="M326" s="462"/>
      <c r="N326" s="1257"/>
      <c r="O326" s="1385"/>
      <c r="P326" s="1385"/>
      <c r="Q326" s="2125"/>
      <c r="R326" s="2185"/>
    </row>
    <row r="327" spans="1:20" ht="20.25" customHeight="1">
      <c r="A327" s="559"/>
      <c r="B327" s="432" t="s">
        <v>705</v>
      </c>
      <c r="C327" s="2660" t="s">
        <v>1076</v>
      </c>
      <c r="D327" s="2660"/>
      <c r="E327" s="2660"/>
      <c r="F327" s="2660"/>
      <c r="G327" s="2660"/>
      <c r="H327" s="2660"/>
      <c r="I327" s="1258"/>
      <c r="J327" s="1258"/>
      <c r="K327" s="1258"/>
      <c r="L327" s="1258"/>
      <c r="N327" s="1258"/>
      <c r="O327" s="1383"/>
      <c r="P327" s="1383"/>
      <c r="Q327" s="2125"/>
      <c r="R327" s="2185"/>
    </row>
    <row r="328" spans="1:20" ht="57" customHeight="1">
      <c r="A328" s="559"/>
      <c r="B328" s="432"/>
      <c r="C328" s="2661" t="s">
        <v>1077</v>
      </c>
      <c r="D328" s="2661"/>
      <c r="E328" s="2661"/>
      <c r="F328" s="2661"/>
      <c r="G328" s="2661"/>
      <c r="H328" s="2661"/>
      <c r="I328" s="1259"/>
      <c r="J328" s="1259"/>
      <c r="K328" s="1259"/>
      <c r="L328" s="1259"/>
      <c r="N328" s="1259"/>
      <c r="O328" s="1384"/>
      <c r="P328" s="1384"/>
      <c r="Q328" s="2125"/>
      <c r="R328" s="2185"/>
    </row>
    <row r="329" spans="1:20" ht="21" customHeight="1">
      <c r="A329" s="559"/>
      <c r="B329" s="432"/>
      <c r="C329" s="2661" t="s">
        <v>1075</v>
      </c>
      <c r="D329" s="2661"/>
      <c r="E329" s="2661"/>
      <c r="F329" s="2661"/>
      <c r="G329" s="2661"/>
      <c r="H329" s="2661"/>
      <c r="I329" s="1259"/>
      <c r="J329" s="1259"/>
      <c r="K329" s="1259"/>
      <c r="L329" s="1259"/>
      <c r="N329" s="1259"/>
      <c r="O329" s="1384"/>
      <c r="P329" s="1384"/>
      <c r="Q329" s="2125"/>
      <c r="R329" s="2185"/>
    </row>
    <row r="330" spans="1:20" s="349" customFormat="1" ht="39.75" customHeight="1">
      <c r="A330" s="559"/>
      <c r="B330" s="432"/>
      <c r="C330" s="2661" t="s">
        <v>1148</v>
      </c>
      <c r="D330" s="2661"/>
      <c r="E330" s="2661"/>
      <c r="F330" s="2661"/>
      <c r="G330" s="2661"/>
      <c r="H330" s="2661"/>
      <c r="I330" s="1259"/>
      <c r="J330" s="1259"/>
      <c r="K330" s="1259"/>
      <c r="L330" s="1259"/>
      <c r="N330" s="1259"/>
      <c r="O330" s="1384"/>
      <c r="P330" s="1384"/>
      <c r="Q330" s="2125"/>
      <c r="R330" s="2185"/>
    </row>
    <row r="331" spans="1:20" ht="20.25">
      <c r="A331" s="559"/>
      <c r="B331" s="432" t="s">
        <v>307</v>
      </c>
      <c r="C331" s="278" t="s">
        <v>829</v>
      </c>
      <c r="D331" s="279"/>
      <c r="E331" s="432"/>
      <c r="F331" s="278"/>
      <c r="G331" s="278"/>
      <c r="H331" s="278"/>
      <c r="I331" s="278"/>
      <c r="J331" s="278"/>
      <c r="K331" s="278"/>
      <c r="L331" s="278"/>
      <c r="N331" s="278"/>
      <c r="O331" s="278"/>
      <c r="P331" s="278"/>
      <c r="Q331" s="2125"/>
      <c r="R331" s="2185"/>
    </row>
    <row r="332" spans="1:20" ht="21" thickBot="1">
      <c r="A332" s="562"/>
      <c r="B332" s="563"/>
      <c r="C332" s="564"/>
      <c r="D332" s="563"/>
      <c r="E332" s="565"/>
      <c r="F332" s="566"/>
      <c r="G332" s="564"/>
      <c r="H332" s="564"/>
      <c r="I332" s="1266"/>
      <c r="J332" s="1266"/>
      <c r="K332" s="1266"/>
      <c r="L332" s="1266"/>
      <c r="N332" s="1266"/>
      <c r="O332" s="1266"/>
      <c r="P332" s="1266"/>
      <c r="Q332" s="2125"/>
      <c r="R332" s="2185"/>
    </row>
    <row r="333" spans="1:20" ht="20.25">
      <c r="A333" s="559"/>
      <c r="B333" s="279"/>
      <c r="C333" s="431"/>
      <c r="D333" s="279"/>
      <c r="E333" s="432"/>
      <c r="F333" s="278"/>
      <c r="G333" s="431"/>
      <c r="H333" s="431"/>
      <c r="I333" s="431"/>
      <c r="J333" s="431"/>
      <c r="K333" s="431"/>
      <c r="L333" s="431"/>
      <c r="N333" s="431"/>
      <c r="O333" s="431"/>
      <c r="P333" s="431"/>
      <c r="Q333" s="2125"/>
      <c r="R333" s="2185"/>
    </row>
    <row r="334" spans="1:20" ht="20.25">
      <c r="A334" s="559"/>
      <c r="B334" s="279"/>
      <c r="C334" s="431"/>
      <c r="D334" s="279"/>
      <c r="E334" s="432"/>
      <c r="F334" s="278"/>
      <c r="G334" s="431"/>
      <c r="H334" s="431"/>
      <c r="I334" s="431"/>
      <c r="J334" s="431"/>
      <c r="K334" s="431"/>
      <c r="L334" s="431"/>
      <c r="N334" s="431"/>
      <c r="O334" s="431"/>
      <c r="P334" s="431"/>
      <c r="Q334" s="2125"/>
      <c r="R334" s="2185"/>
    </row>
    <row r="335" spans="1:20" ht="20.25">
      <c r="A335" s="559"/>
      <c r="B335" s="279"/>
      <c r="C335" s="279"/>
      <c r="D335" s="279"/>
      <c r="E335" s="432"/>
      <c r="F335" s="278"/>
      <c r="G335" s="431"/>
      <c r="H335" s="431"/>
      <c r="I335" s="431"/>
      <c r="J335" s="431"/>
      <c r="K335" s="431"/>
      <c r="L335" s="431"/>
      <c r="N335" s="431"/>
      <c r="O335" s="431"/>
      <c r="P335" s="431"/>
      <c r="Q335" s="2125"/>
      <c r="R335" s="2185"/>
    </row>
    <row r="336" spans="1:20" ht="20.25">
      <c r="A336" s="559"/>
      <c r="B336" s="279"/>
      <c r="C336" s="279"/>
      <c r="D336" s="279"/>
      <c r="E336" s="432"/>
      <c r="F336" s="278"/>
      <c r="G336" s="431"/>
      <c r="H336" s="431"/>
      <c r="I336" s="431"/>
      <c r="J336" s="431"/>
      <c r="K336" s="431"/>
      <c r="L336" s="431"/>
      <c r="N336" s="431"/>
      <c r="O336" s="431"/>
      <c r="P336" s="431"/>
      <c r="Q336" s="2125"/>
      <c r="R336" s="2185"/>
    </row>
    <row r="337" spans="1:18" ht="20.25">
      <c r="A337" s="559"/>
      <c r="B337" s="279"/>
      <c r="C337" s="279"/>
      <c r="D337" s="279"/>
      <c r="E337" s="432"/>
      <c r="F337" s="278"/>
      <c r="G337" s="431"/>
      <c r="H337" s="431"/>
      <c r="I337" s="431"/>
      <c r="J337" s="431"/>
      <c r="K337" s="431"/>
      <c r="L337" s="431"/>
      <c r="N337" s="431"/>
      <c r="O337" s="431"/>
      <c r="P337" s="431"/>
      <c r="Q337" s="2125"/>
      <c r="R337" s="2185"/>
    </row>
    <row r="338" spans="1:18" ht="20.25">
      <c r="A338" s="559"/>
      <c r="B338" s="279"/>
      <c r="C338" s="279"/>
      <c r="D338" s="279"/>
      <c r="E338" s="432"/>
      <c r="F338" s="278"/>
      <c r="G338" s="431"/>
      <c r="H338" s="431"/>
      <c r="I338" s="431"/>
      <c r="J338" s="431"/>
      <c r="K338" s="431"/>
      <c r="L338" s="431"/>
      <c r="N338" s="431"/>
      <c r="O338" s="431"/>
      <c r="P338" s="431"/>
      <c r="Q338" s="2125"/>
      <c r="R338" s="2185"/>
    </row>
    <row r="339" spans="1:18" ht="20.25">
      <c r="A339" s="559"/>
      <c r="B339" s="279"/>
      <c r="C339" s="279"/>
      <c r="D339" s="279"/>
      <c r="E339" s="432"/>
      <c r="F339" s="278"/>
      <c r="G339" s="431"/>
      <c r="H339" s="431"/>
      <c r="I339" s="431"/>
      <c r="J339" s="431"/>
      <c r="K339" s="431"/>
      <c r="L339" s="431"/>
      <c r="N339" s="431"/>
      <c r="O339" s="431"/>
      <c r="P339" s="431"/>
      <c r="Q339" s="2125"/>
      <c r="R339" s="2185"/>
    </row>
    <row r="340" spans="1:18" ht="20.25">
      <c r="A340" s="559"/>
      <c r="B340" s="279"/>
      <c r="C340" s="279"/>
      <c r="D340" s="279"/>
      <c r="E340" s="432"/>
      <c r="F340" s="278"/>
      <c r="G340" s="431"/>
      <c r="H340" s="431"/>
      <c r="I340" s="431"/>
      <c r="J340" s="431"/>
      <c r="K340" s="431"/>
      <c r="L340" s="431"/>
      <c r="N340" s="431"/>
      <c r="O340" s="431"/>
      <c r="P340" s="431"/>
      <c r="Q340" s="2125"/>
      <c r="R340" s="2185"/>
    </row>
    <row r="341" spans="1:18" ht="20.25">
      <c r="A341" s="559"/>
      <c r="B341" s="279"/>
      <c r="C341" s="279"/>
      <c r="D341" s="279"/>
      <c r="E341" s="432"/>
      <c r="F341" s="278"/>
      <c r="G341" s="431"/>
      <c r="H341" s="431"/>
      <c r="I341" s="431"/>
      <c r="J341" s="431"/>
      <c r="K341" s="431"/>
      <c r="L341" s="431"/>
      <c r="N341" s="431"/>
      <c r="O341" s="431"/>
      <c r="P341" s="431"/>
      <c r="Q341" s="2125"/>
      <c r="R341" s="2185"/>
    </row>
    <row r="342" spans="1:18" ht="20.25">
      <c r="A342" s="559"/>
      <c r="B342" s="279"/>
      <c r="C342" s="279"/>
      <c r="D342" s="279"/>
      <c r="E342" s="432"/>
      <c r="F342" s="278"/>
      <c r="G342" s="431"/>
      <c r="H342" s="431"/>
      <c r="I342" s="431"/>
      <c r="J342" s="431"/>
      <c r="K342" s="431"/>
      <c r="L342" s="431"/>
      <c r="N342" s="431"/>
      <c r="O342" s="431"/>
      <c r="P342" s="431"/>
      <c r="Q342" s="2125"/>
      <c r="R342" s="2185"/>
    </row>
    <row r="343" spans="1:18" ht="20.25">
      <c r="A343" s="559"/>
      <c r="B343" s="279"/>
      <c r="C343" s="279"/>
      <c r="D343" s="279"/>
      <c r="E343" s="432"/>
      <c r="F343" s="278"/>
      <c r="G343" s="431"/>
      <c r="H343" s="431"/>
      <c r="I343" s="431"/>
      <c r="J343" s="431"/>
      <c r="K343" s="431"/>
      <c r="L343" s="431"/>
      <c r="N343" s="431"/>
      <c r="O343" s="431"/>
      <c r="P343" s="431"/>
      <c r="Q343" s="2125"/>
      <c r="R343" s="2185"/>
    </row>
    <row r="344" spans="1:18" ht="20.25">
      <c r="A344" s="559"/>
      <c r="B344" s="279"/>
      <c r="C344" s="279"/>
      <c r="D344" s="279"/>
      <c r="E344" s="432"/>
      <c r="F344" s="278"/>
      <c r="G344" s="431"/>
      <c r="H344" s="431"/>
      <c r="I344" s="431"/>
      <c r="J344" s="431"/>
      <c r="K344" s="431"/>
      <c r="L344" s="431"/>
      <c r="N344" s="431"/>
      <c r="O344" s="431"/>
      <c r="P344" s="431"/>
      <c r="Q344" s="2125"/>
      <c r="R344" s="2185"/>
    </row>
    <row r="345" spans="1:18" ht="20.25">
      <c r="A345" s="559"/>
      <c r="B345" s="279"/>
      <c r="C345" s="279"/>
      <c r="D345" s="279"/>
      <c r="E345" s="432"/>
      <c r="F345" s="278"/>
      <c r="G345" s="431"/>
      <c r="H345" s="431"/>
      <c r="I345" s="431"/>
      <c r="J345" s="431"/>
      <c r="K345" s="431"/>
      <c r="L345" s="431"/>
      <c r="N345" s="431"/>
      <c r="O345" s="431"/>
      <c r="P345" s="431"/>
      <c r="Q345" s="2125"/>
      <c r="R345" s="2185"/>
    </row>
    <row r="346" spans="1:18" ht="20.25">
      <c r="A346" s="207"/>
      <c r="B346" s="205"/>
      <c r="C346" s="205"/>
      <c r="D346" s="205"/>
      <c r="E346" s="208"/>
      <c r="F346" s="206"/>
      <c r="Q346" s="2125"/>
      <c r="R346" s="2185"/>
    </row>
    <row r="347" spans="1:18" ht="20.25">
      <c r="A347" s="207"/>
      <c r="B347" s="205"/>
      <c r="C347" s="205"/>
      <c r="D347" s="205"/>
      <c r="E347" s="208"/>
      <c r="F347" s="206"/>
      <c r="Q347" s="2125"/>
      <c r="R347" s="2185"/>
    </row>
    <row r="348" spans="1:18" ht="20.25">
      <c r="A348" s="207"/>
      <c r="B348" s="205"/>
      <c r="C348" s="205"/>
      <c r="D348" s="205"/>
      <c r="E348" s="208"/>
      <c r="F348" s="206"/>
      <c r="Q348" s="2125"/>
      <c r="R348" s="2185"/>
    </row>
    <row r="349" spans="1:18" ht="20.25">
      <c r="A349" s="207"/>
      <c r="B349" s="205"/>
      <c r="C349" s="205"/>
      <c r="D349" s="205"/>
      <c r="E349" s="208"/>
      <c r="F349" s="206"/>
      <c r="Q349" s="2125"/>
      <c r="R349" s="2185"/>
    </row>
    <row r="350" spans="1:18" ht="20.25">
      <c r="A350" s="207"/>
      <c r="B350" s="205"/>
      <c r="C350" s="205"/>
      <c r="D350" s="205"/>
      <c r="E350" s="208"/>
      <c r="F350" s="206"/>
      <c r="Q350" s="2125"/>
      <c r="R350" s="2185"/>
    </row>
    <row r="351" spans="1:18" ht="20.25">
      <c r="A351" s="207"/>
      <c r="B351" s="205"/>
      <c r="C351" s="205"/>
      <c r="D351" s="205"/>
      <c r="E351" s="208"/>
      <c r="F351" s="206"/>
      <c r="Q351" s="2125"/>
      <c r="R351" s="2185"/>
    </row>
    <row r="352" spans="1:18" ht="20.25">
      <c r="A352" s="207"/>
      <c r="B352" s="205"/>
      <c r="C352" s="205"/>
      <c r="D352" s="205"/>
      <c r="E352" s="208"/>
      <c r="F352" s="206"/>
      <c r="Q352" s="2125"/>
      <c r="R352" s="2185"/>
    </row>
    <row r="353" spans="1:18" ht="20.25">
      <c r="A353" s="207"/>
      <c r="B353" s="205"/>
      <c r="C353" s="205"/>
      <c r="D353" s="205"/>
      <c r="E353" s="208"/>
      <c r="F353" s="206"/>
      <c r="Q353" s="2125"/>
      <c r="R353" s="2185"/>
    </row>
    <row r="354" spans="1:18" ht="20.25">
      <c r="A354" s="207"/>
      <c r="B354" s="205"/>
      <c r="C354" s="205"/>
      <c r="D354" s="205"/>
      <c r="E354" s="208"/>
      <c r="F354" s="206"/>
      <c r="Q354" s="2125"/>
      <c r="R354" s="2185"/>
    </row>
    <row r="355" spans="1:18" ht="20.25">
      <c r="A355" s="207"/>
      <c r="B355" s="205"/>
      <c r="C355" s="205"/>
      <c r="D355" s="205"/>
      <c r="E355" s="208"/>
      <c r="F355" s="206"/>
      <c r="Q355" s="2226"/>
      <c r="R355" s="2185"/>
    </row>
    <row r="356" spans="1:18" ht="20.25">
      <c r="A356" s="207"/>
      <c r="B356" s="205"/>
      <c r="C356" s="205"/>
      <c r="D356" s="205"/>
      <c r="E356" s="208"/>
      <c r="F356" s="206"/>
      <c r="Q356" s="2226"/>
      <c r="R356" s="2185"/>
    </row>
    <row r="357" spans="1:18" ht="20.25">
      <c r="A357" s="207"/>
      <c r="B357" s="205"/>
      <c r="C357" s="205"/>
      <c r="D357" s="205"/>
      <c r="E357" s="208"/>
      <c r="F357" s="206"/>
      <c r="Q357" s="2226"/>
      <c r="R357" s="2185"/>
    </row>
    <row r="358" spans="1:18" ht="20.25">
      <c r="A358" s="207"/>
      <c r="B358" s="205"/>
      <c r="C358" s="205"/>
      <c r="D358" s="205"/>
      <c r="E358" s="208"/>
      <c r="F358" s="206"/>
      <c r="Q358" s="2226"/>
      <c r="R358" s="2185"/>
    </row>
    <row r="359" spans="1:18" ht="20.25">
      <c r="A359" s="207"/>
      <c r="B359" s="205"/>
      <c r="C359" s="205"/>
      <c r="D359" s="205"/>
      <c r="E359" s="208"/>
      <c r="F359" s="206"/>
      <c r="Q359" s="2226"/>
      <c r="R359" s="2185"/>
    </row>
    <row r="360" spans="1:18" ht="20.25">
      <c r="A360" s="207"/>
      <c r="B360" s="205"/>
      <c r="C360" s="205"/>
      <c r="D360" s="205"/>
      <c r="E360" s="208"/>
      <c r="F360" s="206"/>
      <c r="Q360" s="2226"/>
      <c r="R360" s="2185"/>
    </row>
    <row r="361" spans="1:18" ht="20.25">
      <c r="A361" s="207"/>
      <c r="B361" s="205"/>
      <c r="C361" s="205"/>
      <c r="D361" s="205"/>
      <c r="E361" s="208"/>
      <c r="F361" s="206"/>
      <c r="Q361" s="2226"/>
      <c r="R361" s="2185"/>
    </row>
    <row r="362" spans="1:18" ht="20.25">
      <c r="A362" s="207"/>
      <c r="B362" s="205"/>
      <c r="C362" s="205"/>
      <c r="D362" s="205"/>
      <c r="E362" s="208"/>
      <c r="F362" s="206"/>
      <c r="Q362" s="2226"/>
      <c r="R362" s="2185"/>
    </row>
    <row r="363" spans="1:18" ht="20.25">
      <c r="A363" s="207"/>
      <c r="B363" s="205"/>
      <c r="C363" s="205"/>
      <c r="D363" s="205"/>
      <c r="E363" s="208"/>
      <c r="F363" s="206"/>
      <c r="Q363" s="2226"/>
      <c r="R363" s="2185"/>
    </row>
    <row r="364" spans="1:18" ht="20.25">
      <c r="A364" s="207"/>
      <c r="B364" s="205"/>
      <c r="C364" s="205"/>
      <c r="D364" s="205"/>
      <c r="E364" s="208"/>
      <c r="F364" s="206"/>
      <c r="Q364" s="2226"/>
      <c r="R364" s="2185"/>
    </row>
    <row r="365" spans="1:18" ht="20.25">
      <c r="A365" s="207"/>
      <c r="B365" s="205"/>
      <c r="C365" s="205"/>
      <c r="D365" s="205"/>
      <c r="E365" s="208"/>
      <c r="F365" s="206"/>
      <c r="Q365" s="2226"/>
      <c r="R365" s="2185"/>
    </row>
    <row r="366" spans="1:18" ht="20.25">
      <c r="A366" s="207"/>
      <c r="B366" s="205"/>
      <c r="C366" s="205"/>
      <c r="D366" s="205"/>
      <c r="E366" s="208"/>
      <c r="F366" s="206"/>
      <c r="Q366" s="2226"/>
      <c r="R366" s="2185"/>
    </row>
    <row r="367" spans="1:18" ht="20.25">
      <c r="A367" s="207"/>
      <c r="B367" s="205"/>
      <c r="C367" s="205"/>
      <c r="D367" s="205"/>
      <c r="E367" s="208"/>
      <c r="F367" s="206"/>
      <c r="Q367" s="2226"/>
      <c r="R367" s="2185"/>
    </row>
    <row r="368" spans="1:18" ht="20.25">
      <c r="A368" s="207"/>
      <c r="B368" s="205"/>
      <c r="C368" s="205"/>
      <c r="D368" s="205"/>
      <c r="E368" s="208"/>
      <c r="F368" s="206"/>
      <c r="Q368" s="2226"/>
      <c r="R368" s="2185"/>
    </row>
    <row r="369" spans="1:18" ht="20.25">
      <c r="A369" s="207"/>
      <c r="B369" s="205"/>
      <c r="C369" s="205"/>
      <c r="D369" s="205"/>
      <c r="E369" s="208"/>
      <c r="F369" s="206"/>
      <c r="Q369" s="2226"/>
      <c r="R369" s="2185"/>
    </row>
    <row r="370" spans="1:18" ht="20.25">
      <c r="A370" s="207"/>
      <c r="B370" s="205"/>
      <c r="C370" s="205"/>
      <c r="D370" s="205"/>
      <c r="E370" s="208"/>
      <c r="F370" s="206"/>
      <c r="Q370" s="2226"/>
      <c r="R370" s="2185"/>
    </row>
    <row r="371" spans="1:18" ht="20.25">
      <c r="A371" s="207"/>
      <c r="B371" s="205"/>
      <c r="C371" s="205"/>
      <c r="D371" s="205"/>
      <c r="E371" s="208"/>
      <c r="F371" s="206"/>
      <c r="Q371" s="2226"/>
      <c r="R371" s="2185"/>
    </row>
    <row r="372" spans="1:18" ht="20.25">
      <c r="A372" s="207"/>
      <c r="B372" s="205"/>
      <c r="C372" s="205"/>
      <c r="D372" s="205"/>
      <c r="E372" s="208"/>
      <c r="F372" s="206"/>
      <c r="Q372" s="2226"/>
      <c r="R372" s="2185"/>
    </row>
    <row r="373" spans="1:18" ht="20.25">
      <c r="A373" s="207"/>
      <c r="B373" s="205"/>
      <c r="C373" s="205"/>
      <c r="D373" s="205"/>
      <c r="E373" s="208"/>
      <c r="F373" s="206"/>
      <c r="Q373" s="2226"/>
      <c r="R373" s="2185"/>
    </row>
    <row r="374" spans="1:18" ht="20.25">
      <c r="A374" s="207"/>
      <c r="B374" s="205"/>
      <c r="C374" s="205"/>
      <c r="D374" s="205"/>
      <c r="E374" s="208"/>
      <c r="F374" s="206"/>
      <c r="Q374" s="2226"/>
      <c r="R374" s="2185"/>
    </row>
    <row r="375" spans="1:18" ht="20.25">
      <c r="A375" s="207"/>
      <c r="B375" s="205"/>
      <c r="C375" s="205"/>
      <c r="D375" s="205"/>
      <c r="E375" s="208"/>
      <c r="F375" s="206"/>
      <c r="Q375" s="2226"/>
      <c r="R375" s="2185"/>
    </row>
    <row r="376" spans="1:18" ht="20.25">
      <c r="A376" s="207"/>
      <c r="B376" s="205"/>
      <c r="C376" s="205"/>
      <c r="D376" s="205"/>
      <c r="E376" s="208"/>
      <c r="F376" s="206"/>
      <c r="Q376" s="2226"/>
      <c r="R376" s="2185"/>
    </row>
    <row r="377" spans="1:18" ht="20.25">
      <c r="A377" s="207"/>
      <c r="B377" s="205"/>
      <c r="C377" s="205"/>
      <c r="D377" s="205"/>
      <c r="E377" s="208"/>
      <c r="F377" s="206"/>
      <c r="Q377" s="2226"/>
      <c r="R377" s="2185"/>
    </row>
    <row r="378" spans="1:18" ht="20.25">
      <c r="A378" s="207"/>
      <c r="B378" s="205"/>
      <c r="C378" s="205"/>
      <c r="D378" s="205"/>
      <c r="E378" s="208"/>
      <c r="F378" s="206"/>
      <c r="Q378" s="2226"/>
      <c r="R378" s="2185"/>
    </row>
    <row r="379" spans="1:18" ht="20.25">
      <c r="A379" s="207"/>
      <c r="B379" s="205"/>
      <c r="C379" s="205"/>
      <c r="D379" s="205"/>
      <c r="E379" s="208"/>
      <c r="F379" s="206"/>
      <c r="Q379" s="2226"/>
      <c r="R379" s="2185"/>
    </row>
    <row r="380" spans="1:18" ht="20.25">
      <c r="A380" s="207"/>
      <c r="B380" s="205"/>
      <c r="C380" s="205"/>
      <c r="D380" s="205"/>
      <c r="E380" s="208"/>
      <c r="F380" s="206"/>
      <c r="Q380" s="2226"/>
      <c r="R380" s="2185"/>
    </row>
    <row r="381" spans="1:18" ht="20.25">
      <c r="A381" s="207"/>
      <c r="B381" s="205"/>
      <c r="C381" s="205"/>
      <c r="D381" s="205"/>
      <c r="E381" s="208"/>
      <c r="F381" s="206"/>
      <c r="Q381" s="2226"/>
      <c r="R381" s="2185"/>
    </row>
    <row r="382" spans="1:18" ht="20.25">
      <c r="A382" s="207"/>
      <c r="B382" s="205"/>
      <c r="C382" s="205"/>
      <c r="D382" s="205"/>
      <c r="E382" s="208"/>
      <c r="F382" s="206"/>
      <c r="Q382" s="2226"/>
      <c r="R382" s="2185"/>
    </row>
    <row r="383" spans="1:18" ht="20.25">
      <c r="A383" s="207"/>
      <c r="B383" s="205"/>
      <c r="C383" s="205"/>
      <c r="D383" s="205"/>
      <c r="E383" s="208"/>
      <c r="F383" s="206"/>
      <c r="Q383" s="2226"/>
      <c r="R383" s="2185"/>
    </row>
    <row r="384" spans="1:18" ht="20.25">
      <c r="A384" s="207"/>
      <c r="B384" s="205"/>
      <c r="C384" s="205"/>
      <c r="D384" s="205"/>
      <c r="E384" s="208"/>
      <c r="F384" s="206"/>
      <c r="Q384" s="2226"/>
      <c r="R384" s="2185"/>
    </row>
    <row r="385" spans="1:18" ht="20.25">
      <c r="A385" s="207"/>
      <c r="B385" s="205"/>
      <c r="C385" s="205"/>
      <c r="D385" s="205"/>
      <c r="E385" s="208"/>
      <c r="F385" s="206"/>
      <c r="Q385" s="2226"/>
      <c r="R385" s="2185"/>
    </row>
    <row r="386" spans="1:18" ht="20.25">
      <c r="A386" s="207"/>
      <c r="B386" s="205"/>
      <c r="C386" s="205"/>
      <c r="D386" s="205"/>
      <c r="E386" s="208"/>
      <c r="F386" s="206"/>
      <c r="Q386" s="2226"/>
      <c r="R386" s="2185"/>
    </row>
    <row r="387" spans="1:18" ht="20.25">
      <c r="A387" s="207"/>
      <c r="B387" s="205"/>
      <c r="C387" s="205"/>
      <c r="D387" s="205"/>
      <c r="E387" s="208"/>
      <c r="F387" s="206"/>
      <c r="Q387" s="2226"/>
      <c r="R387" s="2185"/>
    </row>
    <row r="388" spans="1:18" ht="20.25">
      <c r="A388" s="207"/>
      <c r="B388" s="205"/>
      <c r="C388" s="205"/>
      <c r="D388" s="205"/>
      <c r="E388" s="208"/>
      <c r="F388" s="206"/>
      <c r="Q388" s="2226"/>
      <c r="R388" s="2185"/>
    </row>
    <row r="389" spans="1:18" ht="20.25">
      <c r="A389" s="207"/>
      <c r="B389" s="205"/>
      <c r="C389" s="205"/>
      <c r="D389" s="205"/>
      <c r="E389" s="208"/>
      <c r="F389" s="206"/>
      <c r="Q389" s="2226"/>
      <c r="R389" s="2185"/>
    </row>
    <row r="390" spans="1:18" ht="20.25">
      <c r="A390" s="207"/>
      <c r="B390" s="205"/>
      <c r="C390" s="205"/>
      <c r="D390" s="205"/>
      <c r="E390" s="208"/>
      <c r="F390" s="206"/>
      <c r="Q390" s="2226"/>
      <c r="R390" s="2185"/>
    </row>
    <row r="391" spans="1:18" ht="20.25">
      <c r="A391" s="207"/>
      <c r="B391" s="205"/>
      <c r="C391" s="205"/>
      <c r="D391" s="205"/>
      <c r="E391" s="208"/>
      <c r="F391" s="206"/>
      <c r="Q391" s="2226"/>
      <c r="R391" s="2185"/>
    </row>
    <row r="392" spans="1:18" ht="20.25">
      <c r="A392" s="207"/>
      <c r="B392" s="205"/>
      <c r="C392" s="205"/>
      <c r="D392" s="205"/>
      <c r="E392" s="208"/>
      <c r="F392" s="206"/>
      <c r="Q392" s="2226"/>
      <c r="R392" s="2185"/>
    </row>
    <row r="393" spans="1:18" ht="20.25">
      <c r="A393" s="207"/>
      <c r="B393" s="205"/>
      <c r="C393" s="205"/>
      <c r="D393" s="205"/>
      <c r="E393" s="208"/>
      <c r="F393" s="206"/>
      <c r="Q393" s="2226"/>
      <c r="R393" s="2185"/>
    </row>
    <row r="394" spans="1:18" ht="20.25">
      <c r="A394" s="207"/>
      <c r="B394" s="205"/>
      <c r="C394" s="205"/>
      <c r="D394" s="205"/>
      <c r="E394" s="208"/>
      <c r="F394" s="206"/>
      <c r="Q394" s="2226"/>
      <c r="R394" s="2185"/>
    </row>
    <row r="395" spans="1:18" ht="20.25">
      <c r="A395" s="207"/>
      <c r="B395" s="205"/>
      <c r="C395" s="205"/>
      <c r="D395" s="205"/>
      <c r="E395" s="208"/>
      <c r="F395" s="206"/>
      <c r="Q395" s="2226"/>
      <c r="R395" s="2185"/>
    </row>
    <row r="396" spans="1:18" ht="20.25">
      <c r="A396" s="207"/>
      <c r="B396" s="205"/>
      <c r="C396" s="205"/>
      <c r="D396" s="205"/>
      <c r="E396" s="208"/>
      <c r="F396" s="206"/>
      <c r="Q396" s="2226"/>
      <c r="R396" s="2185"/>
    </row>
    <row r="397" spans="1:18" ht="20.25">
      <c r="A397" s="207"/>
      <c r="B397" s="205"/>
      <c r="C397" s="205"/>
      <c r="D397" s="205"/>
      <c r="E397" s="208"/>
      <c r="F397" s="206"/>
      <c r="Q397" s="2226"/>
      <c r="R397" s="2185"/>
    </row>
    <row r="398" spans="1:18" ht="20.25">
      <c r="A398" s="207"/>
      <c r="B398" s="205"/>
      <c r="C398" s="205"/>
      <c r="D398" s="205"/>
      <c r="E398" s="208"/>
      <c r="F398" s="206"/>
      <c r="Q398" s="2226"/>
      <c r="R398" s="2185"/>
    </row>
    <row r="399" spans="1:18" ht="20.25">
      <c r="A399" s="207"/>
      <c r="B399" s="205"/>
      <c r="C399" s="205"/>
      <c r="D399" s="205"/>
      <c r="E399" s="208"/>
      <c r="F399" s="206"/>
      <c r="Q399" s="2226"/>
      <c r="R399" s="2185"/>
    </row>
    <row r="400" spans="1:18" ht="20.25">
      <c r="A400" s="207"/>
      <c r="B400" s="205"/>
      <c r="C400" s="205"/>
      <c r="D400" s="205"/>
      <c r="E400" s="208"/>
      <c r="F400" s="206"/>
      <c r="Q400" s="2226"/>
      <c r="R400" s="2185"/>
    </row>
    <row r="401" spans="1:18" ht="20.25">
      <c r="A401" s="207"/>
      <c r="B401" s="205"/>
      <c r="C401" s="205"/>
      <c r="D401" s="205"/>
      <c r="E401" s="208"/>
      <c r="F401" s="206"/>
      <c r="Q401" s="2226"/>
      <c r="R401" s="2185"/>
    </row>
    <row r="402" spans="1:18" ht="20.25">
      <c r="A402" s="207"/>
      <c r="B402" s="205"/>
      <c r="C402" s="205"/>
      <c r="D402" s="205"/>
      <c r="E402" s="208"/>
      <c r="F402" s="206"/>
      <c r="Q402" s="2226"/>
      <c r="R402" s="2185"/>
    </row>
    <row r="403" spans="1:18" ht="20.25">
      <c r="A403" s="207"/>
      <c r="B403" s="205"/>
      <c r="C403" s="205"/>
      <c r="D403" s="205"/>
      <c r="E403" s="208"/>
      <c r="F403" s="206"/>
      <c r="Q403" s="2226"/>
      <c r="R403" s="2185"/>
    </row>
    <row r="404" spans="1:18" ht="20.25">
      <c r="A404" s="207"/>
      <c r="B404" s="205"/>
      <c r="C404" s="205"/>
      <c r="D404" s="205"/>
      <c r="E404" s="208"/>
      <c r="F404" s="206"/>
      <c r="Q404" s="2226"/>
      <c r="R404" s="2185"/>
    </row>
    <row r="405" spans="1:18" ht="20.25">
      <c r="A405" s="207"/>
      <c r="B405" s="205"/>
      <c r="C405" s="205"/>
      <c r="D405" s="205"/>
      <c r="E405" s="208"/>
      <c r="F405" s="206"/>
      <c r="Q405" s="2226"/>
      <c r="R405" s="2185"/>
    </row>
    <row r="406" spans="1:18" ht="20.25">
      <c r="A406" s="207"/>
      <c r="B406" s="205"/>
      <c r="C406" s="205"/>
      <c r="D406" s="205"/>
      <c r="E406" s="208"/>
      <c r="F406" s="206"/>
      <c r="Q406" s="2226"/>
      <c r="R406" s="2185"/>
    </row>
    <row r="407" spans="1:18" ht="20.25">
      <c r="A407" s="207"/>
      <c r="B407" s="205"/>
      <c r="C407" s="205"/>
      <c r="D407" s="205"/>
      <c r="E407" s="208"/>
      <c r="F407" s="206"/>
      <c r="Q407" s="2226"/>
      <c r="R407" s="2185"/>
    </row>
    <row r="408" spans="1:18" ht="20.25">
      <c r="A408" s="207"/>
      <c r="B408" s="205"/>
      <c r="C408" s="205"/>
      <c r="D408" s="205"/>
      <c r="E408" s="208"/>
      <c r="F408" s="206"/>
      <c r="Q408" s="2226"/>
      <c r="R408" s="2185"/>
    </row>
    <row r="409" spans="1:18" ht="20.25">
      <c r="A409" s="207"/>
      <c r="B409" s="205"/>
      <c r="C409" s="205"/>
      <c r="D409" s="205"/>
      <c r="E409" s="208"/>
      <c r="F409" s="206"/>
      <c r="Q409" s="2226"/>
      <c r="R409" s="2185"/>
    </row>
    <row r="410" spans="1:18" ht="20.25">
      <c r="A410" s="207"/>
      <c r="B410" s="205"/>
      <c r="C410" s="205"/>
      <c r="D410" s="205"/>
      <c r="E410" s="208"/>
      <c r="F410" s="206"/>
      <c r="Q410" s="2226"/>
      <c r="R410" s="2185"/>
    </row>
    <row r="411" spans="1:18" ht="20.25">
      <c r="A411" s="207"/>
      <c r="B411" s="205"/>
      <c r="C411" s="205"/>
      <c r="D411" s="205"/>
      <c r="E411" s="208"/>
      <c r="F411" s="206"/>
      <c r="Q411" s="2226"/>
      <c r="R411" s="2185"/>
    </row>
    <row r="412" spans="1:18" ht="20.25">
      <c r="A412" s="207"/>
      <c r="B412" s="205"/>
      <c r="C412" s="205"/>
      <c r="D412" s="205"/>
      <c r="E412" s="208"/>
      <c r="F412" s="206"/>
      <c r="Q412" s="2226"/>
      <c r="R412" s="2185"/>
    </row>
    <row r="413" spans="1:18" ht="20.25">
      <c r="A413" s="207"/>
      <c r="B413" s="205"/>
      <c r="C413" s="205"/>
      <c r="D413" s="205"/>
      <c r="E413" s="208"/>
      <c r="F413" s="206"/>
      <c r="Q413" s="2226"/>
      <c r="R413" s="2185"/>
    </row>
    <row r="414" spans="1:18" ht="20.25">
      <c r="A414" s="207"/>
      <c r="B414" s="205"/>
      <c r="C414" s="205"/>
      <c r="D414" s="205"/>
      <c r="E414" s="208"/>
      <c r="F414" s="206"/>
      <c r="Q414" s="2226"/>
      <c r="R414" s="2185"/>
    </row>
    <row r="415" spans="1:18" ht="20.25">
      <c r="A415" s="207"/>
      <c r="B415" s="205"/>
      <c r="C415" s="205"/>
      <c r="D415" s="205"/>
      <c r="E415" s="208"/>
      <c r="F415" s="206"/>
      <c r="Q415" s="2226"/>
      <c r="R415" s="2185"/>
    </row>
    <row r="416" spans="1:18" ht="20.25">
      <c r="A416" s="207"/>
      <c r="B416" s="205"/>
      <c r="C416" s="205"/>
      <c r="D416" s="205"/>
      <c r="E416" s="208"/>
      <c r="F416" s="206"/>
      <c r="Q416" s="2226"/>
      <c r="R416" s="2185"/>
    </row>
    <row r="417" spans="1:18" ht="20.25">
      <c r="A417" s="207"/>
      <c r="B417" s="205"/>
      <c r="C417" s="205"/>
      <c r="D417" s="205"/>
      <c r="E417" s="208"/>
      <c r="F417" s="206"/>
      <c r="Q417" s="2226"/>
      <c r="R417" s="2185"/>
    </row>
    <row r="418" spans="1:18" ht="20.25">
      <c r="A418" s="207"/>
      <c r="B418" s="205"/>
      <c r="C418" s="205"/>
      <c r="D418" s="205"/>
      <c r="E418" s="208"/>
      <c r="F418" s="206"/>
      <c r="Q418" s="2226"/>
      <c r="R418" s="2185"/>
    </row>
    <row r="419" spans="1:18" ht="20.25">
      <c r="A419" s="207"/>
      <c r="B419" s="205"/>
      <c r="C419" s="205"/>
      <c r="D419" s="205"/>
      <c r="E419" s="208"/>
      <c r="F419" s="206"/>
      <c r="Q419" s="2226"/>
      <c r="R419" s="2185"/>
    </row>
    <row r="420" spans="1:18" ht="20.25">
      <c r="A420" s="207"/>
      <c r="B420" s="205"/>
      <c r="C420" s="205"/>
      <c r="D420" s="205"/>
      <c r="E420" s="208"/>
      <c r="F420" s="206"/>
      <c r="Q420" s="2226"/>
      <c r="R420" s="2185"/>
    </row>
    <row r="421" spans="1:18" ht="20.25">
      <c r="A421" s="207"/>
      <c r="B421" s="205"/>
      <c r="C421" s="205"/>
      <c r="D421" s="205"/>
      <c r="E421" s="208"/>
      <c r="F421" s="206"/>
      <c r="Q421" s="2226"/>
      <c r="R421" s="2185"/>
    </row>
    <row r="422" spans="1:18" ht="20.25">
      <c r="A422" s="207"/>
      <c r="B422" s="205"/>
      <c r="C422" s="205"/>
      <c r="D422" s="205"/>
      <c r="E422" s="208"/>
      <c r="F422" s="206"/>
      <c r="Q422" s="2226"/>
      <c r="R422" s="2185"/>
    </row>
    <row r="423" spans="1:18" ht="20.25">
      <c r="A423" s="207"/>
      <c r="B423" s="205"/>
      <c r="C423" s="205"/>
      <c r="D423" s="205"/>
      <c r="E423" s="208"/>
      <c r="F423" s="206"/>
      <c r="Q423" s="2226"/>
      <c r="R423" s="2185"/>
    </row>
    <row r="424" spans="1:18" ht="20.25">
      <c r="A424" s="207"/>
      <c r="B424" s="205"/>
      <c r="C424" s="205"/>
      <c r="D424" s="205"/>
      <c r="E424" s="208"/>
      <c r="F424" s="206"/>
      <c r="Q424" s="2226"/>
      <c r="R424" s="2185"/>
    </row>
    <row r="425" spans="1:18" ht="20.25">
      <c r="A425" s="207"/>
      <c r="B425" s="205"/>
      <c r="C425" s="205"/>
      <c r="D425" s="205"/>
      <c r="E425" s="208"/>
      <c r="F425" s="206"/>
      <c r="Q425" s="2226"/>
      <c r="R425" s="2185"/>
    </row>
    <row r="426" spans="1:18" ht="20.25">
      <c r="A426" s="207"/>
      <c r="B426" s="205"/>
      <c r="C426" s="205"/>
      <c r="D426" s="205"/>
      <c r="E426" s="208"/>
      <c r="F426" s="206"/>
      <c r="Q426" s="2226"/>
      <c r="R426" s="2185"/>
    </row>
    <row r="427" spans="1:18" ht="20.25">
      <c r="A427" s="207"/>
      <c r="B427" s="205"/>
      <c r="C427" s="205"/>
      <c r="D427" s="205"/>
      <c r="E427" s="208"/>
      <c r="F427" s="206"/>
      <c r="Q427" s="2226"/>
      <c r="R427" s="2185"/>
    </row>
    <row r="428" spans="1:18" ht="20.25">
      <c r="A428" s="207"/>
      <c r="B428" s="205"/>
      <c r="C428" s="205"/>
      <c r="D428" s="205"/>
      <c r="E428" s="208"/>
      <c r="F428" s="206"/>
      <c r="Q428" s="2226"/>
      <c r="R428" s="2185"/>
    </row>
    <row r="429" spans="1:18" ht="20.25">
      <c r="A429" s="207"/>
      <c r="B429" s="205"/>
      <c r="C429" s="205"/>
      <c r="D429" s="205"/>
      <c r="E429" s="208"/>
      <c r="F429" s="206"/>
      <c r="Q429" s="2226"/>
      <c r="R429" s="2185"/>
    </row>
    <row r="430" spans="1:18" ht="20.25">
      <c r="A430" s="207"/>
      <c r="B430" s="205"/>
      <c r="C430" s="205"/>
      <c r="D430" s="205"/>
      <c r="E430" s="208"/>
      <c r="F430" s="206"/>
      <c r="Q430" s="2226"/>
      <c r="R430" s="2185"/>
    </row>
    <row r="431" spans="1:18" ht="20.25">
      <c r="A431" s="207"/>
      <c r="B431" s="205"/>
      <c r="C431" s="205"/>
      <c r="D431" s="205"/>
      <c r="E431" s="208"/>
      <c r="F431" s="206"/>
      <c r="Q431" s="2226"/>
      <c r="R431" s="2185"/>
    </row>
    <row r="432" spans="1:18" ht="20.25">
      <c r="A432" s="207"/>
      <c r="B432" s="205"/>
      <c r="C432" s="205"/>
      <c r="D432" s="205"/>
      <c r="E432" s="208"/>
      <c r="F432" s="206"/>
      <c r="Q432" s="2226"/>
      <c r="R432" s="2185"/>
    </row>
    <row r="433" spans="1:18" ht="20.25">
      <c r="A433" s="207"/>
      <c r="B433" s="205"/>
      <c r="C433" s="205"/>
      <c r="D433" s="205"/>
      <c r="E433" s="208"/>
      <c r="F433" s="206"/>
      <c r="Q433" s="2226"/>
      <c r="R433" s="2185"/>
    </row>
    <row r="434" spans="1:18" ht="20.25">
      <c r="A434" s="207"/>
      <c r="B434" s="205"/>
      <c r="C434" s="205"/>
      <c r="D434" s="205"/>
      <c r="E434" s="208"/>
      <c r="F434" s="206"/>
      <c r="Q434" s="2226"/>
      <c r="R434" s="2185"/>
    </row>
    <row r="435" spans="1:18" ht="20.25">
      <c r="A435" s="207"/>
      <c r="B435" s="205"/>
      <c r="C435" s="205"/>
      <c r="D435" s="205"/>
      <c r="E435" s="208"/>
      <c r="F435" s="206"/>
      <c r="Q435" s="2226"/>
      <c r="R435" s="2185"/>
    </row>
    <row r="436" spans="1:18" ht="20.25">
      <c r="A436" s="207"/>
      <c r="B436" s="205"/>
      <c r="C436" s="205"/>
      <c r="D436" s="205"/>
      <c r="E436" s="208"/>
      <c r="F436" s="206"/>
      <c r="Q436" s="2226"/>
      <c r="R436" s="2185"/>
    </row>
    <row r="437" spans="1:18" ht="20.25">
      <c r="A437" s="207"/>
      <c r="B437" s="205"/>
      <c r="C437" s="205"/>
      <c r="D437" s="205"/>
      <c r="E437" s="208"/>
      <c r="F437" s="206"/>
      <c r="Q437" s="2226"/>
      <c r="R437" s="2185"/>
    </row>
    <row r="438" spans="1:18" ht="20.25">
      <c r="A438" s="207"/>
      <c r="B438" s="205"/>
      <c r="C438" s="205"/>
      <c r="D438" s="205"/>
      <c r="E438" s="208"/>
      <c r="F438" s="206"/>
      <c r="Q438" s="2226"/>
      <c r="R438" s="2185"/>
    </row>
    <row r="439" spans="1:18" ht="20.25">
      <c r="A439" s="207"/>
      <c r="B439" s="205"/>
      <c r="C439" s="205"/>
      <c r="D439" s="205"/>
      <c r="E439" s="208"/>
      <c r="F439" s="206"/>
      <c r="Q439" s="2226"/>
      <c r="R439" s="2185"/>
    </row>
    <row r="440" spans="1:18" ht="20.25">
      <c r="A440" s="207"/>
      <c r="B440" s="205"/>
      <c r="C440" s="205"/>
      <c r="D440" s="205"/>
      <c r="E440" s="208"/>
      <c r="F440" s="206"/>
      <c r="Q440" s="2226"/>
      <c r="R440" s="2185"/>
    </row>
    <row r="441" spans="1:18" ht="20.25">
      <c r="A441" s="207"/>
      <c r="B441" s="205"/>
      <c r="C441" s="205"/>
      <c r="D441" s="205"/>
      <c r="E441" s="208"/>
      <c r="F441" s="206"/>
      <c r="Q441" s="2226"/>
      <c r="R441" s="2185"/>
    </row>
    <row r="442" spans="1:18" ht="20.25">
      <c r="A442" s="207"/>
      <c r="B442" s="205"/>
      <c r="C442" s="205"/>
      <c r="D442" s="205"/>
      <c r="E442" s="208"/>
      <c r="F442" s="206"/>
      <c r="Q442" s="2226"/>
      <c r="R442" s="2185"/>
    </row>
    <row r="443" spans="1:18" ht="20.25">
      <c r="A443" s="207"/>
      <c r="B443" s="205"/>
      <c r="C443" s="205"/>
      <c r="D443" s="205"/>
      <c r="E443" s="208"/>
      <c r="F443" s="206"/>
      <c r="Q443" s="2226"/>
      <c r="R443" s="2185"/>
    </row>
    <row r="444" spans="1:18" ht="20.25">
      <c r="A444" s="207"/>
      <c r="B444" s="205"/>
      <c r="C444" s="205"/>
      <c r="D444" s="205"/>
      <c r="E444" s="208"/>
      <c r="F444" s="206"/>
      <c r="Q444" s="2226"/>
      <c r="R444" s="2185"/>
    </row>
    <row r="445" spans="1:18" ht="20.25">
      <c r="A445" s="207"/>
      <c r="B445" s="205"/>
      <c r="C445" s="205"/>
      <c r="D445" s="205"/>
      <c r="E445" s="208"/>
      <c r="F445" s="206"/>
      <c r="Q445" s="2226"/>
      <c r="R445" s="2185"/>
    </row>
    <row r="446" spans="1:18" ht="20.25">
      <c r="A446" s="207"/>
      <c r="B446" s="205"/>
      <c r="C446" s="205"/>
      <c r="D446" s="205"/>
      <c r="E446" s="208"/>
      <c r="F446" s="206"/>
      <c r="Q446" s="2226"/>
      <c r="R446" s="2185"/>
    </row>
    <row r="447" spans="1:18" ht="20.25">
      <c r="A447" s="207"/>
      <c r="B447" s="205"/>
      <c r="C447" s="205"/>
      <c r="D447" s="205"/>
      <c r="E447" s="208"/>
      <c r="F447" s="206"/>
      <c r="Q447" s="2226"/>
      <c r="R447" s="2185"/>
    </row>
    <row r="448" spans="1:18" ht="20.25">
      <c r="A448" s="207"/>
      <c r="B448" s="205"/>
      <c r="C448" s="205"/>
      <c r="D448" s="205"/>
      <c r="E448" s="208"/>
      <c r="F448" s="206"/>
      <c r="Q448" s="2226"/>
      <c r="R448" s="2185"/>
    </row>
    <row r="449" spans="1:18" ht="20.25">
      <c r="A449" s="207"/>
      <c r="B449" s="205"/>
      <c r="C449" s="205"/>
      <c r="D449" s="205"/>
      <c r="E449" s="208"/>
      <c r="F449" s="206"/>
      <c r="Q449" s="2226"/>
      <c r="R449" s="2185"/>
    </row>
    <row r="450" spans="1:18" ht="20.25">
      <c r="A450" s="207"/>
      <c r="B450" s="205"/>
      <c r="C450" s="205"/>
      <c r="D450" s="205"/>
      <c r="E450" s="208"/>
      <c r="F450" s="206"/>
      <c r="Q450" s="2226"/>
      <c r="R450" s="2185"/>
    </row>
    <row r="451" spans="1:18" ht="20.25">
      <c r="A451" s="207"/>
      <c r="B451" s="205"/>
      <c r="C451" s="205"/>
      <c r="D451" s="205"/>
      <c r="E451" s="208"/>
      <c r="F451" s="206"/>
      <c r="Q451" s="2226"/>
      <c r="R451" s="2185"/>
    </row>
    <row r="452" spans="1:18" ht="20.25">
      <c r="A452" s="207"/>
      <c r="B452" s="205"/>
      <c r="C452" s="205"/>
      <c r="D452" s="205"/>
      <c r="E452" s="208"/>
      <c r="F452" s="206"/>
      <c r="Q452" s="2226"/>
      <c r="R452" s="2185"/>
    </row>
    <row r="453" spans="1:18" ht="20.25">
      <c r="A453" s="207"/>
      <c r="B453" s="205"/>
      <c r="C453" s="205"/>
      <c r="D453" s="205"/>
      <c r="E453" s="208"/>
      <c r="F453" s="206"/>
      <c r="Q453" s="2226"/>
      <c r="R453" s="2185"/>
    </row>
    <row r="454" spans="1:18" ht="20.25">
      <c r="A454" s="207"/>
      <c r="B454" s="205"/>
      <c r="C454" s="205"/>
      <c r="D454" s="205"/>
      <c r="E454" s="208"/>
      <c r="F454" s="206"/>
      <c r="Q454" s="2226"/>
      <c r="R454" s="2185"/>
    </row>
    <row r="455" spans="1:18" ht="20.25">
      <c r="A455" s="207"/>
      <c r="B455" s="205"/>
      <c r="C455" s="205"/>
      <c r="D455" s="205"/>
      <c r="E455" s="208"/>
      <c r="F455" s="206"/>
      <c r="Q455" s="2226"/>
      <c r="R455" s="2185"/>
    </row>
    <row r="456" spans="1:18" ht="20.25">
      <c r="A456" s="207"/>
      <c r="B456" s="205"/>
      <c r="C456" s="205"/>
      <c r="D456" s="205"/>
      <c r="E456" s="208"/>
      <c r="F456" s="206"/>
      <c r="Q456" s="2226"/>
      <c r="R456" s="2185"/>
    </row>
    <row r="457" spans="1:18" ht="20.25">
      <c r="A457" s="207"/>
      <c r="B457" s="205"/>
      <c r="C457" s="205"/>
      <c r="D457" s="205"/>
      <c r="E457" s="208"/>
      <c r="F457" s="206"/>
      <c r="Q457" s="2226"/>
      <c r="R457" s="2185"/>
    </row>
    <row r="458" spans="1:18" ht="20.25">
      <c r="A458" s="207"/>
      <c r="B458" s="205"/>
      <c r="C458" s="205"/>
      <c r="D458" s="205"/>
      <c r="E458" s="208"/>
      <c r="F458" s="206"/>
      <c r="Q458" s="2226"/>
      <c r="R458" s="2185"/>
    </row>
    <row r="459" spans="1:18" ht="20.25">
      <c r="A459" s="207"/>
      <c r="B459" s="205"/>
      <c r="C459" s="205"/>
      <c r="D459" s="205"/>
      <c r="E459" s="208"/>
      <c r="F459" s="206"/>
      <c r="Q459" s="2226"/>
      <c r="R459" s="2185"/>
    </row>
    <row r="460" spans="1:18" ht="20.25">
      <c r="A460" s="207"/>
      <c r="B460" s="205"/>
      <c r="C460" s="205"/>
      <c r="D460" s="205"/>
      <c r="E460" s="208"/>
      <c r="F460" s="206"/>
      <c r="Q460" s="2226"/>
      <c r="R460" s="2185"/>
    </row>
    <row r="461" spans="1:18" ht="20.25">
      <c r="A461" s="207"/>
      <c r="B461" s="205"/>
      <c r="C461" s="205"/>
      <c r="D461" s="205"/>
      <c r="E461" s="208"/>
      <c r="F461" s="206"/>
      <c r="Q461" s="2226"/>
      <c r="R461" s="2185"/>
    </row>
    <row r="462" spans="1:18" ht="20.25">
      <c r="A462" s="207"/>
      <c r="B462" s="205"/>
      <c r="C462" s="205"/>
      <c r="D462" s="205"/>
      <c r="E462" s="208"/>
      <c r="F462" s="206"/>
      <c r="Q462" s="2226"/>
      <c r="R462" s="2185"/>
    </row>
    <row r="463" spans="1:18" ht="20.25">
      <c r="A463" s="207"/>
      <c r="B463" s="205"/>
      <c r="C463" s="205"/>
      <c r="D463" s="205"/>
      <c r="E463" s="208"/>
      <c r="F463" s="206"/>
      <c r="Q463" s="2226"/>
      <c r="R463" s="2185"/>
    </row>
    <row r="464" spans="1:18" ht="20.25">
      <c r="A464" s="207"/>
      <c r="B464" s="205"/>
      <c r="C464" s="205"/>
      <c r="D464" s="205"/>
      <c r="E464" s="208"/>
      <c r="F464" s="206"/>
      <c r="Q464" s="2226"/>
      <c r="R464" s="2185"/>
    </row>
    <row r="465" spans="1:18" ht="20.25">
      <c r="A465" s="207"/>
      <c r="B465" s="205"/>
      <c r="C465" s="205"/>
      <c r="D465" s="205"/>
      <c r="E465" s="208"/>
      <c r="F465" s="206"/>
      <c r="Q465" s="2226"/>
      <c r="R465" s="2185"/>
    </row>
    <row r="466" spans="1:18" ht="20.25">
      <c r="A466" s="207"/>
      <c r="B466" s="205"/>
      <c r="C466" s="205"/>
      <c r="D466" s="205"/>
      <c r="E466" s="208"/>
      <c r="F466" s="206"/>
      <c r="Q466" s="2226"/>
      <c r="R466" s="2185"/>
    </row>
    <row r="467" spans="1:18" ht="20.25">
      <c r="A467" s="207"/>
      <c r="B467" s="205"/>
      <c r="C467" s="205"/>
      <c r="D467" s="205"/>
      <c r="E467" s="208"/>
      <c r="F467" s="206"/>
      <c r="Q467" s="2226"/>
      <c r="R467" s="2185"/>
    </row>
    <row r="468" spans="1:18" ht="20.25">
      <c r="A468" s="207"/>
      <c r="B468" s="205"/>
      <c r="C468" s="205"/>
      <c r="D468" s="205"/>
      <c r="E468" s="208"/>
      <c r="F468" s="206"/>
      <c r="Q468" s="2226"/>
      <c r="R468" s="2185"/>
    </row>
    <row r="469" spans="1:18" ht="20.25">
      <c r="A469" s="207"/>
      <c r="B469" s="205"/>
      <c r="C469" s="205"/>
      <c r="D469" s="205"/>
      <c r="E469" s="208"/>
      <c r="F469" s="206"/>
      <c r="Q469" s="2226"/>
      <c r="R469" s="2185"/>
    </row>
    <row r="470" spans="1:18" ht="20.25">
      <c r="A470" s="207"/>
      <c r="B470" s="205"/>
      <c r="C470" s="205"/>
      <c r="D470" s="205"/>
      <c r="E470" s="208"/>
      <c r="F470" s="206"/>
      <c r="Q470" s="2226"/>
      <c r="R470" s="2185"/>
    </row>
    <row r="471" spans="1:18" ht="20.25">
      <c r="A471" s="207"/>
      <c r="B471" s="205"/>
      <c r="C471" s="205"/>
      <c r="D471" s="205"/>
      <c r="E471" s="208"/>
      <c r="F471" s="206"/>
      <c r="Q471" s="2226"/>
      <c r="R471" s="2185"/>
    </row>
    <row r="472" spans="1:18" ht="20.25">
      <c r="A472" s="207"/>
      <c r="B472" s="205"/>
      <c r="C472" s="205"/>
      <c r="D472" s="205"/>
      <c r="E472" s="208"/>
      <c r="F472" s="206"/>
      <c r="Q472" s="2226"/>
      <c r="R472" s="2185"/>
    </row>
    <row r="473" spans="1:18" ht="20.25">
      <c r="A473" s="207"/>
      <c r="B473" s="205"/>
      <c r="C473" s="205"/>
      <c r="D473" s="205"/>
      <c r="E473" s="208"/>
      <c r="F473" s="206"/>
      <c r="Q473" s="2226"/>
      <c r="R473" s="2185"/>
    </row>
    <row r="474" spans="1:18" ht="20.25">
      <c r="A474" s="207"/>
      <c r="B474" s="205"/>
      <c r="C474" s="205"/>
      <c r="D474" s="205"/>
      <c r="E474" s="208"/>
      <c r="F474" s="206"/>
      <c r="Q474" s="2226"/>
      <c r="R474" s="2224"/>
    </row>
    <row r="475" spans="1:18" ht="20.25">
      <c r="A475" s="207"/>
      <c r="B475" s="205"/>
      <c r="C475" s="205"/>
      <c r="D475" s="205"/>
      <c r="E475" s="208"/>
      <c r="F475" s="206"/>
      <c r="Q475" s="2226"/>
      <c r="R475" s="2224"/>
    </row>
    <row r="476" spans="1:18" ht="20.25">
      <c r="A476" s="207"/>
      <c r="B476" s="205"/>
      <c r="C476" s="205"/>
      <c r="D476" s="205"/>
      <c r="E476" s="208"/>
      <c r="F476" s="206"/>
      <c r="Q476" s="2226"/>
      <c r="R476" s="2224"/>
    </row>
    <row r="477" spans="1:18" ht="20.25">
      <c r="A477" s="207"/>
      <c r="B477" s="205"/>
      <c r="C477" s="205"/>
      <c r="D477" s="205"/>
      <c r="E477" s="208"/>
      <c r="F477" s="206"/>
      <c r="Q477" s="2226"/>
      <c r="R477" s="2224"/>
    </row>
    <row r="478" spans="1:18" ht="20.25">
      <c r="A478" s="207"/>
      <c r="B478" s="205"/>
      <c r="C478" s="205"/>
      <c r="D478" s="205"/>
      <c r="E478" s="208"/>
      <c r="F478" s="206"/>
      <c r="Q478" s="2226"/>
      <c r="R478" s="2224"/>
    </row>
    <row r="479" spans="1:18" ht="20.25">
      <c r="A479" s="207"/>
      <c r="B479" s="205"/>
      <c r="C479" s="205"/>
      <c r="D479" s="205"/>
      <c r="E479" s="208"/>
      <c r="F479" s="206"/>
      <c r="Q479" s="2226"/>
      <c r="R479" s="2224"/>
    </row>
    <row r="480" spans="1:18" ht="20.25">
      <c r="A480" s="207"/>
      <c r="B480" s="205"/>
      <c r="C480" s="205"/>
      <c r="D480" s="205"/>
      <c r="E480" s="208"/>
      <c r="F480" s="206"/>
      <c r="Q480" s="2226"/>
      <c r="R480" s="2224"/>
    </row>
    <row r="481" spans="1:18" ht="20.25">
      <c r="A481" s="207"/>
      <c r="B481" s="205"/>
      <c r="C481" s="205"/>
      <c r="D481" s="205"/>
      <c r="E481" s="208"/>
      <c r="F481" s="206"/>
      <c r="Q481" s="2226"/>
      <c r="R481" s="2224"/>
    </row>
    <row r="482" spans="1:18" ht="20.25">
      <c r="A482" s="207"/>
      <c r="B482" s="205"/>
      <c r="C482" s="205"/>
      <c r="D482" s="205"/>
      <c r="E482" s="208"/>
      <c r="F482" s="206"/>
      <c r="Q482" s="2226"/>
      <c r="R482" s="2224"/>
    </row>
    <row r="483" spans="1:18" ht="20.25">
      <c r="A483" s="207"/>
      <c r="B483" s="205"/>
      <c r="C483" s="205"/>
      <c r="D483" s="205"/>
      <c r="E483" s="208"/>
      <c r="F483" s="206"/>
      <c r="Q483" s="2226"/>
      <c r="R483" s="2224"/>
    </row>
    <row r="484" spans="1:18" ht="20.25">
      <c r="A484" s="207"/>
      <c r="B484" s="205"/>
      <c r="C484" s="205"/>
      <c r="D484" s="205"/>
      <c r="E484" s="208"/>
      <c r="F484" s="206"/>
      <c r="Q484" s="2226"/>
      <c r="R484" s="2224"/>
    </row>
    <row r="485" spans="1:18" ht="20.25">
      <c r="A485" s="207"/>
      <c r="B485" s="205"/>
      <c r="C485" s="205"/>
      <c r="D485" s="205"/>
      <c r="E485" s="208"/>
      <c r="F485" s="206"/>
      <c r="Q485" s="2226"/>
      <c r="R485" s="2224"/>
    </row>
    <row r="486" spans="1:18" ht="20.25">
      <c r="A486" s="207"/>
      <c r="B486" s="205"/>
      <c r="C486" s="205"/>
      <c r="D486" s="205"/>
      <c r="E486" s="208"/>
      <c r="F486" s="206"/>
      <c r="Q486" s="2226"/>
      <c r="R486" s="2224"/>
    </row>
    <row r="487" spans="1:18" ht="20.25">
      <c r="A487" s="207"/>
      <c r="B487" s="205"/>
      <c r="C487" s="205"/>
      <c r="D487" s="205"/>
      <c r="E487" s="208"/>
      <c r="F487" s="206"/>
      <c r="Q487" s="2226"/>
      <c r="R487" s="2224"/>
    </row>
    <row r="488" spans="1:18" ht="20.25">
      <c r="A488" s="207"/>
      <c r="B488" s="205"/>
      <c r="C488" s="205"/>
      <c r="D488" s="205"/>
      <c r="E488" s="208"/>
      <c r="F488" s="206"/>
      <c r="Q488" s="2226"/>
      <c r="R488" s="2224"/>
    </row>
    <row r="489" spans="1:18" ht="20.25">
      <c r="A489" s="207"/>
      <c r="B489" s="205"/>
      <c r="C489" s="205"/>
      <c r="D489" s="205"/>
      <c r="E489" s="208"/>
      <c r="F489" s="206"/>
      <c r="Q489" s="2226"/>
      <c r="R489" s="2224"/>
    </row>
    <row r="490" spans="1:18" ht="20.25">
      <c r="A490" s="207"/>
      <c r="B490" s="205"/>
      <c r="C490" s="205"/>
      <c r="D490" s="205"/>
      <c r="E490" s="208"/>
      <c r="F490" s="206"/>
      <c r="Q490" s="2226"/>
      <c r="R490" s="2224"/>
    </row>
    <row r="491" spans="1:18" ht="20.25">
      <c r="A491" s="207"/>
      <c r="B491" s="205"/>
      <c r="C491" s="205"/>
      <c r="D491" s="205"/>
      <c r="E491" s="208"/>
      <c r="F491" s="206"/>
      <c r="Q491" s="2226"/>
      <c r="R491" s="2224"/>
    </row>
    <row r="492" spans="1:18" ht="20.25">
      <c r="A492" s="207"/>
      <c r="B492" s="205"/>
      <c r="C492" s="205"/>
      <c r="D492" s="205"/>
      <c r="E492" s="208"/>
      <c r="F492" s="206"/>
      <c r="Q492" s="2226"/>
      <c r="R492" s="2224"/>
    </row>
    <row r="493" spans="1:18" ht="20.25">
      <c r="A493" s="207"/>
      <c r="B493" s="205"/>
      <c r="C493" s="205"/>
      <c r="D493" s="205"/>
      <c r="E493" s="208"/>
      <c r="F493" s="206"/>
      <c r="Q493" s="2226"/>
      <c r="R493" s="2224"/>
    </row>
    <row r="494" spans="1:18" ht="20.25">
      <c r="A494" s="207"/>
      <c r="B494" s="205"/>
      <c r="C494" s="205"/>
      <c r="D494" s="205"/>
      <c r="E494" s="208"/>
      <c r="F494" s="206"/>
      <c r="Q494" s="2226"/>
      <c r="R494" s="2224"/>
    </row>
    <row r="495" spans="1:18" ht="20.25">
      <c r="A495" s="207"/>
      <c r="B495" s="205"/>
      <c r="C495" s="205"/>
      <c r="D495" s="205"/>
      <c r="E495" s="208"/>
      <c r="F495" s="206"/>
      <c r="Q495" s="2226"/>
      <c r="R495" s="2224"/>
    </row>
    <row r="496" spans="1:18" ht="20.25">
      <c r="A496" s="207"/>
      <c r="B496" s="205"/>
      <c r="C496" s="205"/>
      <c r="D496" s="205"/>
      <c r="E496" s="208"/>
      <c r="F496" s="206"/>
      <c r="Q496" s="2226"/>
      <c r="R496" s="2224"/>
    </row>
    <row r="497" spans="1:18" ht="20.25">
      <c r="A497" s="207"/>
      <c r="B497" s="205"/>
      <c r="C497" s="205"/>
      <c r="D497" s="205"/>
      <c r="E497" s="208"/>
      <c r="F497" s="206"/>
      <c r="Q497" s="2226"/>
      <c r="R497" s="2224"/>
    </row>
    <row r="498" spans="1:18" ht="20.25">
      <c r="A498" s="207"/>
      <c r="B498" s="205"/>
      <c r="C498" s="205"/>
      <c r="D498" s="205"/>
      <c r="E498" s="208"/>
      <c r="F498" s="206"/>
      <c r="Q498" s="2226"/>
      <c r="R498" s="2224"/>
    </row>
    <row r="499" spans="1:18" ht="20.25">
      <c r="A499" s="207"/>
      <c r="B499" s="205"/>
      <c r="C499" s="205"/>
      <c r="D499" s="205"/>
      <c r="E499" s="208"/>
      <c r="F499" s="206"/>
      <c r="Q499" s="2226"/>
      <c r="R499" s="2224"/>
    </row>
    <row r="500" spans="1:18" ht="20.25">
      <c r="A500" s="207"/>
      <c r="B500" s="205"/>
      <c r="C500" s="205"/>
      <c r="D500" s="205"/>
      <c r="E500" s="208"/>
      <c r="F500" s="206"/>
      <c r="Q500" s="2226"/>
      <c r="R500" s="2224"/>
    </row>
    <row r="501" spans="1:18" ht="20.25">
      <c r="A501" s="207"/>
      <c r="B501" s="205"/>
      <c r="C501" s="205"/>
      <c r="D501" s="205"/>
      <c r="E501" s="208"/>
      <c r="F501" s="206"/>
      <c r="Q501" s="2226"/>
      <c r="R501" s="2224"/>
    </row>
    <row r="502" spans="1:18" ht="20.25">
      <c r="A502" s="207"/>
      <c r="B502" s="205"/>
      <c r="C502" s="205"/>
      <c r="D502" s="205"/>
      <c r="E502" s="208"/>
      <c r="F502" s="206"/>
      <c r="Q502" s="2226"/>
      <c r="R502" s="2224"/>
    </row>
    <row r="503" spans="1:18" ht="20.25">
      <c r="A503" s="207"/>
      <c r="B503" s="205"/>
      <c r="C503" s="205"/>
      <c r="D503" s="205"/>
      <c r="E503" s="208"/>
      <c r="F503" s="206"/>
      <c r="Q503" s="2226"/>
      <c r="R503" s="2224"/>
    </row>
    <row r="504" spans="1:18" ht="20.25">
      <c r="A504" s="207"/>
      <c r="B504" s="205"/>
      <c r="C504" s="205"/>
      <c r="D504" s="205"/>
      <c r="E504" s="208"/>
      <c r="F504" s="206"/>
      <c r="Q504" s="2226"/>
      <c r="R504" s="2224"/>
    </row>
    <row r="505" spans="1:18" ht="20.25">
      <c r="A505" s="207"/>
      <c r="B505" s="205"/>
      <c r="C505" s="205"/>
      <c r="D505" s="205"/>
      <c r="E505" s="208"/>
      <c r="F505" s="206"/>
      <c r="Q505" s="2226"/>
      <c r="R505" s="2224"/>
    </row>
    <row r="506" spans="1:18" ht="20.25">
      <c r="A506" s="207"/>
      <c r="B506" s="205"/>
      <c r="C506" s="205"/>
      <c r="D506" s="205"/>
      <c r="E506" s="208"/>
      <c r="F506" s="206"/>
      <c r="Q506" s="2226"/>
      <c r="R506" s="2224"/>
    </row>
    <row r="507" spans="1:18" ht="20.25">
      <c r="A507" s="207"/>
      <c r="B507" s="205"/>
      <c r="C507" s="205"/>
      <c r="D507" s="205"/>
      <c r="E507" s="208"/>
      <c r="F507" s="206"/>
      <c r="Q507" s="2226"/>
      <c r="R507" s="2224"/>
    </row>
    <row r="508" spans="1:18" ht="20.25">
      <c r="A508" s="207"/>
      <c r="B508" s="205"/>
      <c r="C508" s="205"/>
      <c r="D508" s="205"/>
      <c r="E508" s="208"/>
      <c r="F508" s="206"/>
      <c r="Q508" s="2226"/>
      <c r="R508" s="2224"/>
    </row>
    <row r="509" spans="1:18" ht="20.25">
      <c r="A509" s="207"/>
      <c r="B509" s="205"/>
      <c r="C509" s="205"/>
      <c r="D509" s="205"/>
      <c r="E509" s="208"/>
      <c r="F509" s="206"/>
      <c r="Q509" s="2226"/>
      <c r="R509" s="2224"/>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1">
    <mergeCell ref="C327:H327"/>
    <mergeCell ref="C328:H328"/>
    <mergeCell ref="C329:H329"/>
    <mergeCell ref="C330:H330"/>
    <mergeCell ref="C325:H326"/>
    <mergeCell ref="C322:H323"/>
    <mergeCell ref="C324:H324"/>
    <mergeCell ref="E6:E7"/>
    <mergeCell ref="A6:D7"/>
    <mergeCell ref="F6:G7"/>
    <mergeCell ref="C311:H311"/>
  </mergeCells>
  <phoneticPr fontId="0" type="noConversion"/>
  <dataValidations count="1">
    <dataValidation type="list" allowBlank="1" showInputMessage="1" showErrorMessage="1" sqref="I8:L8 N8:Q8 H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4" max="8" man="1"/>
    <brk id="239" max="8" man="1"/>
    <brk id="293" max="8" man="1"/>
  </rowBreaks>
  <cellWatches>
    <cellWatch r="H293"/>
    <cellWatch r="H287"/>
    <cellWatch r="H290"/>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2613"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2614"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4" t="s">
        <v>957</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2" t="s">
        <v>139</v>
      </c>
      <c r="B7" s="742" t="s">
        <v>140</v>
      </c>
      <c r="C7" s="742" t="s">
        <v>141</v>
      </c>
      <c r="D7" s="743"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516</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517</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518</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519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1006</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520</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4" t="s">
        <v>958</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2" t="s">
        <v>139</v>
      </c>
      <c r="B21" s="742" t="s">
        <v>140</v>
      </c>
      <c r="C21" s="742" t="s">
        <v>141</v>
      </c>
      <c r="D21" s="743"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6" t="s">
        <v>1149</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691</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532</v>
      </c>
      <c r="F27" s="416" t="s">
        <v>114</v>
      </c>
      <c r="G27" s="416" t="s">
        <v>115</v>
      </c>
      <c r="H27" s="416" t="s">
        <v>116</v>
      </c>
      <c r="I27" s="416" t="s">
        <v>117</v>
      </c>
      <c r="J27" s="416" t="s">
        <v>118</v>
      </c>
      <c r="K27" s="416" t="s">
        <v>119</v>
      </c>
      <c r="L27" s="1619" t="s">
        <v>120</v>
      </c>
      <c r="N27" s="413" t="s">
        <v>121</v>
      </c>
      <c r="O27" s="283" t="s">
        <v>122</v>
      </c>
      <c r="P27" s="419" t="s">
        <v>123</v>
      </c>
      <c r="Q27" s="420" t="s">
        <v>126</v>
      </c>
      <c r="R27" s="1171" t="s">
        <v>66</v>
      </c>
      <c r="S27" s="1172"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7" t="str">
        <f>+C29</f>
        <v>Other Transmission PIS</v>
      </c>
      <c r="Q28" s="928">
        <f>+D29</f>
        <v>0</v>
      </c>
      <c r="R28" s="927" t="str">
        <f>+C29</f>
        <v>Other Transmission PIS</v>
      </c>
      <c r="S28" s="929">
        <f>+D29</f>
        <v>0</v>
      </c>
      <c r="T28" s="283"/>
      <c r="U28" s="417" t="str">
        <f>+N29</f>
        <v>Transmission CWIP</v>
      </c>
      <c r="V28" s="418" t="str">
        <f>+N29</f>
        <v>Transmission CWIP</v>
      </c>
      <c r="W28" s="283" t="s">
        <v>1005</v>
      </c>
      <c r="Y28" s="284"/>
      <c r="Z28" s="284"/>
      <c r="AA28" s="284"/>
      <c r="AB28" s="284"/>
      <c r="AC28" s="284"/>
      <c r="AD28" s="284"/>
      <c r="AE28" s="284"/>
      <c r="AF28" s="284"/>
      <c r="AG28" s="284"/>
      <c r="AH28" s="285"/>
    </row>
    <row r="29" spans="1:34" ht="13.5">
      <c r="A29" s="286"/>
      <c r="B29" s="284"/>
      <c r="C29" s="927" t="s">
        <v>429</v>
      </c>
      <c r="D29" s="928"/>
      <c r="E29" s="928" t="s">
        <v>362</v>
      </c>
      <c r="F29" s="928" t="s">
        <v>362</v>
      </c>
      <c r="G29" s="928" t="s">
        <v>362</v>
      </c>
      <c r="H29" s="928" t="s">
        <v>362</v>
      </c>
      <c r="I29" s="928" t="s">
        <v>362</v>
      </c>
      <c r="J29" s="928" t="s">
        <v>362</v>
      </c>
      <c r="K29" s="928" t="s">
        <v>362</v>
      </c>
      <c r="L29" s="930" t="s">
        <v>362</v>
      </c>
      <c r="N29" s="930" t="s">
        <v>346</v>
      </c>
      <c r="O29" s="283" t="s">
        <v>146</v>
      </c>
      <c r="P29" s="417" t="s">
        <v>553</v>
      </c>
      <c r="Q29" s="296" t="s">
        <v>552</v>
      </c>
      <c r="R29" s="1190" t="s">
        <v>1127</v>
      </c>
      <c r="S29" s="1191" t="s">
        <v>1128</v>
      </c>
      <c r="T29" s="283"/>
      <c r="U29" s="417" t="s">
        <v>551</v>
      </c>
      <c r="V29" s="1191" t="s">
        <v>1129</v>
      </c>
      <c r="Y29" s="284"/>
      <c r="Z29" s="284"/>
      <c r="AA29" s="284"/>
      <c r="AB29" s="284"/>
      <c r="AC29" s="284"/>
      <c r="AD29" s="284"/>
      <c r="AE29" s="284"/>
      <c r="AF29" s="284"/>
      <c r="AG29" s="284"/>
      <c r="AH29" s="285"/>
    </row>
    <row r="30" spans="1:34" ht="13.5">
      <c r="A30" s="286"/>
      <c r="B30" s="284"/>
      <c r="C30" s="927" t="s">
        <v>1589</v>
      </c>
      <c r="D30" s="928"/>
      <c r="E30" s="928" t="s">
        <v>543</v>
      </c>
      <c r="F30" s="928" t="s">
        <v>544</v>
      </c>
      <c r="G30" s="928" t="s">
        <v>545</v>
      </c>
      <c r="H30" s="928" t="s">
        <v>546</v>
      </c>
      <c r="I30" s="928" t="s">
        <v>547</v>
      </c>
      <c r="J30" s="928" t="s">
        <v>548</v>
      </c>
      <c r="K30" s="928" t="s">
        <v>549</v>
      </c>
      <c r="L30" s="930" t="s">
        <v>1374</v>
      </c>
      <c r="N30" s="930" t="s">
        <v>376</v>
      </c>
      <c r="O30" s="283"/>
      <c r="P30" s="927"/>
      <c r="Q30" s="928"/>
      <c r="R30" s="927"/>
      <c r="S30" s="929"/>
      <c r="T30" s="284"/>
      <c r="U30" s="927"/>
      <c r="V30" s="929"/>
      <c r="Y30" s="284"/>
      <c r="Z30" s="284"/>
      <c r="AA30" s="284"/>
      <c r="AB30" s="284"/>
      <c r="AC30" s="284"/>
      <c r="AD30" s="284"/>
      <c r="AE30" s="284"/>
      <c r="AF30" s="284"/>
      <c r="AG30" s="284"/>
      <c r="AH30" s="285"/>
    </row>
    <row r="31" spans="1:34" ht="27">
      <c r="A31" s="286"/>
      <c r="B31" s="741" t="s">
        <v>956</v>
      </c>
      <c r="C31" s="1170">
        <v>0</v>
      </c>
      <c r="D31" s="745">
        <v>0</v>
      </c>
      <c r="E31" s="745">
        <v>0</v>
      </c>
      <c r="F31" s="745">
        <v>0</v>
      </c>
      <c r="G31" s="745">
        <v>0</v>
      </c>
      <c r="H31" s="745">
        <v>0</v>
      </c>
      <c r="I31" s="745">
        <v>0</v>
      </c>
      <c r="J31" s="745">
        <v>0</v>
      </c>
      <c r="K31" s="745">
        <v>0</v>
      </c>
      <c r="L31" s="746">
        <f t="shared" ref="L31:L43" si="0">SUM(D31:K31)</f>
        <v>0</v>
      </c>
      <c r="N31" s="1606">
        <v>0</v>
      </c>
      <c r="O31" s="1117">
        <v>13</v>
      </c>
      <c r="P31" s="422">
        <f>+O31*C31</f>
        <v>0</v>
      </c>
      <c r="Q31" s="423">
        <f>+O31*L31</f>
        <v>0</v>
      </c>
      <c r="R31" s="1192">
        <f>P31/13</f>
        <v>0</v>
      </c>
      <c r="S31" s="1193">
        <f>Q31/13</f>
        <v>0</v>
      </c>
      <c r="T31" s="284"/>
      <c r="U31" s="422">
        <f>+O31*N31</f>
        <v>0</v>
      </c>
      <c r="V31" s="1193">
        <f>U31/13</f>
        <v>0</v>
      </c>
      <c r="Y31" s="284"/>
      <c r="Z31" s="284"/>
      <c r="AA31" s="284"/>
      <c r="AB31" s="284"/>
      <c r="AC31" s="284"/>
      <c r="AD31" s="284"/>
      <c r="AE31" s="284"/>
      <c r="AF31" s="284"/>
      <c r="AG31" s="284"/>
      <c r="AH31" s="285"/>
    </row>
    <row r="32" spans="1:34" ht="13.5">
      <c r="A32" s="286"/>
      <c r="B32" s="284" t="s">
        <v>147</v>
      </c>
      <c r="C32" s="1613">
        <f>IF(Toggle=Projection,'PIS projection'!C5-SUM(D32:K32),IF(Toggle=True_up,0,"Set Toggle!"))</f>
        <v>0</v>
      </c>
      <c r="D32" s="1581">
        <f>IF(Toggle=Projection,'PIS projection'!D25,IF(Toggle=True_up,0,"Set Toggle!"))</f>
        <v>0</v>
      </c>
      <c r="E32" s="1581">
        <f>IF(Toggle=Projection,'PIS projection'!E25,IF(Toggle=True_up,0,"Set Toggle!"))</f>
        <v>0</v>
      </c>
      <c r="F32" s="1581">
        <f>IF(Toggle=Projection,'PIS projection'!F25,IF(Toggle=True_up,0,"Set Toggle!"))</f>
        <v>0</v>
      </c>
      <c r="G32" s="1581">
        <f>IF(Toggle=Projection,'PIS projection'!G25,IF(Toggle=True_up,0,"Set Toggle!"))</f>
        <v>0</v>
      </c>
      <c r="H32" s="1581">
        <f>IF(Toggle=Projection,'PIS projection'!H25,IF(Toggle=True_up,0,"Set Toggle!"))</f>
        <v>0</v>
      </c>
      <c r="I32" s="1581">
        <f>IF(Toggle=Projection,'PIS projection'!I25,IF(Toggle=True_up,0,"Set Toggle!"))</f>
        <v>0</v>
      </c>
      <c r="J32" s="1581">
        <f>IF(Toggle=Projection,'PIS projection'!J25,IF(Toggle=True_up,0,"Set Toggle!"))</f>
        <v>0</v>
      </c>
      <c r="K32" s="1581">
        <f>IF(Toggle=Projection,'PIS projection'!K25,IF(Toggle=True_up,0,"Set Toggle!"))</f>
        <v>0</v>
      </c>
      <c r="L32" s="1599">
        <f t="shared" si="0"/>
        <v>0</v>
      </c>
      <c r="N32" s="746">
        <v>0</v>
      </c>
      <c r="O32" s="1117">
        <v>12</v>
      </c>
      <c r="P32" s="422">
        <f>+O32*C32</f>
        <v>0</v>
      </c>
      <c r="Q32" s="423">
        <f t="shared" ref="Q32:Q43" si="1">+O32*L32</f>
        <v>0</v>
      </c>
      <c r="R32" s="1192">
        <f>P32/13</f>
        <v>0</v>
      </c>
      <c r="S32" s="1193">
        <f>Q32/13</f>
        <v>0</v>
      </c>
      <c r="T32" s="284"/>
      <c r="U32" s="422">
        <f t="shared" ref="U32:U43" si="2">+O32*N32</f>
        <v>0</v>
      </c>
      <c r="V32" s="1193">
        <f t="shared" ref="V32:V43" si="3">U32/13</f>
        <v>0</v>
      </c>
      <c r="Y32" s="284"/>
      <c r="Z32" s="284"/>
      <c r="AA32" s="284"/>
      <c r="AB32" s="284"/>
      <c r="AC32" s="284"/>
      <c r="AD32" s="284"/>
      <c r="AE32" s="284"/>
      <c r="AF32" s="284"/>
      <c r="AG32" s="284"/>
      <c r="AH32" s="285"/>
    </row>
    <row r="33" spans="1:34" ht="13.5">
      <c r="A33" s="286"/>
      <c r="B33" s="284" t="s">
        <v>148</v>
      </c>
      <c r="C33" s="1098">
        <f>IF(Toggle=Projection,'PIS projection'!C6-SUM(D33:K33),IF(Toggle=True_up,0,"Set Toggle!"))</f>
        <v>0</v>
      </c>
      <c r="D33" s="1581">
        <f>IF(Toggle=Projection,'PIS projection'!D26,IF(Toggle=True_up,0,"Set Toggle!"))</f>
        <v>0</v>
      </c>
      <c r="E33" s="1581">
        <f>IF(Toggle=Projection,'PIS projection'!E26,IF(Toggle=True_up,0,"Set Toggle!"))</f>
        <v>0</v>
      </c>
      <c r="F33" s="1581">
        <f>IF(Toggle=Projection,'PIS projection'!F26,IF(Toggle=True_up,0,"Set Toggle!"))</f>
        <v>0</v>
      </c>
      <c r="G33" s="1581">
        <f>IF(Toggle=Projection,'PIS projection'!G26,IF(Toggle=True_up,0,"Set Toggle!"))</f>
        <v>0</v>
      </c>
      <c r="H33" s="1581">
        <f>IF(Toggle=Projection,'PIS projection'!H26,IF(Toggle=True_up,0,"Set Toggle!"))</f>
        <v>0</v>
      </c>
      <c r="I33" s="1581">
        <f>IF(Toggle=Projection,'PIS projection'!I26,IF(Toggle=True_up,0,"Set Toggle!"))</f>
        <v>0</v>
      </c>
      <c r="J33" s="1581">
        <f>IF(Toggle=Projection,'PIS projection'!J26,IF(Toggle=True_up,0,"Set Toggle!"))</f>
        <v>0</v>
      </c>
      <c r="K33" s="1581">
        <f>IF(Toggle=Projection,'PIS projection'!K26,IF(Toggle=True_up,0,"Set Toggle!"))</f>
        <v>0</v>
      </c>
      <c r="L33" s="1599">
        <f t="shared" si="0"/>
        <v>0</v>
      </c>
      <c r="N33" s="746">
        <v>0</v>
      </c>
      <c r="O33" s="931">
        <f t="shared" ref="O33:O43" si="4">+O32-1</f>
        <v>11</v>
      </c>
      <c r="P33" s="422">
        <f t="shared" ref="P33:P43" si="5">+O33*C33</f>
        <v>0</v>
      </c>
      <c r="Q33" s="423">
        <f t="shared" si="1"/>
        <v>0</v>
      </c>
      <c r="R33" s="1194">
        <f t="shared" ref="R33:R43" si="6">P33/13</f>
        <v>0</v>
      </c>
      <c r="S33" s="1193">
        <f t="shared" ref="S33:S43" si="7">Q33/13</f>
        <v>0</v>
      </c>
      <c r="T33" s="284"/>
      <c r="U33" s="422">
        <f t="shared" si="2"/>
        <v>0</v>
      </c>
      <c r="V33" s="1193">
        <f t="shared" si="3"/>
        <v>0</v>
      </c>
      <c r="Y33" s="284"/>
      <c r="Z33" s="284"/>
      <c r="AA33" s="284"/>
      <c r="AB33" s="284"/>
      <c r="AC33" s="284"/>
      <c r="AD33" s="284"/>
      <c r="AE33" s="284"/>
      <c r="AF33" s="284"/>
      <c r="AG33" s="284"/>
      <c r="AH33" s="285"/>
    </row>
    <row r="34" spans="1:34" ht="13.5">
      <c r="A34" s="286"/>
      <c r="B34" s="284" t="s">
        <v>149</v>
      </c>
      <c r="C34" s="1098">
        <f>IF(Toggle=Projection,'PIS projection'!C7-SUM(D34:K34),IF(Toggle=True_up,0,"Set Toggle!"))</f>
        <v>0</v>
      </c>
      <c r="D34" s="1581">
        <f>IF(Toggle=Projection,'PIS projection'!D27,IF(Toggle=True_up,0,"Set Toggle!"))</f>
        <v>0</v>
      </c>
      <c r="E34" s="1581">
        <f>IF(Toggle=Projection,'PIS projection'!E27,IF(Toggle=True_up,0,"Set Toggle!"))</f>
        <v>0</v>
      </c>
      <c r="F34" s="1581">
        <f>IF(Toggle=Projection,'PIS projection'!F27,IF(Toggle=True_up,0,"Set Toggle!"))</f>
        <v>0</v>
      </c>
      <c r="G34" s="1581">
        <f>IF(Toggle=Projection,'PIS projection'!G27,IF(Toggle=True_up,0,"Set Toggle!"))</f>
        <v>0</v>
      </c>
      <c r="H34" s="1581">
        <f>IF(Toggle=Projection,'PIS projection'!H27,IF(Toggle=True_up,0,"Set Toggle!"))</f>
        <v>0</v>
      </c>
      <c r="I34" s="1581">
        <f>IF(Toggle=Projection,'PIS projection'!I27,IF(Toggle=True_up,0,"Set Toggle!"))</f>
        <v>0</v>
      </c>
      <c r="J34" s="1581">
        <f>IF(Toggle=Projection,'PIS projection'!J27,IF(Toggle=True_up,0,"Set Toggle!"))</f>
        <v>0</v>
      </c>
      <c r="K34" s="1581">
        <f>IF(Toggle=Projection,'PIS projection'!K27,IF(Toggle=True_up,0,"Set Toggle!"))</f>
        <v>0</v>
      </c>
      <c r="L34" s="1599">
        <f t="shared" si="0"/>
        <v>0</v>
      </c>
      <c r="N34" s="746">
        <v>0</v>
      </c>
      <c r="O34" s="931">
        <f t="shared" si="4"/>
        <v>10</v>
      </c>
      <c r="P34" s="422">
        <f t="shared" si="5"/>
        <v>0</v>
      </c>
      <c r="Q34" s="423">
        <f t="shared" si="1"/>
        <v>0</v>
      </c>
      <c r="R34" s="1194">
        <f t="shared" si="6"/>
        <v>0</v>
      </c>
      <c r="S34" s="1193">
        <f t="shared" si="7"/>
        <v>0</v>
      </c>
      <c r="T34" s="284"/>
      <c r="U34" s="422">
        <f t="shared" si="2"/>
        <v>0</v>
      </c>
      <c r="V34" s="1193">
        <f t="shared" si="3"/>
        <v>0</v>
      </c>
      <c r="Y34" s="284"/>
      <c r="Z34" s="284"/>
      <c r="AA34" s="284"/>
      <c r="AB34" s="284"/>
      <c r="AC34" s="284"/>
      <c r="AD34" s="284"/>
      <c r="AE34" s="284"/>
      <c r="AF34" s="284"/>
      <c r="AG34" s="284"/>
      <c r="AH34" s="285"/>
    </row>
    <row r="35" spans="1:34" ht="13.5">
      <c r="A35" s="286"/>
      <c r="B35" s="284" t="s">
        <v>150</v>
      </c>
      <c r="C35" s="1098">
        <f>IF(Toggle=Projection,'PIS projection'!C8-SUM(D35:K35),IF(Toggle=True_up,0,"Set Toggle!"))</f>
        <v>0</v>
      </c>
      <c r="D35" s="1581">
        <f>IF(Toggle=Projection,'PIS projection'!D28,IF(Toggle=True_up,0,"Set Toggle!"))</f>
        <v>0</v>
      </c>
      <c r="E35" s="1581">
        <f>IF(Toggle=Projection,'PIS projection'!E28,IF(Toggle=True_up,0,"Set Toggle!"))</f>
        <v>0</v>
      </c>
      <c r="F35" s="1581">
        <f>IF(Toggle=Projection,'PIS projection'!F28,IF(Toggle=True_up,0,"Set Toggle!"))</f>
        <v>0</v>
      </c>
      <c r="G35" s="1581">
        <f>IF(Toggle=Projection,'PIS projection'!G28,IF(Toggle=True_up,0,"Set Toggle!"))</f>
        <v>0</v>
      </c>
      <c r="H35" s="1581">
        <f>IF(Toggle=Projection,'PIS projection'!H28,IF(Toggle=True_up,0,"Set Toggle!"))</f>
        <v>0</v>
      </c>
      <c r="I35" s="1581">
        <f>IF(Toggle=Projection,'PIS projection'!I28,IF(Toggle=True_up,0,"Set Toggle!"))</f>
        <v>0</v>
      </c>
      <c r="J35" s="1581">
        <f>IF(Toggle=Projection,'PIS projection'!J28,IF(Toggle=True_up,0,"Set Toggle!"))</f>
        <v>0</v>
      </c>
      <c r="K35" s="1581">
        <f>IF(Toggle=Projection,'PIS projection'!K28,IF(Toggle=True_up,0,"Set Toggle!"))</f>
        <v>0</v>
      </c>
      <c r="L35" s="1599">
        <f t="shared" si="0"/>
        <v>0</v>
      </c>
      <c r="N35" s="746">
        <v>0</v>
      </c>
      <c r="O35" s="931">
        <f t="shared" si="4"/>
        <v>9</v>
      </c>
      <c r="P35" s="422">
        <f t="shared" si="5"/>
        <v>0</v>
      </c>
      <c r="Q35" s="423">
        <f t="shared" si="1"/>
        <v>0</v>
      </c>
      <c r="R35" s="1194">
        <f t="shared" si="6"/>
        <v>0</v>
      </c>
      <c r="S35" s="1193">
        <f t="shared" si="7"/>
        <v>0</v>
      </c>
      <c r="T35" s="284"/>
      <c r="U35" s="422">
        <f t="shared" si="2"/>
        <v>0</v>
      </c>
      <c r="V35" s="1193">
        <f t="shared" si="3"/>
        <v>0</v>
      </c>
      <c r="Y35" s="284"/>
      <c r="Z35" s="284"/>
      <c r="AA35" s="284"/>
      <c r="AB35" s="284"/>
      <c r="AC35" s="284"/>
      <c r="AD35" s="284"/>
      <c r="AE35" s="284"/>
      <c r="AF35" s="284"/>
      <c r="AG35" s="284"/>
      <c r="AH35" s="285"/>
    </row>
    <row r="36" spans="1:34" ht="13.5">
      <c r="A36" s="286"/>
      <c r="B36" s="284" t="s">
        <v>144</v>
      </c>
      <c r="C36" s="1098">
        <f>IF(Toggle=Projection,'PIS projection'!C9-SUM(D36:K36),IF(Toggle=True_up,0,"Set Toggle!"))</f>
        <v>0</v>
      </c>
      <c r="D36" s="1581">
        <f>IF(Toggle=Projection,'PIS projection'!D29,IF(Toggle=True_up,0,"Set Toggle!"))</f>
        <v>0</v>
      </c>
      <c r="E36" s="1581">
        <f>IF(Toggle=Projection,'PIS projection'!E29,IF(Toggle=True_up,0,"Set Toggle!"))</f>
        <v>0</v>
      </c>
      <c r="F36" s="1581">
        <f>IF(Toggle=Projection,'PIS projection'!F29,IF(Toggle=True_up,0,"Set Toggle!"))</f>
        <v>0</v>
      </c>
      <c r="G36" s="1581">
        <f>IF(Toggle=Projection,'PIS projection'!G29,IF(Toggle=True_up,0,"Set Toggle!"))</f>
        <v>0</v>
      </c>
      <c r="H36" s="1581">
        <f>IF(Toggle=Projection,'PIS projection'!H29,IF(Toggle=True_up,0,"Set Toggle!"))</f>
        <v>0</v>
      </c>
      <c r="I36" s="1581">
        <f>IF(Toggle=Projection,'PIS projection'!I29,IF(Toggle=True_up,0,"Set Toggle!"))</f>
        <v>0</v>
      </c>
      <c r="J36" s="1581">
        <f>IF(Toggle=Projection,'PIS projection'!J29,IF(Toggle=True_up,0,"Set Toggle!"))</f>
        <v>0</v>
      </c>
      <c r="K36" s="1581">
        <f>IF(Toggle=Projection,'PIS projection'!K29,IF(Toggle=True_up,0,"Set Toggle!"))</f>
        <v>0</v>
      </c>
      <c r="L36" s="1599">
        <f t="shared" si="0"/>
        <v>0</v>
      </c>
      <c r="N36" s="746">
        <v>0</v>
      </c>
      <c r="O36" s="931">
        <f t="shared" si="4"/>
        <v>8</v>
      </c>
      <c r="P36" s="422">
        <f t="shared" si="5"/>
        <v>0</v>
      </c>
      <c r="Q36" s="423">
        <f t="shared" si="1"/>
        <v>0</v>
      </c>
      <c r="R36" s="1194">
        <f t="shared" si="6"/>
        <v>0</v>
      </c>
      <c r="S36" s="1193">
        <f t="shared" si="7"/>
        <v>0</v>
      </c>
      <c r="T36" s="284"/>
      <c r="U36" s="422">
        <f t="shared" si="2"/>
        <v>0</v>
      </c>
      <c r="V36" s="1193">
        <f t="shared" si="3"/>
        <v>0</v>
      </c>
      <c r="Y36" s="284"/>
      <c r="Z36" s="284"/>
      <c r="AA36" s="284"/>
      <c r="AB36" s="284"/>
      <c r="AC36" s="284"/>
      <c r="AD36" s="284"/>
      <c r="AE36" s="284"/>
      <c r="AF36" s="284"/>
      <c r="AG36" s="284"/>
      <c r="AH36" s="285"/>
    </row>
    <row r="37" spans="1:34" ht="13.5">
      <c r="A37" s="286"/>
      <c r="B37" s="284" t="s">
        <v>151</v>
      </c>
      <c r="C37" s="1098">
        <f>IF(Toggle=Projection,'PIS projection'!C10-SUM(D37:K37),IF(Toggle=True_up,0,"Set Toggle!"))</f>
        <v>0</v>
      </c>
      <c r="D37" s="1581">
        <f>IF(Toggle=Projection,'PIS projection'!D30,IF(Toggle=True_up,0,"Set Toggle!"))</f>
        <v>0</v>
      </c>
      <c r="E37" s="1581">
        <f>IF(Toggle=Projection,'PIS projection'!E30,IF(Toggle=True_up,0,"Set Toggle!"))</f>
        <v>0</v>
      </c>
      <c r="F37" s="1581">
        <f>IF(Toggle=Projection,'PIS projection'!F30,IF(Toggle=True_up,0,"Set Toggle!"))</f>
        <v>0</v>
      </c>
      <c r="G37" s="1581">
        <f>IF(Toggle=Projection,'PIS projection'!G30,IF(Toggle=True_up,0,"Set Toggle!"))</f>
        <v>0</v>
      </c>
      <c r="H37" s="1581">
        <f>IF(Toggle=Projection,'PIS projection'!H30,IF(Toggle=True_up,0,"Set Toggle!"))</f>
        <v>0</v>
      </c>
      <c r="I37" s="1581">
        <f>IF(Toggle=Projection,'PIS projection'!I30,IF(Toggle=True_up,0,"Set Toggle!"))</f>
        <v>0</v>
      </c>
      <c r="J37" s="1581">
        <f>IF(Toggle=Projection,'PIS projection'!J30,IF(Toggle=True_up,0,"Set Toggle!"))</f>
        <v>0</v>
      </c>
      <c r="K37" s="1581">
        <f>IF(Toggle=Projection,'PIS projection'!K30,IF(Toggle=True_up,0,"Set Toggle!"))</f>
        <v>0</v>
      </c>
      <c r="L37" s="1599">
        <f t="shared" si="0"/>
        <v>0</v>
      </c>
      <c r="N37" s="746">
        <v>0</v>
      </c>
      <c r="O37" s="931">
        <f t="shared" si="4"/>
        <v>7</v>
      </c>
      <c r="P37" s="422">
        <f t="shared" si="5"/>
        <v>0</v>
      </c>
      <c r="Q37" s="423">
        <f t="shared" si="1"/>
        <v>0</v>
      </c>
      <c r="R37" s="1194">
        <f t="shared" si="6"/>
        <v>0</v>
      </c>
      <c r="S37" s="1193">
        <f t="shared" si="7"/>
        <v>0</v>
      </c>
      <c r="T37" s="284"/>
      <c r="U37" s="422">
        <f t="shared" si="2"/>
        <v>0</v>
      </c>
      <c r="V37" s="1193">
        <f t="shared" si="3"/>
        <v>0</v>
      </c>
      <c r="Y37" s="284"/>
      <c r="Z37" s="284"/>
      <c r="AA37" s="284"/>
      <c r="AB37" s="284"/>
      <c r="AC37" s="284"/>
      <c r="AD37" s="284"/>
      <c r="AE37" s="284"/>
      <c r="AF37" s="284"/>
      <c r="AG37" s="284"/>
      <c r="AH37" s="285"/>
    </row>
    <row r="38" spans="1:34" ht="13.5">
      <c r="A38" s="286"/>
      <c r="B38" s="284" t="s">
        <v>152</v>
      </c>
      <c r="C38" s="1098">
        <f>IF(Toggle=Projection,'PIS projection'!C11-SUM(D38:K38),IF(Toggle=True_up,0,"Set Toggle!"))</f>
        <v>0</v>
      </c>
      <c r="D38" s="1581">
        <f>IF(Toggle=Projection,'PIS projection'!D31,IF(Toggle=True_up,0,"Set Toggle!"))</f>
        <v>0</v>
      </c>
      <c r="E38" s="1581">
        <f>IF(Toggle=Projection,'PIS projection'!E31,IF(Toggle=True_up,0,"Set Toggle!"))</f>
        <v>0</v>
      </c>
      <c r="F38" s="1581">
        <f>IF(Toggle=Projection,'PIS projection'!F31,IF(Toggle=True_up,0,"Set Toggle!"))</f>
        <v>0</v>
      </c>
      <c r="G38" s="1581">
        <f>IF(Toggle=Projection,'PIS projection'!G31,IF(Toggle=True_up,0,"Set Toggle!"))</f>
        <v>0</v>
      </c>
      <c r="H38" s="1581">
        <f>IF(Toggle=Projection,'PIS projection'!H31,IF(Toggle=True_up,0,"Set Toggle!"))</f>
        <v>0</v>
      </c>
      <c r="I38" s="1581">
        <f>IF(Toggle=Projection,'PIS projection'!I31,IF(Toggle=True_up,0,"Set Toggle!"))</f>
        <v>0</v>
      </c>
      <c r="J38" s="1581">
        <f>IF(Toggle=Projection,'PIS projection'!J31,IF(Toggle=True_up,0,"Set Toggle!"))</f>
        <v>0</v>
      </c>
      <c r="K38" s="1581">
        <f>IF(Toggle=Projection,'PIS projection'!K31,IF(Toggle=True_up,0,"Set Toggle!"))</f>
        <v>0</v>
      </c>
      <c r="L38" s="1599">
        <f t="shared" si="0"/>
        <v>0</v>
      </c>
      <c r="N38" s="746">
        <v>0</v>
      </c>
      <c r="O38" s="931">
        <f t="shared" si="4"/>
        <v>6</v>
      </c>
      <c r="P38" s="422">
        <f t="shared" si="5"/>
        <v>0</v>
      </c>
      <c r="Q38" s="423">
        <f t="shared" si="1"/>
        <v>0</v>
      </c>
      <c r="R38" s="1194">
        <f t="shared" si="6"/>
        <v>0</v>
      </c>
      <c r="S38" s="1193">
        <f t="shared" si="7"/>
        <v>0</v>
      </c>
      <c r="T38" s="284"/>
      <c r="U38" s="422">
        <f t="shared" si="2"/>
        <v>0</v>
      </c>
      <c r="V38" s="1193">
        <f t="shared" si="3"/>
        <v>0</v>
      </c>
      <c r="Y38" s="284"/>
      <c r="Z38" s="284"/>
      <c r="AA38" s="284"/>
      <c r="AB38" s="284"/>
      <c r="AC38" s="284"/>
      <c r="AD38" s="284"/>
      <c r="AE38" s="284"/>
      <c r="AF38" s="284"/>
      <c r="AG38" s="284"/>
      <c r="AH38" s="285"/>
    </row>
    <row r="39" spans="1:34" ht="13.5">
      <c r="A39" s="286"/>
      <c r="B39" s="284" t="s">
        <v>153</v>
      </c>
      <c r="C39" s="1098">
        <f>IF(Toggle=Projection,'PIS projection'!C12-SUM(D39:K39),IF(Toggle=True_up,0,"Set Toggle!"))</f>
        <v>0</v>
      </c>
      <c r="D39" s="1581">
        <f>IF(Toggle=Projection,'PIS projection'!D32,IF(Toggle=True_up,0,"Set Toggle!"))</f>
        <v>0</v>
      </c>
      <c r="E39" s="1581">
        <f>IF(Toggle=Projection,'PIS projection'!E32,IF(Toggle=True_up,0,"Set Toggle!"))</f>
        <v>0</v>
      </c>
      <c r="F39" s="1581">
        <f>IF(Toggle=Projection,'PIS projection'!F32,IF(Toggle=True_up,0,"Set Toggle!"))</f>
        <v>0</v>
      </c>
      <c r="G39" s="1581">
        <f>IF(Toggle=Projection,'PIS projection'!G32,IF(Toggle=True_up,0,"Set Toggle!"))</f>
        <v>0</v>
      </c>
      <c r="H39" s="1581">
        <f>IF(Toggle=Projection,'PIS projection'!H32,IF(Toggle=True_up,0,"Set Toggle!"))</f>
        <v>0</v>
      </c>
      <c r="I39" s="1581">
        <f>IF(Toggle=Projection,'PIS projection'!I32,IF(Toggle=True_up,0,"Set Toggle!"))</f>
        <v>0</v>
      </c>
      <c r="J39" s="1581">
        <f>IF(Toggle=Projection,'PIS projection'!J32,IF(Toggle=True_up,0,"Set Toggle!"))</f>
        <v>0</v>
      </c>
      <c r="K39" s="1581">
        <f>IF(Toggle=Projection,'PIS projection'!K32,IF(Toggle=True_up,0,"Set Toggle!"))</f>
        <v>0</v>
      </c>
      <c r="L39" s="1599">
        <f t="shared" si="0"/>
        <v>0</v>
      </c>
      <c r="N39" s="746">
        <v>0</v>
      </c>
      <c r="O39" s="931">
        <f t="shared" si="4"/>
        <v>5</v>
      </c>
      <c r="P39" s="422">
        <f t="shared" si="5"/>
        <v>0</v>
      </c>
      <c r="Q39" s="423">
        <f t="shared" si="1"/>
        <v>0</v>
      </c>
      <c r="R39" s="1194">
        <f t="shared" si="6"/>
        <v>0</v>
      </c>
      <c r="S39" s="1193">
        <f t="shared" si="7"/>
        <v>0</v>
      </c>
      <c r="T39" s="284"/>
      <c r="U39" s="422">
        <f t="shared" si="2"/>
        <v>0</v>
      </c>
      <c r="V39" s="1193">
        <f t="shared" si="3"/>
        <v>0</v>
      </c>
      <c r="Y39" s="284"/>
      <c r="Z39" s="284"/>
      <c r="AA39" s="284"/>
      <c r="AB39" s="284"/>
      <c r="AC39" s="284"/>
      <c r="AD39" s="284"/>
      <c r="AE39" s="284"/>
      <c r="AF39" s="284"/>
      <c r="AG39" s="284"/>
      <c r="AH39" s="285"/>
    </row>
    <row r="40" spans="1:34" ht="13.5">
      <c r="A40" s="286"/>
      <c r="B40" s="284" t="s">
        <v>154</v>
      </c>
      <c r="C40" s="1098">
        <f>IF(Toggle=Projection,'PIS projection'!C13-SUM(D40:K40),IF(Toggle=True_up,0,"Set Toggle!"))</f>
        <v>0</v>
      </c>
      <c r="D40" s="1581">
        <f>IF(Toggle=Projection,'PIS projection'!D33,IF(Toggle=True_up,0,"Set Toggle!"))</f>
        <v>0</v>
      </c>
      <c r="E40" s="1581">
        <f>IF(Toggle=Projection,'PIS projection'!E33,IF(Toggle=True_up,0,"Set Toggle!"))</f>
        <v>0</v>
      </c>
      <c r="F40" s="1581">
        <f>IF(Toggle=Projection,'PIS projection'!F33,IF(Toggle=True_up,0,"Set Toggle!"))</f>
        <v>0</v>
      </c>
      <c r="G40" s="1581">
        <f>IF(Toggle=Projection,'PIS projection'!G33,IF(Toggle=True_up,0,"Set Toggle!"))</f>
        <v>0</v>
      </c>
      <c r="H40" s="1581">
        <f>IF(Toggle=Projection,'PIS projection'!H33,IF(Toggle=True_up,0,"Set Toggle!"))</f>
        <v>0</v>
      </c>
      <c r="I40" s="1581">
        <f>IF(Toggle=Projection,'PIS projection'!I33,IF(Toggle=True_up,0,"Set Toggle!"))</f>
        <v>0</v>
      </c>
      <c r="J40" s="1581">
        <f>IF(Toggle=Projection,'PIS projection'!J33,IF(Toggle=True_up,0,"Set Toggle!"))</f>
        <v>0</v>
      </c>
      <c r="K40" s="1581">
        <f>IF(Toggle=Projection,'PIS projection'!K33,IF(Toggle=True_up,0,"Set Toggle!"))</f>
        <v>0</v>
      </c>
      <c r="L40" s="1599">
        <f t="shared" si="0"/>
        <v>0</v>
      </c>
      <c r="N40" s="746">
        <v>0</v>
      </c>
      <c r="O40" s="931">
        <f t="shared" si="4"/>
        <v>4</v>
      </c>
      <c r="P40" s="422">
        <f t="shared" si="5"/>
        <v>0</v>
      </c>
      <c r="Q40" s="423">
        <f t="shared" si="1"/>
        <v>0</v>
      </c>
      <c r="R40" s="1194">
        <f t="shared" si="6"/>
        <v>0</v>
      </c>
      <c r="S40" s="1193">
        <f t="shared" si="7"/>
        <v>0</v>
      </c>
      <c r="T40" s="284"/>
      <c r="U40" s="422">
        <f t="shared" si="2"/>
        <v>0</v>
      </c>
      <c r="V40" s="1193">
        <f t="shared" si="3"/>
        <v>0</v>
      </c>
      <c r="Y40" s="284"/>
      <c r="Z40" s="284"/>
      <c r="AA40" s="284"/>
      <c r="AB40" s="284"/>
      <c r="AC40" s="284"/>
      <c r="AD40" s="284"/>
      <c r="AE40" s="284"/>
      <c r="AF40" s="284"/>
      <c r="AG40" s="284"/>
      <c r="AH40" s="285"/>
    </row>
    <row r="41" spans="1:34" ht="13.5">
      <c r="A41" s="286"/>
      <c r="B41" s="284" t="s">
        <v>155</v>
      </c>
      <c r="C41" s="1098">
        <f>IF(Toggle=Projection,'PIS projection'!C14-SUM(D41:K41),IF(Toggle=True_up,0,"Set Toggle!"))</f>
        <v>0</v>
      </c>
      <c r="D41" s="1581">
        <f>IF(Toggle=Projection,'PIS projection'!D34,IF(Toggle=True_up,0,"Set Toggle!"))</f>
        <v>0</v>
      </c>
      <c r="E41" s="1581">
        <f>IF(Toggle=Projection,'PIS projection'!E34,IF(Toggle=True_up,0,"Set Toggle!"))</f>
        <v>0</v>
      </c>
      <c r="F41" s="1581">
        <f>IF(Toggle=Projection,'PIS projection'!F34,IF(Toggle=True_up,0,"Set Toggle!"))</f>
        <v>0</v>
      </c>
      <c r="G41" s="1581">
        <f>IF(Toggle=Projection,'PIS projection'!G34,IF(Toggle=True_up,0,"Set Toggle!"))</f>
        <v>0</v>
      </c>
      <c r="H41" s="1581">
        <f>IF(Toggle=Projection,'PIS projection'!H34,IF(Toggle=True_up,0,"Set Toggle!"))</f>
        <v>0</v>
      </c>
      <c r="I41" s="1581">
        <f>IF(Toggle=Projection,'PIS projection'!I34,IF(Toggle=True_up,0,"Set Toggle!"))</f>
        <v>0</v>
      </c>
      <c r="J41" s="1581">
        <f>IF(Toggle=Projection,'PIS projection'!J34,IF(Toggle=True_up,0,"Set Toggle!"))</f>
        <v>0</v>
      </c>
      <c r="K41" s="1581">
        <f>IF(Toggle=Projection,'PIS projection'!K34,IF(Toggle=True_up,0,"Set Toggle!"))</f>
        <v>0</v>
      </c>
      <c r="L41" s="1599">
        <f t="shared" si="0"/>
        <v>0</v>
      </c>
      <c r="N41" s="746">
        <v>0</v>
      </c>
      <c r="O41" s="931">
        <f t="shared" si="4"/>
        <v>3</v>
      </c>
      <c r="P41" s="422">
        <f t="shared" si="5"/>
        <v>0</v>
      </c>
      <c r="Q41" s="423">
        <f t="shared" si="1"/>
        <v>0</v>
      </c>
      <c r="R41" s="1194">
        <f t="shared" si="6"/>
        <v>0</v>
      </c>
      <c r="S41" s="1193">
        <f t="shared" si="7"/>
        <v>0</v>
      </c>
      <c r="T41" s="284"/>
      <c r="U41" s="422">
        <f t="shared" si="2"/>
        <v>0</v>
      </c>
      <c r="V41" s="1193">
        <f t="shared" si="3"/>
        <v>0</v>
      </c>
      <c r="Y41" s="284"/>
      <c r="Z41" s="284"/>
      <c r="AA41" s="284"/>
      <c r="AB41" s="284"/>
      <c r="AC41" s="284"/>
      <c r="AD41" s="284"/>
      <c r="AE41" s="284"/>
      <c r="AF41" s="284"/>
      <c r="AG41" s="284"/>
      <c r="AH41" s="285"/>
    </row>
    <row r="42" spans="1:34" ht="13.5">
      <c r="A42" s="286"/>
      <c r="B42" s="284" t="s">
        <v>156</v>
      </c>
      <c r="C42" s="1098">
        <f>IF(Toggle=Projection,'PIS projection'!C15-SUM(D42:K42),IF(Toggle=True_up,0,"Set Toggle!"))</f>
        <v>0</v>
      </c>
      <c r="D42" s="1581">
        <f>IF(Toggle=Projection,'PIS projection'!D35,IF(Toggle=True_up,0,"Set Toggle!"))</f>
        <v>0</v>
      </c>
      <c r="E42" s="1581">
        <f>IF(Toggle=Projection,'PIS projection'!E35,IF(Toggle=True_up,0,"Set Toggle!"))</f>
        <v>0</v>
      </c>
      <c r="F42" s="1581">
        <f>IF(Toggle=Projection,'PIS projection'!F35,IF(Toggle=True_up,0,"Set Toggle!"))</f>
        <v>0</v>
      </c>
      <c r="G42" s="1581">
        <f>IF(Toggle=Projection,'PIS projection'!G35,IF(Toggle=True_up,0,"Set Toggle!"))</f>
        <v>0</v>
      </c>
      <c r="H42" s="1581">
        <f>IF(Toggle=Projection,'PIS projection'!H35,IF(Toggle=True_up,0,"Set Toggle!"))</f>
        <v>0</v>
      </c>
      <c r="I42" s="1581">
        <f>IF(Toggle=Projection,'PIS projection'!I35,IF(Toggle=True_up,0,"Set Toggle!"))</f>
        <v>0</v>
      </c>
      <c r="J42" s="1581">
        <f>IF(Toggle=Projection,'PIS projection'!J35,IF(Toggle=True_up,0,"Set Toggle!"))</f>
        <v>0</v>
      </c>
      <c r="K42" s="1581">
        <f>IF(Toggle=Projection,'PIS projection'!K35,IF(Toggle=True_up,0,"Set Toggle!"))</f>
        <v>0</v>
      </c>
      <c r="L42" s="1599">
        <f t="shared" si="0"/>
        <v>0</v>
      </c>
      <c r="N42" s="746">
        <v>0</v>
      </c>
      <c r="O42" s="931">
        <f t="shared" si="4"/>
        <v>2</v>
      </c>
      <c r="P42" s="422">
        <f t="shared" si="5"/>
        <v>0</v>
      </c>
      <c r="Q42" s="423">
        <f t="shared" si="1"/>
        <v>0</v>
      </c>
      <c r="R42" s="1194">
        <f t="shared" si="6"/>
        <v>0</v>
      </c>
      <c r="S42" s="1193">
        <f t="shared" si="7"/>
        <v>0</v>
      </c>
      <c r="T42" s="284"/>
      <c r="U42" s="422">
        <f t="shared" si="2"/>
        <v>0</v>
      </c>
      <c r="V42" s="1193">
        <f t="shared" si="3"/>
        <v>0</v>
      </c>
      <c r="Y42" s="284"/>
      <c r="Z42" s="284"/>
      <c r="AA42" s="284"/>
      <c r="AB42" s="284"/>
      <c r="AC42" s="284"/>
      <c r="AD42" s="284"/>
      <c r="AE42" s="284"/>
      <c r="AF42" s="284"/>
      <c r="AG42" s="284"/>
      <c r="AH42" s="285"/>
    </row>
    <row r="43" spans="1:34" ht="13.5">
      <c r="A43" s="286"/>
      <c r="B43" s="284" t="s">
        <v>157</v>
      </c>
      <c r="C43" s="1099">
        <f>IF(Toggle=Projection,'PIS projection'!C16-SUM(D43:K43),IF(Toggle=True_up,0,"Set Toggle!"))</f>
        <v>0</v>
      </c>
      <c r="D43" s="1578">
        <f>IF(Toggle=Projection,'PIS projection'!D36,IF(Toggle=True_up,0,"Set Toggle!"))</f>
        <v>0</v>
      </c>
      <c r="E43" s="1578">
        <f>IF(Toggle=Projection,'PIS projection'!E36,IF(Toggle=True_up,0,"Set Toggle!"))</f>
        <v>0</v>
      </c>
      <c r="F43" s="1578">
        <f>IF(Toggle=Projection,'PIS projection'!F36,IF(Toggle=True_up,0,"Set Toggle!"))</f>
        <v>0</v>
      </c>
      <c r="G43" s="1578">
        <f>IF(Toggle=Projection,'PIS projection'!G36,IF(Toggle=True_up,0,"Set Toggle!"))</f>
        <v>0</v>
      </c>
      <c r="H43" s="1578">
        <f>IF(Toggle=Projection,'PIS projection'!H36,IF(Toggle=True_up,0,"Set Toggle!"))</f>
        <v>0</v>
      </c>
      <c r="I43" s="1578">
        <f>IF(Toggle=Projection,'PIS projection'!I36,IF(Toggle=True_up,0,"Set Toggle!"))</f>
        <v>0</v>
      </c>
      <c r="J43" s="1578">
        <f>IF(Toggle=Projection,'PIS projection'!J36,IF(Toggle=True_up,0,"Set Toggle!"))</f>
        <v>0</v>
      </c>
      <c r="K43" s="1578">
        <f>IF(Toggle=Projection,'PIS projection'!K36,IF(Toggle=True_up,0,"Set Toggle!"))</f>
        <v>0</v>
      </c>
      <c r="L43" s="1628">
        <f t="shared" si="0"/>
        <v>0</v>
      </c>
      <c r="N43" s="746">
        <v>0</v>
      </c>
      <c r="O43" s="931">
        <f t="shared" si="4"/>
        <v>1</v>
      </c>
      <c r="P43" s="749">
        <f t="shared" si="5"/>
        <v>0</v>
      </c>
      <c r="Q43" s="750">
        <f t="shared" si="1"/>
        <v>0</v>
      </c>
      <c r="R43" s="1195">
        <f t="shared" si="6"/>
        <v>0</v>
      </c>
      <c r="S43" s="1196">
        <f t="shared" si="7"/>
        <v>0</v>
      </c>
      <c r="T43" s="284"/>
      <c r="U43" s="422">
        <f t="shared" si="2"/>
        <v>0</v>
      </c>
      <c r="V43" s="1193">
        <f t="shared" si="3"/>
        <v>0</v>
      </c>
      <c r="Y43" s="284"/>
      <c r="Z43" s="284"/>
      <c r="AA43" s="284"/>
      <c r="AB43" s="284"/>
      <c r="AC43" s="284"/>
      <c r="AD43" s="284"/>
      <c r="AE43" s="284"/>
      <c r="AF43" s="284"/>
      <c r="AG43" s="284"/>
      <c r="AH43" s="285"/>
    </row>
    <row r="44" spans="1:34" ht="13.5">
      <c r="A44" s="283"/>
      <c r="B44" s="284" t="s">
        <v>282</v>
      </c>
      <c r="C44" s="292">
        <f>SUM(C31:C43)</f>
        <v>0</v>
      </c>
      <c r="D44" s="292">
        <f t="shared" ref="D44:K44" si="8">SUM(D31:D43)</f>
        <v>0</v>
      </c>
      <c r="E44" s="292">
        <f>SUM(E31:E43)</f>
        <v>0</v>
      </c>
      <c r="F44" s="292">
        <f>SUM(F31:F43)</f>
        <v>0</v>
      </c>
      <c r="G44" s="292">
        <f t="shared" si="8"/>
        <v>0</v>
      </c>
      <c r="H44" s="292">
        <f t="shared" si="8"/>
        <v>0</v>
      </c>
      <c r="I44" s="292">
        <f t="shared" si="8"/>
        <v>0</v>
      </c>
      <c r="J44" s="292">
        <f t="shared" si="8"/>
        <v>0</v>
      </c>
      <c r="K44" s="292">
        <f t="shared" si="8"/>
        <v>0</v>
      </c>
      <c r="L44" s="292">
        <f>SUM(L31:L43)</f>
        <v>0</v>
      </c>
      <c r="N44" s="747">
        <f>SUM(N31:N43)</f>
        <v>0</v>
      </c>
      <c r="O44" s="284"/>
      <c r="P44" s="747">
        <f>SUM(P31:P43)</f>
        <v>0</v>
      </c>
      <c r="Q44" s="747">
        <f>SUM(Q31:Q43)</f>
        <v>0</v>
      </c>
      <c r="R44" s="1197">
        <f>SUM(R31:R43)</f>
        <v>0</v>
      </c>
      <c r="S44" s="1198">
        <f>SUM(S32:S43)</f>
        <v>0</v>
      </c>
      <c r="T44"/>
      <c r="U44" s="747">
        <f>SUM(U31:U43)</f>
        <v>0</v>
      </c>
      <c r="V44" s="1198">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1" t="str">
        <f>"Input to Line "&amp;'Appendix A'!A39&amp;" of Appendix A"</f>
        <v>Input to Line 16 of Appendix A</v>
      </c>
      <c r="Q46" s="363"/>
      <c r="R46" s="303"/>
      <c r="S46" s="303"/>
      <c r="T46" s="363"/>
      <c r="U46" s="303"/>
      <c r="V46" s="363"/>
      <c r="W46" s="953" t="str">
        <f>IF(Toggle=True_up,"Not for true-up",SUM(R44:S44))</f>
        <v>Not for true-up</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39" t="str">
        <f>"Input to Line "&amp;'Appendix A'!$A$72&amp;" of Appendix A"</f>
        <v>Input to Line 34 of Appendix A</v>
      </c>
      <c r="Q47" s="363"/>
      <c r="R47" s="301"/>
      <c r="S47" s="301"/>
      <c r="T47" s="363"/>
      <c r="U47" s="363"/>
      <c r="V47" s="2"/>
      <c r="W47" s="982" t="str">
        <f>IF(Toggle=True_up,"Not for true-up",SUM(V31:V43))</f>
        <v>Not for true-up</v>
      </c>
      <c r="X47" s="284"/>
      <c r="Y47" s="284"/>
      <c r="Z47" s="284"/>
      <c r="AA47" s="284"/>
      <c r="AB47" s="284"/>
      <c r="AC47" s="284"/>
      <c r="AD47" s="284"/>
      <c r="AE47" s="284"/>
      <c r="AF47" s="284"/>
      <c r="AG47" s="284"/>
      <c r="AH47" s="285"/>
    </row>
    <row r="48" spans="1:34" ht="13.5" customHeight="1">
      <c r="A48" s="742" t="s">
        <v>139</v>
      </c>
      <c r="B48" s="742" t="s">
        <v>140</v>
      </c>
      <c r="C48" s="742" t="s">
        <v>141</v>
      </c>
      <c r="D48" s="743" t="s">
        <v>142</v>
      </c>
      <c r="E48" s="284"/>
      <c r="L48" s="284"/>
      <c r="M48" s="284"/>
      <c r="N48" s="284"/>
      <c r="O48" s="292"/>
      <c r="P48"/>
      <c r="Q48"/>
      <c r="R48"/>
      <c r="S48"/>
      <c r="T48" s="938"/>
      <c r="U48" s="363"/>
      <c r="V48" s="363"/>
      <c r="W48" s="938"/>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7" t="s">
        <v>1132</v>
      </c>
      <c r="Q49" s="1178"/>
      <c r="R49" s="1179"/>
      <c r="S49" s="1189">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2" t="s">
        <v>1138</v>
      </c>
      <c r="Q50" s="1179"/>
      <c r="R50" s="1179"/>
      <c r="S50" s="1183"/>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4" t="s">
        <v>147</v>
      </c>
      <c r="Q51" s="1186">
        <v>11.5</v>
      </c>
      <c r="R51" s="1173"/>
      <c r="S51" s="1180">
        <f t="shared" ref="S51:S62" si="9">+$L32/S$49/12*$Q51</f>
        <v>0</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4" t="s">
        <v>148</v>
      </c>
      <c r="Q52" s="1186">
        <f>+Q51-1</f>
        <v>10.5</v>
      </c>
      <c r="R52" s="1173"/>
      <c r="S52" s="1180">
        <f t="shared" si="9"/>
        <v>0</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4" t="s">
        <v>149</v>
      </c>
      <c r="Q53" s="1186">
        <f t="shared" ref="Q53:Q62" si="10">+Q52-1</f>
        <v>9.5</v>
      </c>
      <c r="R53" s="1173"/>
      <c r="S53" s="1180">
        <f t="shared" si="9"/>
        <v>0</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4" t="s">
        <v>150</v>
      </c>
      <c r="Q54" s="1186">
        <f t="shared" si="10"/>
        <v>8.5</v>
      </c>
      <c r="R54" s="1173"/>
      <c r="S54" s="1180">
        <f t="shared" si="9"/>
        <v>0</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4" t="s">
        <v>144</v>
      </c>
      <c r="Q55" s="1186">
        <f t="shared" si="10"/>
        <v>7.5</v>
      </c>
      <c r="R55" s="1173"/>
      <c r="S55" s="1180">
        <f t="shared" si="9"/>
        <v>0</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4" t="s">
        <v>151</v>
      </c>
      <c r="Q56" s="1186">
        <f t="shared" si="10"/>
        <v>6.5</v>
      </c>
      <c r="R56" s="1173"/>
      <c r="S56" s="1180">
        <f t="shared" si="9"/>
        <v>0</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4" t="s">
        <v>152</v>
      </c>
      <c r="Q57" s="1186">
        <f t="shared" si="10"/>
        <v>5.5</v>
      </c>
      <c r="R57" s="1173"/>
      <c r="S57" s="1180">
        <f t="shared" si="9"/>
        <v>0</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4" t="s">
        <v>153</v>
      </c>
      <c r="Q58" s="1186">
        <f t="shared" si="10"/>
        <v>4.5</v>
      </c>
      <c r="R58" s="1173"/>
      <c r="S58" s="1180">
        <f t="shared" si="9"/>
        <v>0</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4" t="s">
        <v>154</v>
      </c>
      <c r="Q59" s="1186">
        <f t="shared" si="10"/>
        <v>3.5</v>
      </c>
      <c r="R59" s="1173"/>
      <c r="S59" s="1180">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4" t="s">
        <v>155</v>
      </c>
      <c r="Q60" s="1186">
        <f t="shared" si="10"/>
        <v>2.5</v>
      </c>
      <c r="R60" s="1173"/>
      <c r="S60" s="1180">
        <f t="shared" si="9"/>
        <v>0</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4" t="s">
        <v>156</v>
      </c>
      <c r="Q61" s="1186">
        <f t="shared" si="10"/>
        <v>1.5</v>
      </c>
      <c r="R61" s="1173"/>
      <c r="S61" s="1180">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5" t="s">
        <v>157</v>
      </c>
      <c r="Q62" s="1187">
        <f t="shared" si="10"/>
        <v>0.5</v>
      </c>
      <c r="R62" s="1181"/>
      <c r="S62" s="1184">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88" t="s">
        <v>1133</v>
      </c>
      <c r="Q63" s="1175"/>
      <c r="R63" s="1175"/>
      <c r="S63" s="1176">
        <f>SUM(S51:S62)</f>
        <v>0</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8">
        <v>0</v>
      </c>
      <c r="E69" s="357" t="s">
        <v>646</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7"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5">
      <c r="A1" s="361" t="s">
        <v>365</v>
      </c>
      <c r="B1" s="1213"/>
      <c r="C1" s="1213"/>
      <c r="D1" s="1213"/>
      <c r="E1" s="1213"/>
      <c r="F1" s="1213"/>
      <c r="G1" s="1213"/>
      <c r="H1" s="1213"/>
      <c r="I1" s="1213"/>
      <c r="J1" s="1213"/>
      <c r="K1" s="1213"/>
      <c r="L1" s="1213"/>
      <c r="M1" s="1214"/>
      <c r="N1" s="1213"/>
      <c r="O1" s="1213"/>
      <c r="P1" s="1213"/>
      <c r="Q1" s="1213"/>
      <c r="R1" s="1213"/>
      <c r="S1" s="1213"/>
      <c r="T1" s="2"/>
      <c r="U1" s="2"/>
    </row>
    <row r="2" spans="1:21" ht="18">
      <c r="A2" s="361" t="s">
        <v>175</v>
      </c>
      <c r="B2" s="1213"/>
      <c r="C2" s="1213"/>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1" t="s">
        <v>994</v>
      </c>
    </row>
    <row r="8" spans="1:21">
      <c r="C8" s="123"/>
      <c r="D8" s="112" t="s">
        <v>98</v>
      </c>
    </row>
    <row r="9" spans="1:21">
      <c r="A9" s="112">
        <v>3</v>
      </c>
      <c r="C9" s="112" t="s">
        <v>227</v>
      </c>
      <c r="D9" s="112">
        <f>+'Appendix A'!A272</f>
        <v>157</v>
      </c>
      <c r="F9" s="161" t="str">
        <f>'Appendix A'!C272</f>
        <v>Net Plant Carrying Charge without Depreciation</v>
      </c>
      <c r="M9" s="166">
        <f>+'Appendix A'!$H$272</f>
        <v>0.10779043235511593</v>
      </c>
    </row>
    <row r="10" spans="1:21">
      <c r="A10" s="112">
        <v>4</v>
      </c>
      <c r="C10" s="112" t="s">
        <v>283</v>
      </c>
      <c r="D10" s="112">
        <f>+'Appendix A'!A281</f>
        <v>164</v>
      </c>
      <c r="F10" s="161" t="str">
        <f>+'Appendix A'!C281</f>
        <v>Net Plant Carrying Charge per 100 Basis Point in ROE without Depreciation</v>
      </c>
      <c r="M10" s="884">
        <f>+'Appendix A'!$H$281</f>
        <v>0.11413352128960892</v>
      </c>
    </row>
    <row r="11" spans="1:21">
      <c r="A11" s="112">
        <v>5</v>
      </c>
      <c r="B11" s="112"/>
      <c r="C11" s="112" t="s">
        <v>215</v>
      </c>
      <c r="F11" t="s">
        <v>86</v>
      </c>
      <c r="M11" s="166">
        <f>+M10-M9</f>
        <v>6.3430889344929936E-3</v>
      </c>
    </row>
    <row r="12" spans="1:21">
      <c r="A12"/>
      <c r="B12" s="112"/>
      <c r="M12" s="166"/>
    </row>
    <row r="13" spans="1:21">
      <c r="A13" s="112">
        <v>6</v>
      </c>
      <c r="B13" s="112"/>
      <c r="C13" s="123" t="s">
        <v>995</v>
      </c>
      <c r="M13" s="166"/>
    </row>
    <row r="14" spans="1:21">
      <c r="A14" s="112">
        <v>7</v>
      </c>
      <c r="C14" s="112" t="s">
        <v>228</v>
      </c>
      <c r="D14" s="112">
        <f>+'Appendix A'!A273</f>
        <v>158</v>
      </c>
      <c r="F14" s="161" t="str">
        <f>+'Appendix A'!C273</f>
        <v>Net Plant Carrying Charge without Depreciation, Return, nor Income Taxes</v>
      </c>
      <c r="M14" s="166">
        <f>+'Appendix A'!$H$273</f>
        <v>2.6414135918359657E-2</v>
      </c>
    </row>
    <row r="15" spans="1:21">
      <c r="C15" s="899"/>
    </row>
    <row r="16" spans="1:21">
      <c r="C16" s="159" t="s">
        <v>197</v>
      </c>
      <c r="J16" s="165"/>
      <c r="M16" s="411"/>
      <c r="N16" s="2"/>
      <c r="O16" s="2"/>
      <c r="P16" s="2"/>
      <c r="Q16" s="460"/>
    </row>
    <row r="17" spans="1:32">
      <c r="C17" s="1041" t="s">
        <v>171</v>
      </c>
    </row>
    <row r="18" spans="1:32" s="462" customFormat="1">
      <c r="A18" s="112"/>
      <c r="B18" s="161"/>
      <c r="C18" s="1207" t="s">
        <v>1139</v>
      </c>
      <c r="D18" s="112"/>
      <c r="E18" s="112"/>
      <c r="M18" s="165"/>
    </row>
    <row r="19" spans="1:32" ht="13.5" thickBot="1">
      <c r="C19" s="900" t="s">
        <v>962</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694" t="s">
        <v>1060</v>
      </c>
      <c r="F20" s="2695"/>
      <c r="G20" s="2695"/>
      <c r="H20" s="2694" t="s">
        <v>1358</v>
      </c>
      <c r="I20" s="2696"/>
      <c r="J20" s="2697"/>
      <c r="K20" s="2694" t="s">
        <v>1359</v>
      </c>
      <c r="L20" s="2696"/>
      <c r="M20" s="2697"/>
      <c r="N20" s="2698"/>
      <c r="O20" s="2695"/>
      <c r="P20" s="2695"/>
      <c r="Q20" s="127"/>
      <c r="R20" s="116"/>
      <c r="S20" s="116"/>
      <c r="T20" s="461"/>
    </row>
    <row r="21" spans="1:32">
      <c r="A21" s="112">
        <f>A14+1</f>
        <v>8</v>
      </c>
      <c r="B21" s="1203" t="s">
        <v>162</v>
      </c>
      <c r="C21" s="151" t="s">
        <v>81</v>
      </c>
      <c r="D21" s="132"/>
      <c r="E21" s="1038"/>
      <c r="F21" s="177"/>
      <c r="G21" s="134"/>
      <c r="H21" s="1202">
        <v>58</v>
      </c>
      <c r="I21" s="136"/>
      <c r="J21" s="134"/>
      <c r="K21" s="1202">
        <v>58</v>
      </c>
      <c r="L21" s="177"/>
      <c r="M21" s="133"/>
      <c r="N21" s="1038"/>
      <c r="O21" s="177"/>
      <c r="P21" s="133"/>
      <c r="Q21" s="127"/>
      <c r="R21" s="116"/>
      <c r="S21" s="116"/>
    </row>
    <row r="22" spans="1:32" ht="38.25">
      <c r="A22" s="112">
        <f t="shared" ref="A22:A50" si="0">+A21+1</f>
        <v>9</v>
      </c>
      <c r="B22" s="1203" t="s">
        <v>163</v>
      </c>
      <c r="C22" s="151" t="s">
        <v>82</v>
      </c>
      <c r="D22" s="132" t="s">
        <v>222</v>
      </c>
      <c r="E22" s="1039" t="s">
        <v>31</v>
      </c>
      <c r="F22" s="122"/>
      <c r="G22" s="315"/>
      <c r="H22" s="1039" t="s">
        <v>31</v>
      </c>
      <c r="I22" s="132"/>
      <c r="J22" s="317"/>
      <c r="K22" s="1039" t="s">
        <v>31</v>
      </c>
      <c r="L22" s="132"/>
      <c r="M22" s="315"/>
      <c r="N22" s="1039"/>
      <c r="O22" s="132"/>
      <c r="P22" s="315"/>
      <c r="Q22" s="127"/>
      <c r="R22" s="116"/>
      <c r="S22" s="895"/>
    </row>
    <row r="23" spans="1:32" ht="13.5">
      <c r="A23" s="112">
        <f>+A22+1</f>
        <v>10</v>
      </c>
      <c r="B23" s="1203" t="s">
        <v>164</v>
      </c>
      <c r="C23" s="151" t="s">
        <v>1104</v>
      </c>
      <c r="D23" s="132"/>
      <c r="E23" s="1209">
        <v>0</v>
      </c>
      <c r="F23" s="221"/>
      <c r="G23" s="316"/>
      <c r="H23" s="1100">
        <f>Inputs!$E$8</f>
        <v>50</v>
      </c>
      <c r="I23" s="180"/>
      <c r="J23" s="316"/>
      <c r="K23" s="1100">
        <f>Inputs!$E$8</f>
        <v>50</v>
      </c>
      <c r="L23" s="222"/>
      <c r="M23" s="316"/>
      <c r="N23" s="1039"/>
      <c r="O23" s="222"/>
      <c r="P23" s="316"/>
      <c r="Q23" s="127"/>
      <c r="R23" s="117"/>
      <c r="S23" s="896"/>
      <c r="V23" s="2258" t="s">
        <v>1734</v>
      </c>
    </row>
    <row r="24" spans="1:32" ht="25.5">
      <c r="A24" s="112">
        <f t="shared" si="0"/>
        <v>11</v>
      </c>
      <c r="B24" s="1203" t="s">
        <v>43</v>
      </c>
      <c r="C24" s="151" t="str">
        <f>'Appendix A'!H213*100&amp;"% ROE"</f>
        <v>9.8% ROE</v>
      </c>
      <c r="D24" s="130"/>
      <c r="E24" s="223">
        <f>$M$9</f>
        <v>0.10779043235511593</v>
      </c>
      <c r="F24" s="122"/>
      <c r="G24" s="317"/>
      <c r="H24" s="223">
        <f>$M$9</f>
        <v>0.10779043235511593</v>
      </c>
      <c r="I24" s="132"/>
      <c r="J24" s="317"/>
      <c r="K24" s="223">
        <f>$M$9</f>
        <v>0.10779043235511593</v>
      </c>
      <c r="L24" s="116"/>
      <c r="M24" s="317"/>
      <c r="N24" s="223">
        <f>$M$9</f>
        <v>0.10779043235511593</v>
      </c>
      <c r="O24" s="116"/>
      <c r="P24" s="317"/>
      <c r="Q24" s="127"/>
      <c r="R24" s="117"/>
      <c r="S24" s="358"/>
    </row>
    <row r="25" spans="1:32">
      <c r="A25" s="112">
        <f t="shared" si="0"/>
        <v>12</v>
      </c>
      <c r="B25" s="571" t="s">
        <v>664</v>
      </c>
      <c r="C25" s="189" t="s">
        <v>85</v>
      </c>
      <c r="D25" s="130"/>
      <c r="E25" s="223">
        <f>(E$23/100*$M$11)+E$24</f>
        <v>0.10779043235511593</v>
      </c>
      <c r="F25" s="122"/>
      <c r="G25" s="314"/>
      <c r="H25" s="223">
        <f>(H$23/100*$M$11)+H$24</f>
        <v>0.11096197682236242</v>
      </c>
      <c r="I25" s="116"/>
      <c r="J25" s="314"/>
      <c r="K25" s="223">
        <f>(K$23/100*$M$11)+K$24</f>
        <v>0.11096197682236242</v>
      </c>
      <c r="L25" s="348"/>
      <c r="M25" s="314"/>
      <c r="N25" s="223">
        <f>(N$23/100*$M$11)+N$24</f>
        <v>0.10779043235511593</v>
      </c>
      <c r="O25" s="348"/>
      <c r="P25" s="314"/>
      <c r="Q25" s="127"/>
      <c r="R25" s="117"/>
      <c r="S25" s="897"/>
    </row>
    <row r="26" spans="1:32">
      <c r="A26" s="112">
        <f t="shared" si="0"/>
        <v>13</v>
      </c>
      <c r="B26" s="571" t="s">
        <v>1131</v>
      </c>
      <c r="C26" s="151" t="s">
        <v>165</v>
      </c>
      <c r="D26" s="132"/>
      <c r="E26" s="1201">
        <v>0</v>
      </c>
      <c r="F26" s="136"/>
      <c r="G26" s="135"/>
      <c r="H26" s="1201">
        <f>'Gateway PIS Monthly'!M106</f>
        <v>1463059093.741802</v>
      </c>
      <c r="I26" s="1608"/>
      <c r="J26" s="135"/>
      <c r="K26" s="1040">
        <f>'Att 6 - Est &amp; Reconcile WS'!S44-('Att 6 - Est &amp; Reconcile WS'!S63*0.5)</f>
        <v>0</v>
      </c>
      <c r="L26" s="136">
        <f>K36-0.5*L36</f>
        <v>0</v>
      </c>
      <c r="M26" s="135"/>
      <c r="N26" s="1040">
        <v>0</v>
      </c>
      <c r="O26" s="136"/>
      <c r="P26" s="135"/>
      <c r="Q26" s="127"/>
      <c r="R26" s="116"/>
      <c r="S26" s="116"/>
    </row>
    <row r="27" spans="1:32">
      <c r="A27" s="112">
        <f t="shared" si="0"/>
        <v>14</v>
      </c>
      <c r="B27" s="571" t="s">
        <v>1130</v>
      </c>
      <c r="C27" s="127" t="s">
        <v>1134</v>
      </c>
      <c r="D27" s="132"/>
      <c r="E27" s="1040">
        <f>IF(E21=0,0,E26/E21)</f>
        <v>0</v>
      </c>
      <c r="F27" s="122"/>
      <c r="G27" s="135"/>
      <c r="H27" s="1040">
        <f>IF(H26=0,0,H26/H21)</f>
        <v>25225156.788651757</v>
      </c>
      <c r="I27" s="1610"/>
      <c r="J27" s="135"/>
      <c r="K27" s="1040">
        <f>'Att 6 - Est &amp; Reconcile WS'!S63</f>
        <v>0</v>
      </c>
      <c r="L27" s="136"/>
      <c r="M27" s="135"/>
      <c r="N27" s="1040">
        <f>IF(N26=0,0,N26/N21)</f>
        <v>0</v>
      </c>
      <c r="O27" s="136"/>
      <c r="P27" s="135"/>
      <c r="Q27" s="127"/>
      <c r="R27" s="116"/>
      <c r="S27" s="116"/>
    </row>
    <row r="28" spans="1:32" s="2" customFormat="1" ht="13.5" thickBot="1">
      <c r="A28" s="112"/>
      <c r="B28" s="1203"/>
      <c r="C28" s="151"/>
      <c r="D28" s="130"/>
      <c r="E28" s="1166"/>
      <c r="F28" s="156"/>
      <c r="G28" s="153"/>
      <c r="H28" s="1166"/>
      <c r="I28" s="152"/>
      <c r="J28" s="153"/>
      <c r="K28" s="1166"/>
      <c r="L28" s="152"/>
      <c r="M28" s="153"/>
      <c r="N28" s="1166"/>
      <c r="O28" s="152"/>
      <c r="P28" s="153"/>
      <c r="Q28" s="215"/>
      <c r="R28" s="898"/>
      <c r="S28" s="898"/>
      <c r="T28"/>
    </row>
    <row r="29" spans="1:32" ht="54" customHeight="1" thickBot="1">
      <c r="B29" s="168"/>
      <c r="C29" s="894"/>
      <c r="D29" s="889" t="s">
        <v>84</v>
      </c>
      <c r="E29" s="1167" t="s">
        <v>1131</v>
      </c>
      <c r="F29" s="1168" t="s">
        <v>94</v>
      </c>
      <c r="G29" s="890" t="s">
        <v>93</v>
      </c>
      <c r="H29" s="1167" t="s">
        <v>1131</v>
      </c>
      <c r="I29" s="1168" t="s">
        <v>94</v>
      </c>
      <c r="J29" s="1169" t="s">
        <v>93</v>
      </c>
      <c r="K29" s="1167" t="s">
        <v>1131</v>
      </c>
      <c r="L29" s="1168" t="s">
        <v>94</v>
      </c>
      <c r="M29" s="1169" t="s">
        <v>93</v>
      </c>
      <c r="N29" s="1167" t="s">
        <v>1131</v>
      </c>
      <c r="O29" s="1168" t="s">
        <v>94</v>
      </c>
      <c r="P29" s="1169" t="s">
        <v>93</v>
      </c>
      <c r="Q29" s="891" t="s">
        <v>282</v>
      </c>
      <c r="R29" s="892" t="s">
        <v>97</v>
      </c>
      <c r="S29" s="893" t="s">
        <v>604</v>
      </c>
      <c r="T29" s="1210" t="s">
        <v>1140</v>
      </c>
    </row>
    <row r="30" spans="1:32">
      <c r="A30" s="112">
        <f>+A27+1</f>
        <v>15</v>
      </c>
      <c r="B30" s="1285" t="str">
        <f>D30&amp;C30</f>
        <v>2010W  9.8 % ROE</v>
      </c>
      <c r="C30" s="201" t="str">
        <f>"W  "&amp;'Appendix A'!H213*100&amp;" % ROE"</f>
        <v>W  9.8 % ROE</v>
      </c>
      <c r="D30" s="1208">
        <v>2010</v>
      </c>
      <c r="E30" s="140">
        <f>E$26</f>
        <v>0</v>
      </c>
      <c r="F30" s="152">
        <f>+$E$27</f>
        <v>0</v>
      </c>
      <c r="G30" s="152">
        <f>+E30*E$24+F30</f>
        <v>0</v>
      </c>
      <c r="H30" s="1595">
        <f>+'Gateway PIS Monthly'!M34</f>
        <v>287225424.6045447</v>
      </c>
      <c r="I30" s="1621">
        <f>SUM('Gateway PIS Monthly'!J22:J34)</f>
        <v>4836782.9695761502</v>
      </c>
      <c r="J30" s="152">
        <f>+H30*H$24+I30</f>
        <v>35796935.671081774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35796935.671081774</v>
      </c>
      <c r="R30" s="127"/>
      <c r="S30" s="139">
        <f>+Q30</f>
        <v>35796935.671081774</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580">
        <f>H30</f>
        <v>287225424.6045447</v>
      </c>
      <c r="I31" s="152">
        <f>I30</f>
        <v>4836782.9695761502</v>
      </c>
      <c r="J31" s="152">
        <f>+H31*H$25+I31</f>
        <v>36707883.877338842</v>
      </c>
      <c r="K31" s="140">
        <f t="shared" si="1"/>
        <v>0</v>
      </c>
      <c r="L31" s="136">
        <f t="shared" si="2"/>
        <v>0</v>
      </c>
      <c r="M31" s="152">
        <f>+K31*K$25+L31</f>
        <v>0</v>
      </c>
      <c r="N31" s="140">
        <f>+N30</f>
        <v>0</v>
      </c>
      <c r="O31" s="136">
        <f>+O30</f>
        <v>0</v>
      </c>
      <c r="P31" s="152">
        <f>+N31*N$25+O31</f>
        <v>0</v>
      </c>
      <c r="Q31" s="149">
        <f t="shared" si="3"/>
        <v>36707883.877338842</v>
      </c>
      <c r="R31" s="216">
        <f>+Q31</f>
        <v>36707883.877338842</v>
      </c>
      <c r="S31" s="126"/>
      <c r="T31" s="1211">
        <f>R31-S30</f>
        <v>910948.20625706762</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587">
        <f>+'Gateway PIS Monthly'!M46</f>
        <v>784113653.19373691</v>
      </c>
      <c r="I32" s="1621">
        <f>SUM('Gateway PIS Monthly'!J35:J46)</f>
        <v>13727953.751135059</v>
      </c>
      <c r="J32" s="152">
        <f>+H32*H$24+I32</f>
        <v>98247903.444437385</v>
      </c>
      <c r="K32" s="140">
        <f t="shared" si="1"/>
        <v>0</v>
      </c>
      <c r="L32" s="138">
        <f t="shared" si="2"/>
        <v>0</v>
      </c>
      <c r="M32" s="152">
        <f>+K32*K$24+L32</f>
        <v>0</v>
      </c>
      <c r="N32" s="140">
        <f>+N$26</f>
        <v>0</v>
      </c>
      <c r="O32" s="138">
        <f>+N$27</f>
        <v>0</v>
      </c>
      <c r="P32" s="152">
        <f>+N32*N$24+O32</f>
        <v>0</v>
      </c>
      <c r="Q32" s="149">
        <f t="shared" si="3"/>
        <v>98247903.444437385</v>
      </c>
      <c r="R32" s="127"/>
      <c r="S32" s="139">
        <f>+Q32</f>
        <v>98247903.444437385</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580">
        <f>H32</f>
        <v>784113653.19373691</v>
      </c>
      <c r="I33" s="897">
        <f t="shared" ref="I33:I69" si="9">I32</f>
        <v>13727953.751135059</v>
      </c>
      <c r="J33" s="152">
        <f>+H33*H$25+I33</f>
        <v>100734754.76291642</v>
      </c>
      <c r="K33" s="140">
        <f t="shared" si="1"/>
        <v>0</v>
      </c>
      <c r="L33" s="138">
        <f t="shared" si="2"/>
        <v>0</v>
      </c>
      <c r="M33" s="152">
        <f>+K33*K$25+L33</f>
        <v>0</v>
      </c>
      <c r="N33" s="140">
        <v>0</v>
      </c>
      <c r="O33" s="138">
        <f>+O32</f>
        <v>0</v>
      </c>
      <c r="P33" s="152">
        <f>+N33*N$25+O33</f>
        <v>0</v>
      </c>
      <c r="Q33" s="149">
        <f t="shared" si="3"/>
        <v>100734754.76291642</v>
      </c>
      <c r="R33" s="216">
        <f>+Q33</f>
        <v>100734754.76291642</v>
      </c>
      <c r="S33" s="126"/>
      <c r="T33" s="1211">
        <f>R33-S32</f>
        <v>2486851.3184790313</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595">
        <f>+'Gateway PIS Monthly'!M58</f>
        <v>785864996.70524514</v>
      </c>
      <c r="I34" s="1644">
        <f>SUM('Gateway PIS Monthly'!J47:J58)</f>
        <v>13960854.81519396</v>
      </c>
      <c r="J34" s="152">
        <f>+H34*H$24+I34</f>
        <v>98669582.582804099</v>
      </c>
      <c r="K34" s="140">
        <f t="shared" si="1"/>
        <v>0</v>
      </c>
      <c r="L34" s="138">
        <f t="shared" si="2"/>
        <v>0</v>
      </c>
      <c r="M34" s="152">
        <f>+K34*K$24+L34</f>
        <v>0</v>
      </c>
      <c r="N34" s="140">
        <v>0</v>
      </c>
      <c r="O34" s="138">
        <f t="shared" ref="O34:O70" si="10">+O33</f>
        <v>0</v>
      </c>
      <c r="P34" s="152">
        <f>+N34*N$24+O34</f>
        <v>0</v>
      </c>
      <c r="Q34" s="149">
        <f t="shared" si="3"/>
        <v>98669582.582804099</v>
      </c>
      <c r="R34" s="127"/>
      <c r="S34" s="139">
        <f>+Q34</f>
        <v>98669582.582804099</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580">
        <f>H34</f>
        <v>785864996.70524514</v>
      </c>
      <c r="I35" s="897">
        <f t="shared" si="9"/>
        <v>13960854.81519396</v>
      </c>
      <c r="J35" s="152">
        <f>+H35*H$25+I35</f>
        <v>101161988.3651073</v>
      </c>
      <c r="K35" s="140">
        <f t="shared" si="1"/>
        <v>0</v>
      </c>
      <c r="L35" s="138">
        <f t="shared" si="2"/>
        <v>0</v>
      </c>
      <c r="M35" s="152">
        <f>+K35*K$25+L35</f>
        <v>0</v>
      </c>
      <c r="N35" s="140">
        <v>0</v>
      </c>
      <c r="O35" s="138">
        <f t="shared" si="10"/>
        <v>0</v>
      </c>
      <c r="P35" s="152">
        <f>+N35*N$25+O35</f>
        <v>0</v>
      </c>
      <c r="Q35" s="149">
        <f t="shared" si="3"/>
        <v>101161988.3651073</v>
      </c>
      <c r="R35" s="216">
        <f>+Q35</f>
        <v>101161988.3651073</v>
      </c>
      <c r="S35" s="126"/>
      <c r="T35" s="1211">
        <f>R35-S34</f>
        <v>2492405.7823031992</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595">
        <f>+'Gateway PIS Monthly'!M70</f>
        <v>1039140448.7705153</v>
      </c>
      <c r="I36" s="1644">
        <f>SUM('Gateway PIS Monthly'!J59:J70)</f>
        <v>18682868.780114934</v>
      </c>
      <c r="J36" s="152">
        <f>+H36*H$24+I36</f>
        <v>130692267.03077798</v>
      </c>
      <c r="K36" s="1580">
        <f t="shared" si="1"/>
        <v>0</v>
      </c>
      <c r="L36" s="897">
        <f t="shared" si="2"/>
        <v>0</v>
      </c>
      <c r="M36" s="1610">
        <f>+K36*K$24+L36</f>
        <v>0</v>
      </c>
      <c r="N36" s="140">
        <v>0</v>
      </c>
      <c r="O36" s="138">
        <f t="shared" si="10"/>
        <v>0</v>
      </c>
      <c r="P36" s="152">
        <f>+N36*N$24+O36</f>
        <v>0</v>
      </c>
      <c r="Q36" s="149">
        <f t="shared" si="3"/>
        <v>130692267.03077798</v>
      </c>
      <c r="R36" s="127"/>
      <c r="S36" s="139">
        <f>+Q36</f>
        <v>130692267.03077798</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133987947.17176814</v>
      </c>
      <c r="K37" s="1580">
        <f t="shared" si="1"/>
        <v>0</v>
      </c>
      <c r="L37" s="897">
        <f t="shared" si="2"/>
        <v>0</v>
      </c>
      <c r="M37" s="1610">
        <f>+K37*K$25+L37</f>
        <v>0</v>
      </c>
      <c r="N37" s="140">
        <v>0</v>
      </c>
      <c r="O37" s="138">
        <f t="shared" si="10"/>
        <v>0</v>
      </c>
      <c r="P37" s="152">
        <f>+N37*N$25+O37</f>
        <v>0</v>
      </c>
      <c r="Q37" s="149">
        <f t="shared" si="3"/>
        <v>133987947.17176814</v>
      </c>
      <c r="R37" s="216">
        <f>+Q37</f>
        <v>133987947.17176814</v>
      </c>
      <c r="S37" s="126"/>
      <c r="T37" s="1211">
        <f>R37-S36</f>
        <v>3295680.1409901679</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595">
        <f>'Gateway PIS Monthly'!M82</f>
        <v>1164054967.550472</v>
      </c>
      <c r="I38" s="1644">
        <f>SUM('Gateway PIS Monthly'!J71:J82)</f>
        <v>21135829.272040218</v>
      </c>
      <c r="J38" s="152">
        <f>+H38*H$24+I38</f>
        <v>146609817.50942606</v>
      </c>
      <c r="K38" s="140">
        <f t="shared" si="1"/>
        <v>0</v>
      </c>
      <c r="L38" s="138">
        <f t="shared" si="2"/>
        <v>0</v>
      </c>
      <c r="M38" s="152">
        <f>+K38*K$24+L38</f>
        <v>0</v>
      </c>
      <c r="N38" s="140">
        <v>0</v>
      </c>
      <c r="O38" s="138">
        <f t="shared" si="10"/>
        <v>0</v>
      </c>
      <c r="P38" s="152">
        <f>+N38*N$24+O38</f>
        <v>0</v>
      </c>
      <c r="Q38" s="149">
        <f t="shared" si="3"/>
        <v>146609817.50942606</v>
      </c>
      <c r="R38" s="127"/>
      <c r="S38" s="139">
        <f>+Q38</f>
        <v>146609817.50942606</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150301669.60133153</v>
      </c>
      <c r="K39" s="140">
        <f t="shared" si="1"/>
        <v>0</v>
      </c>
      <c r="L39" s="138">
        <f t="shared" si="2"/>
        <v>0</v>
      </c>
      <c r="M39" s="152">
        <f>+K39*K$25+L39</f>
        <v>0</v>
      </c>
      <c r="N39" s="140">
        <v>0</v>
      </c>
      <c r="O39" s="138">
        <f t="shared" si="10"/>
        <v>0</v>
      </c>
      <c r="P39" s="152">
        <f>+N39*N$25+O39</f>
        <v>0</v>
      </c>
      <c r="Q39" s="149">
        <f t="shared" si="3"/>
        <v>150301669.60133153</v>
      </c>
      <c r="R39" s="216">
        <f>+Q39</f>
        <v>150301669.60133153</v>
      </c>
      <c r="S39" s="126"/>
      <c r="T39" s="1211">
        <f>R39-S38</f>
        <v>3691852.0919054747</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595">
        <f>'Gateway PIS Monthly'!M94</f>
        <v>1350166903.3483121</v>
      </c>
      <c r="I40" s="1644">
        <f>SUM('Gateway PIS Monthly'!J83:J94)</f>
        <v>24782099.925739925</v>
      </c>
      <c r="J40" s="152">
        <f>+H40*H$24+I40</f>
        <v>170317174.18922248</v>
      </c>
      <c r="K40" s="2227">
        <f>$K$26*(IF($D40=data_year+1,1,0))</f>
        <v>0</v>
      </c>
      <c r="L40" s="2228">
        <f t="shared" si="2"/>
        <v>0</v>
      </c>
      <c r="M40" s="2229">
        <f>+K40*K$24+L40</f>
        <v>0</v>
      </c>
      <c r="N40" s="140">
        <v>0</v>
      </c>
      <c r="O40" s="138">
        <f t="shared" si="10"/>
        <v>0</v>
      </c>
      <c r="P40" s="152">
        <f>+N40*N$24+O40</f>
        <v>0</v>
      </c>
      <c r="Q40" s="149">
        <f t="shared" si="3"/>
        <v>170317174.18922248</v>
      </c>
      <c r="R40" s="127"/>
      <c r="S40" s="139">
        <f>+Q40</f>
        <v>170317174.18922248</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174599288.56139615</v>
      </c>
      <c r="K41" s="2227">
        <f t="shared" si="1"/>
        <v>0</v>
      </c>
      <c r="L41" s="2228">
        <f t="shared" si="2"/>
        <v>0</v>
      </c>
      <c r="M41" s="2229">
        <f>+K41*K$25+L41</f>
        <v>0</v>
      </c>
      <c r="N41" s="140">
        <v>0</v>
      </c>
      <c r="O41" s="138">
        <f t="shared" si="10"/>
        <v>0</v>
      </c>
      <c r="P41" s="152">
        <f>+N41*N$25+O41</f>
        <v>0</v>
      </c>
      <c r="Q41" s="149">
        <f t="shared" si="3"/>
        <v>174599288.56139615</v>
      </c>
      <c r="R41" s="216">
        <f>+Q41</f>
        <v>174599288.56139615</v>
      </c>
      <c r="S41" s="126"/>
      <c r="T41" s="1211">
        <f>R41-S40</f>
        <v>4282114.372173667</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595">
        <f>'Gateway PIS Monthly'!M106</f>
        <v>1463059093.741802</v>
      </c>
      <c r="I42" s="1644">
        <f>SUM('Gateway PIS Monthly'!J94:J106)</f>
        <v>29386385.30888648</v>
      </c>
      <c r="J42" s="152">
        <f>+H42*H$24+I42</f>
        <v>187090157.5843994</v>
      </c>
      <c r="K42" s="140">
        <f t="shared" si="1"/>
        <v>0</v>
      </c>
      <c r="L42" s="138">
        <f t="shared" si="2"/>
        <v>0</v>
      </c>
      <c r="M42" s="1610">
        <f>+K42*K$24+L42</f>
        <v>0</v>
      </c>
      <c r="N42" s="140">
        <v>0</v>
      </c>
      <c r="O42" s="138">
        <f t="shared" si="10"/>
        <v>0</v>
      </c>
      <c r="P42" s="152">
        <f>+N42*N$24+O42</f>
        <v>0</v>
      </c>
      <c r="Q42" s="149">
        <f t="shared" si="3"/>
        <v>187090157.5843994</v>
      </c>
      <c r="R42" s="127"/>
      <c r="S42" s="139">
        <f>+Q42</f>
        <v>187090157.5843994</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1463059093.741802</v>
      </c>
      <c r="I43" s="138">
        <f>I42</f>
        <v>29386385.30888648</v>
      </c>
      <c r="J43" s="152">
        <f>+H43*H$25+I43</f>
        <v>191730314.55841085</v>
      </c>
      <c r="K43" s="140">
        <f t="shared" si="1"/>
        <v>0</v>
      </c>
      <c r="L43" s="138">
        <f t="shared" si="2"/>
        <v>0</v>
      </c>
      <c r="M43" s="152">
        <f>+K43*K$25+L43</f>
        <v>0</v>
      </c>
      <c r="N43" s="140">
        <v>0</v>
      </c>
      <c r="O43" s="138">
        <f t="shared" si="10"/>
        <v>0</v>
      </c>
      <c r="P43" s="152">
        <f>+N43*N$25+O43</f>
        <v>0</v>
      </c>
      <c r="Q43" s="149">
        <f t="shared" si="3"/>
        <v>191730314.55841085</v>
      </c>
      <c r="R43" s="216">
        <f>+Q43</f>
        <v>191730314.55841085</v>
      </c>
      <c r="S43" s="126"/>
      <c r="T43" s="1211">
        <f>R43-S42</f>
        <v>4640156.974011451</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595">
        <f>'Gateway PIS Monthly'!M118</f>
        <v>1439903455.379915</v>
      </c>
      <c r="I44" s="1644">
        <f>SUM('Gateway PIS Monthly'!J106:J118)</f>
        <v>29467919.365660902</v>
      </c>
      <c r="J44" s="1610">
        <f>+H44*H$24+I44</f>
        <v>184675735.37068731</v>
      </c>
      <c r="K44" s="140">
        <f>$K$26*(IF($D44=data_year+1,1,0))</f>
        <v>0</v>
      </c>
      <c r="L44" s="138">
        <f t="shared" si="2"/>
        <v>0</v>
      </c>
      <c r="M44" s="152">
        <f>+K44*K$24+L44</f>
        <v>0</v>
      </c>
      <c r="N44" s="140">
        <v>0</v>
      </c>
      <c r="O44" s="138">
        <f t="shared" si="10"/>
        <v>0</v>
      </c>
      <c r="P44" s="152">
        <f>+N44*N$24+O44</f>
        <v>0</v>
      </c>
      <c r="Q44" s="149">
        <f t="shared" si="3"/>
        <v>184675735.37068731</v>
      </c>
      <c r="R44" s="127"/>
      <c r="S44" s="139">
        <f>+Q44</f>
        <v>184675735.37068731</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1439903455.379915</v>
      </c>
      <c r="I45" s="138">
        <f t="shared" si="9"/>
        <v>29467919.365660902</v>
      </c>
      <c r="J45" s="152">
        <f>+H45*H$25+I45</f>
        <v>189242453.2079666</v>
      </c>
      <c r="K45" s="140">
        <f t="shared" si="1"/>
        <v>0</v>
      </c>
      <c r="L45" s="138">
        <f t="shared" si="2"/>
        <v>0</v>
      </c>
      <c r="M45" s="152">
        <f>+K45*K$25+L45</f>
        <v>0</v>
      </c>
      <c r="N45" s="140">
        <v>0</v>
      </c>
      <c r="O45" s="138">
        <f t="shared" si="10"/>
        <v>0</v>
      </c>
      <c r="P45" s="152">
        <f>+N45*N$25+O45</f>
        <v>0</v>
      </c>
      <c r="Q45" s="149">
        <f t="shared" si="3"/>
        <v>189242453.2079666</v>
      </c>
      <c r="R45" s="216">
        <f>+Q45</f>
        <v>189242453.2079666</v>
      </c>
      <c r="S45" s="126"/>
      <c r="T45" s="1211">
        <f>R45-S44</f>
        <v>4566717.83727929</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595">
        <f>'Gateway PIS Monthly'!$M$130</f>
        <v>1413351782.7244527</v>
      </c>
      <c r="I46" s="1644">
        <f>SUM('Gateway PIS Monthly'!J119:J130)</f>
        <v>27214237.82724135</v>
      </c>
      <c r="J46" s="152">
        <f>+H46*H$24+I46</f>
        <v>179560037.55698398</v>
      </c>
      <c r="K46" s="140">
        <f>$K$26*(IF($D46=data_year+1,1,0))</f>
        <v>0</v>
      </c>
      <c r="L46" s="138">
        <f t="shared" si="2"/>
        <v>0</v>
      </c>
      <c r="M46" s="152">
        <f>+K46*K$24+L46</f>
        <v>0</v>
      </c>
      <c r="N46" s="140">
        <v>0</v>
      </c>
      <c r="O46" s="138">
        <f t="shared" si="10"/>
        <v>0</v>
      </c>
      <c r="P46" s="152">
        <f>+N46*N$24+O46</f>
        <v>0</v>
      </c>
      <c r="Q46" s="149">
        <f t="shared" si="3"/>
        <v>179560037.55698398</v>
      </c>
      <c r="R46" s="127"/>
      <c r="S46" s="139">
        <f>+Q46</f>
        <v>179560037.55698398</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1413351782.7244527</v>
      </c>
      <c r="I47" s="138">
        <f t="shared" si="9"/>
        <v>27214237.82724135</v>
      </c>
      <c r="J47" s="152">
        <f>+H47*H$25+I47</f>
        <v>184042545.58375669</v>
      </c>
      <c r="K47" s="140">
        <f t="shared" si="1"/>
        <v>0</v>
      </c>
      <c r="L47" s="138">
        <f t="shared" si="2"/>
        <v>0</v>
      </c>
      <c r="M47" s="152">
        <f>+K47*K$25+L47</f>
        <v>0</v>
      </c>
      <c r="N47" s="140">
        <v>0</v>
      </c>
      <c r="O47" s="138">
        <f t="shared" si="10"/>
        <v>0</v>
      </c>
      <c r="P47" s="152">
        <f>+N47*N$25+O47</f>
        <v>0</v>
      </c>
      <c r="Q47" s="149">
        <f t="shared" si="3"/>
        <v>184042545.58375669</v>
      </c>
      <c r="R47" s="216">
        <f>+Q47</f>
        <v>184042545.58375669</v>
      </c>
      <c r="S47" s="126"/>
      <c r="T47" s="1211">
        <f>R47-S46</f>
        <v>4482508.0267727077</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v>0</v>
      </c>
      <c r="I48" s="138">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1">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1">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1">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1">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1">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1">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1">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1">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1">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1">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1">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199"/>
      <c r="G71" s="1199"/>
      <c r="H71" s="1200">
        <v>0</v>
      </c>
      <c r="I71" s="1199" t="s">
        <v>96</v>
      </c>
      <c r="J71" s="428"/>
      <c r="K71" s="1200">
        <v>0</v>
      </c>
      <c r="L71" s="1199" t="s">
        <v>96</v>
      </c>
      <c r="M71" s="145" t="s">
        <v>95</v>
      </c>
      <c r="N71" s="1200">
        <v>0</v>
      </c>
      <c r="O71" s="1199" t="s">
        <v>96</v>
      </c>
      <c r="P71" s="428"/>
      <c r="Q71" s="150"/>
      <c r="R71" s="217">
        <f>+Q71</f>
        <v>0</v>
      </c>
      <c r="S71" s="128"/>
      <c r="T71" s="1212">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workbookViewId="0"/>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8"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8"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8">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8" ht="15.75">
      <c r="A4" s="369" t="s">
        <v>1951</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8">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8" s="350" customFormat="1" ht="13.5" thickBot="1">
      <c r="A6" s="412"/>
      <c r="B6" s="1512"/>
      <c r="C6" s="1512"/>
      <c r="D6" s="1512"/>
      <c r="E6" s="412"/>
      <c r="F6" s="412"/>
      <c r="G6" s="412"/>
      <c r="H6" s="412"/>
      <c r="I6" s="412"/>
      <c r="J6" s="412"/>
      <c r="K6" s="412"/>
      <c r="L6" s="412"/>
      <c r="M6" s="412"/>
      <c r="N6" s="412"/>
      <c r="O6" s="412"/>
      <c r="P6" s="412"/>
      <c r="Q6" s="412"/>
      <c r="R6" s="412"/>
      <c r="S6" s="412"/>
      <c r="T6" s="412"/>
      <c r="U6" s="412"/>
      <c r="V6" s="412"/>
      <c r="W6" s="412"/>
      <c r="X6" s="412"/>
      <c r="Y6" s="412"/>
      <c r="Z6" s="412"/>
    </row>
    <row r="7" spans="1:28" s="350" customFormat="1" ht="13.5" thickBot="1">
      <c r="B7" s="1502"/>
      <c r="C7" s="1502"/>
      <c r="D7" s="1502"/>
      <c r="E7" s="2704" t="s">
        <v>458</v>
      </c>
      <c r="F7" s="2705"/>
      <c r="H7" s="2700" t="s">
        <v>459</v>
      </c>
      <c r="I7" s="2701"/>
      <c r="K7" s="2700" t="s">
        <v>460</v>
      </c>
      <c r="L7" s="2701"/>
      <c r="N7" s="2700" t="s">
        <v>461</v>
      </c>
      <c r="O7" s="2701"/>
      <c r="Q7" s="2700" t="s">
        <v>681</v>
      </c>
      <c r="R7" s="2701"/>
      <c r="T7" s="2700" t="s">
        <v>682</v>
      </c>
      <c r="U7" s="2701"/>
      <c r="W7" s="2700" t="s">
        <v>462</v>
      </c>
      <c r="X7" s="2701"/>
      <c r="Z7" s="663" t="s">
        <v>536</v>
      </c>
    </row>
    <row r="8" spans="1:28" s="350" customFormat="1" ht="13.5" thickBot="1">
      <c r="B8" s="666" t="s">
        <v>692</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8" s="350" customFormat="1" ht="13.5" thickBot="1">
      <c r="B9" s="672"/>
      <c r="C9" s="673"/>
      <c r="D9" s="674"/>
      <c r="E9" s="1514" t="s">
        <v>444</v>
      </c>
      <c r="F9" s="1515" t="s">
        <v>445</v>
      </c>
      <c r="G9" s="670"/>
      <c r="H9" s="1514" t="s">
        <v>446</v>
      </c>
      <c r="I9" s="1515" t="s">
        <v>447</v>
      </c>
      <c r="J9" s="670"/>
      <c r="K9" s="1514" t="s">
        <v>448</v>
      </c>
      <c r="L9" s="1515" t="s">
        <v>449</v>
      </c>
      <c r="M9" s="670"/>
      <c r="N9" s="1514" t="s">
        <v>475</v>
      </c>
      <c r="O9" s="1515" t="s">
        <v>476</v>
      </c>
      <c r="P9" s="670"/>
      <c r="Q9" s="1514" t="s">
        <v>450</v>
      </c>
      <c r="R9" s="1515" t="s">
        <v>477</v>
      </c>
      <c r="S9" s="670"/>
      <c r="T9" s="1516" t="s">
        <v>478</v>
      </c>
      <c r="U9" s="1517" t="s">
        <v>479</v>
      </c>
      <c r="V9" s="675"/>
      <c r="W9" s="1516" t="s">
        <v>480</v>
      </c>
      <c r="X9" s="1517" t="s">
        <v>481</v>
      </c>
      <c r="Y9" s="675"/>
      <c r="Z9" s="1518" t="s">
        <v>668</v>
      </c>
      <c r="AA9" s="1511"/>
    </row>
    <row r="10" spans="1:28" s="350" customFormat="1" ht="14.25" customHeight="1">
      <c r="B10" s="730">
        <v>1</v>
      </c>
      <c r="C10" s="731">
        <v>350.2</v>
      </c>
      <c r="D10" s="669" t="s">
        <v>186</v>
      </c>
      <c r="E10" s="819"/>
      <c r="F10" s="732"/>
      <c r="G10" s="733"/>
      <c r="H10" s="819"/>
      <c r="I10" s="732"/>
      <c r="J10" s="733"/>
      <c r="K10" s="819"/>
      <c r="L10" s="732"/>
      <c r="M10" s="733"/>
      <c r="N10" s="819"/>
      <c r="O10" s="732"/>
      <c r="P10" s="733"/>
      <c r="Q10" s="819"/>
      <c r="R10" s="732"/>
      <c r="S10" s="733"/>
      <c r="T10" s="819"/>
      <c r="U10" s="732"/>
      <c r="V10" s="733"/>
      <c r="W10" s="819"/>
      <c r="X10" s="728"/>
      <c r="Y10" s="729"/>
      <c r="Z10" s="1513">
        <v>1.2699999999999999E-2</v>
      </c>
      <c r="AB10" s="2407"/>
    </row>
    <row r="11" spans="1:28" s="350" customFormat="1" ht="14.25" customHeight="1">
      <c r="B11" s="734">
        <v>2</v>
      </c>
      <c r="C11" s="735">
        <v>352</v>
      </c>
      <c r="D11" s="736" t="s">
        <v>92</v>
      </c>
      <c r="E11" s="820"/>
      <c r="F11" s="1509"/>
      <c r="G11" s="1504"/>
      <c r="H11" s="820"/>
      <c r="I11" s="1509"/>
      <c r="J11" s="1504"/>
      <c r="K11" s="820"/>
      <c r="L11" s="1509"/>
      <c r="M11" s="1504"/>
      <c r="N11" s="820"/>
      <c r="O11" s="1509"/>
      <c r="P11" s="1504"/>
      <c r="Q11" s="820"/>
      <c r="R11" s="1509"/>
      <c r="S11" s="1504"/>
      <c r="T11" s="820"/>
      <c r="U11" s="1509"/>
      <c r="V11" s="1504"/>
      <c r="W11" s="820"/>
      <c r="X11" s="1509"/>
      <c r="Y11" s="1504"/>
      <c r="Z11" s="1508">
        <v>1.4200000000000001E-2</v>
      </c>
      <c r="AB11" s="2407"/>
    </row>
    <row r="12" spans="1:28" s="350" customFormat="1" ht="14.25" customHeight="1">
      <c r="B12" s="734">
        <v>3</v>
      </c>
      <c r="C12" s="735">
        <v>353</v>
      </c>
      <c r="D12" s="736" t="s">
        <v>180</v>
      </c>
      <c r="E12" s="820"/>
      <c r="F12" s="1509"/>
      <c r="G12" s="1504"/>
      <c r="H12" s="820"/>
      <c r="I12" s="1509"/>
      <c r="J12" s="1504"/>
      <c r="K12" s="820"/>
      <c r="L12" s="1509"/>
      <c r="M12" s="1504"/>
      <c r="N12" s="820"/>
      <c r="O12" s="1509"/>
      <c r="P12" s="1504"/>
      <c r="Q12" s="820"/>
      <c r="R12" s="1509"/>
      <c r="S12" s="1504"/>
      <c r="T12" s="820"/>
      <c r="U12" s="1509"/>
      <c r="V12" s="1504"/>
      <c r="W12" s="820"/>
      <c r="X12" s="1509"/>
      <c r="Y12" s="1504"/>
      <c r="Z12" s="1508">
        <v>1.7399999999999999E-2</v>
      </c>
      <c r="AB12" s="2407"/>
    </row>
    <row r="13" spans="1:28" s="350" customFormat="1" ht="14.25" customHeight="1">
      <c r="B13" s="734">
        <v>4</v>
      </c>
      <c r="C13" s="735">
        <v>353.7</v>
      </c>
      <c r="D13" s="736" t="s">
        <v>430</v>
      </c>
      <c r="E13" s="820"/>
      <c r="F13" s="1509"/>
      <c r="G13" s="1504"/>
      <c r="H13" s="820"/>
      <c r="I13" s="1509"/>
      <c r="J13" s="1504"/>
      <c r="K13" s="820"/>
      <c r="L13" s="1509"/>
      <c r="M13" s="1504"/>
      <c r="N13" s="820"/>
      <c r="O13" s="1509"/>
      <c r="P13" s="1504"/>
      <c r="Q13" s="820"/>
      <c r="R13" s="1509"/>
      <c r="S13" s="1504"/>
      <c r="T13" s="820"/>
      <c r="U13" s="1509"/>
      <c r="V13" s="1504"/>
      <c r="W13" s="820"/>
      <c r="X13" s="1509"/>
      <c r="Y13" s="1504"/>
      <c r="Z13" s="1508">
        <v>1.7399999999999999E-2</v>
      </c>
      <c r="AB13" s="2407"/>
    </row>
    <row r="14" spans="1:28" s="350" customFormat="1" ht="14.25" customHeight="1">
      <c r="B14" s="734">
        <v>5</v>
      </c>
      <c r="C14" s="735">
        <v>354</v>
      </c>
      <c r="D14" s="736" t="s">
        <v>181</v>
      </c>
      <c r="E14" s="820"/>
      <c r="F14" s="1509"/>
      <c r="G14" s="1504"/>
      <c r="H14" s="820"/>
      <c r="I14" s="1509"/>
      <c r="J14" s="1504"/>
      <c r="K14" s="820"/>
      <c r="L14" s="1509"/>
      <c r="M14" s="1504"/>
      <c r="N14" s="820"/>
      <c r="O14" s="1509"/>
      <c r="P14" s="1504"/>
      <c r="Q14" s="820"/>
      <c r="R14" s="1509"/>
      <c r="S14" s="1504"/>
      <c r="T14" s="820"/>
      <c r="U14" s="1509"/>
      <c r="V14" s="1504"/>
      <c r="W14" s="820"/>
      <c r="X14" s="1509"/>
      <c r="Y14" s="1504"/>
      <c r="Z14" s="1508">
        <v>1.5299999999999999E-2</v>
      </c>
      <c r="AB14" s="2407"/>
    </row>
    <row r="15" spans="1:28" s="350" customFormat="1" ht="14.25" customHeight="1">
      <c r="B15" s="734">
        <v>6</v>
      </c>
      <c r="C15" s="735">
        <v>355</v>
      </c>
      <c r="D15" s="736" t="s">
        <v>182</v>
      </c>
      <c r="E15" s="820"/>
      <c r="F15" s="1509"/>
      <c r="G15" s="1504"/>
      <c r="H15" s="820"/>
      <c r="I15" s="1509"/>
      <c r="J15" s="1504"/>
      <c r="K15" s="820"/>
      <c r="L15" s="1509"/>
      <c r="M15" s="1504"/>
      <c r="N15" s="820"/>
      <c r="O15" s="1509"/>
      <c r="P15" s="1504"/>
      <c r="Q15" s="820"/>
      <c r="R15" s="1509"/>
      <c r="S15" s="1504"/>
      <c r="T15" s="820"/>
      <c r="U15" s="1509"/>
      <c r="V15" s="1504"/>
      <c r="W15" s="820"/>
      <c r="X15" s="1509"/>
      <c r="Y15" s="1504"/>
      <c r="Z15" s="1508">
        <v>2.18E-2</v>
      </c>
      <c r="AB15" s="2407"/>
    </row>
    <row r="16" spans="1:28" s="350" customFormat="1" ht="14.25" customHeight="1">
      <c r="B16" s="734">
        <v>7</v>
      </c>
      <c r="C16" s="735">
        <v>356</v>
      </c>
      <c r="D16" s="736" t="s">
        <v>183</v>
      </c>
      <c r="E16" s="820"/>
      <c r="F16" s="1509"/>
      <c r="G16" s="1504"/>
      <c r="H16" s="820"/>
      <c r="I16" s="1509"/>
      <c r="J16" s="1504"/>
      <c r="K16" s="820"/>
      <c r="L16" s="1509"/>
      <c r="M16" s="1504"/>
      <c r="N16" s="820"/>
      <c r="O16" s="1509"/>
      <c r="P16" s="1504"/>
      <c r="Q16" s="820"/>
      <c r="R16" s="1509"/>
      <c r="S16" s="1504"/>
      <c r="T16" s="820"/>
      <c r="U16" s="1509"/>
      <c r="V16" s="1504"/>
      <c r="W16" s="820"/>
      <c r="X16" s="1509"/>
      <c r="Y16" s="1504"/>
      <c r="Z16" s="1508">
        <v>1.8800000000000001E-2</v>
      </c>
      <c r="AB16" s="2407"/>
    </row>
    <row r="17" spans="2:28" s="350" customFormat="1" ht="14.25" customHeight="1">
      <c r="B17" s="734">
        <v>8</v>
      </c>
      <c r="C17" s="735">
        <v>356.2</v>
      </c>
      <c r="D17" s="736" t="s">
        <v>431</v>
      </c>
      <c r="E17" s="820"/>
      <c r="F17" s="1509"/>
      <c r="G17" s="1504"/>
      <c r="H17" s="820"/>
      <c r="I17" s="1509"/>
      <c r="J17" s="1504"/>
      <c r="K17" s="820"/>
      <c r="L17" s="1509"/>
      <c r="M17" s="1504"/>
      <c r="N17" s="820"/>
      <c r="O17" s="1509"/>
      <c r="P17" s="1504"/>
      <c r="Q17" s="820"/>
      <c r="R17" s="1509"/>
      <c r="S17" s="1504"/>
      <c r="T17" s="820"/>
      <c r="U17" s="1509"/>
      <c r="V17" s="1504"/>
      <c r="W17" s="820"/>
      <c r="X17" s="1509"/>
      <c r="Y17" s="1504"/>
      <c r="Z17" s="1508">
        <v>1.8800000000000001E-2</v>
      </c>
      <c r="AB17" s="2407"/>
    </row>
    <row r="18" spans="2:28" s="350" customFormat="1" ht="14.25" customHeight="1">
      <c r="B18" s="734">
        <v>9</v>
      </c>
      <c r="C18" s="735">
        <v>357</v>
      </c>
      <c r="D18" s="736" t="s">
        <v>184</v>
      </c>
      <c r="E18" s="820"/>
      <c r="F18" s="1509"/>
      <c r="G18" s="1504"/>
      <c r="H18" s="820"/>
      <c r="I18" s="1509"/>
      <c r="J18" s="1504"/>
      <c r="K18" s="820"/>
      <c r="L18" s="1509"/>
      <c r="M18" s="1504"/>
      <c r="N18" s="820"/>
      <c r="O18" s="1509"/>
      <c r="P18" s="1504"/>
      <c r="Q18" s="820"/>
      <c r="R18" s="1509"/>
      <c r="S18" s="1504"/>
      <c r="T18" s="820"/>
      <c r="U18" s="1509"/>
      <c r="V18" s="1504"/>
      <c r="W18" s="820"/>
      <c r="X18" s="1509"/>
      <c r="Y18" s="1504"/>
      <c r="Z18" s="1508">
        <v>1.6E-2</v>
      </c>
      <c r="AB18" s="2407"/>
    </row>
    <row r="19" spans="2:28" s="350" customFormat="1" ht="14.25" customHeight="1">
      <c r="B19" s="734">
        <v>10</v>
      </c>
      <c r="C19" s="735">
        <v>358</v>
      </c>
      <c r="D19" s="736" t="s">
        <v>185</v>
      </c>
      <c r="E19" s="820"/>
      <c r="F19" s="1509"/>
      <c r="G19" s="1504"/>
      <c r="H19" s="820"/>
      <c r="I19" s="1509"/>
      <c r="J19" s="1504"/>
      <c r="K19" s="820"/>
      <c r="L19" s="1509"/>
      <c r="M19" s="1504"/>
      <c r="N19" s="820"/>
      <c r="O19" s="1509"/>
      <c r="P19" s="1504"/>
      <c r="Q19" s="820"/>
      <c r="R19" s="1509"/>
      <c r="S19" s="1504"/>
      <c r="T19" s="820"/>
      <c r="U19" s="1509"/>
      <c r="V19" s="1504"/>
      <c r="W19" s="820"/>
      <c r="X19" s="1509"/>
      <c r="Y19" s="1504"/>
      <c r="Z19" s="1508">
        <v>1.66E-2</v>
      </c>
      <c r="AB19" s="2407"/>
    </row>
    <row r="20" spans="2:28" s="350" customFormat="1" ht="14.25" customHeight="1">
      <c r="B20" s="734">
        <v>11</v>
      </c>
      <c r="C20" s="735">
        <v>359</v>
      </c>
      <c r="D20" s="736" t="s">
        <v>440</v>
      </c>
      <c r="E20" s="820"/>
      <c r="F20" s="1509"/>
      <c r="G20" s="1504"/>
      <c r="H20" s="820"/>
      <c r="I20" s="1509"/>
      <c r="J20" s="1504"/>
      <c r="K20" s="820"/>
      <c r="L20" s="1509"/>
      <c r="M20" s="1504"/>
      <c r="N20" s="820"/>
      <c r="O20" s="1509"/>
      <c r="P20" s="1504"/>
      <c r="Q20" s="820"/>
      <c r="R20" s="1509"/>
      <c r="S20" s="1504"/>
      <c r="T20" s="820"/>
      <c r="U20" s="1509"/>
      <c r="V20" s="1504"/>
      <c r="W20" s="820"/>
      <c r="X20" s="1509"/>
      <c r="Y20" s="1504"/>
      <c r="Z20" s="1508">
        <v>1.32E-2</v>
      </c>
      <c r="AB20" s="2407"/>
    </row>
    <row r="21" spans="2:28" s="350" customFormat="1" ht="14.25" customHeight="1">
      <c r="B21" s="734">
        <v>12</v>
      </c>
      <c r="C21" s="735"/>
      <c r="D21" s="736" t="s">
        <v>693</v>
      </c>
      <c r="E21" s="820"/>
      <c r="F21" s="1509"/>
      <c r="G21" s="1504"/>
      <c r="H21" s="820"/>
      <c r="I21" s="1509"/>
      <c r="J21" s="1504"/>
      <c r="K21" s="820"/>
      <c r="L21" s="1509"/>
      <c r="M21" s="1504"/>
      <c r="N21" s="820"/>
      <c r="O21" s="1509"/>
      <c r="P21" s="1504"/>
      <c r="Q21" s="820"/>
      <c r="R21" s="1509"/>
      <c r="S21" s="1504"/>
      <c r="T21" s="820"/>
      <c r="U21" s="1509"/>
      <c r="V21" s="1504"/>
      <c r="W21" s="820"/>
      <c r="X21" s="1509"/>
      <c r="Y21" s="1504"/>
      <c r="Z21" s="1508">
        <v>1.7600000000000001E-2</v>
      </c>
      <c r="AB21" s="2407"/>
    </row>
    <row r="22" spans="2:28" s="350" customFormat="1" ht="14.25" customHeight="1">
      <c r="B22" s="734"/>
      <c r="C22" s="735"/>
      <c r="D22" s="736"/>
      <c r="E22" s="737"/>
      <c r="F22" s="1519"/>
      <c r="G22" s="1520"/>
      <c r="H22" s="737"/>
      <c r="I22" s="1521"/>
      <c r="J22" s="1520"/>
      <c r="K22" s="737"/>
      <c r="L22" s="1521"/>
      <c r="M22" s="1520"/>
      <c r="N22" s="737"/>
      <c r="O22" s="1521"/>
      <c r="P22" s="1520"/>
      <c r="Q22" s="737"/>
      <c r="R22" s="1521"/>
      <c r="S22" s="1520"/>
      <c r="T22" s="737"/>
      <c r="U22" s="1521"/>
      <c r="V22" s="1520"/>
      <c r="W22" s="737"/>
      <c r="X22" s="1521"/>
      <c r="Y22" s="1520"/>
      <c r="Z22" s="1508"/>
      <c r="AB22" s="2407"/>
    </row>
    <row r="23" spans="2:28" s="350" customFormat="1" ht="14.25" customHeight="1">
      <c r="B23" s="734">
        <v>13</v>
      </c>
      <c r="C23" s="735">
        <v>389.2</v>
      </c>
      <c r="D23" s="736" t="s">
        <v>186</v>
      </c>
      <c r="E23" s="2239"/>
      <c r="F23" s="1509">
        <v>0</v>
      </c>
      <c r="G23" s="1504"/>
      <c r="H23" s="2239"/>
      <c r="I23" s="1509">
        <v>0</v>
      </c>
      <c r="J23" s="1504"/>
      <c r="K23" s="2239"/>
      <c r="L23" s="1509">
        <v>0</v>
      </c>
      <c r="M23" s="1504"/>
      <c r="N23" s="2239">
        <v>85283.36</v>
      </c>
      <c r="O23" s="1509">
        <v>2.0299999999999999E-2</v>
      </c>
      <c r="P23" s="1504"/>
      <c r="Q23" s="2239">
        <v>74314.75</v>
      </c>
      <c r="R23" s="1509">
        <v>1.9800000000000002E-2</v>
      </c>
      <c r="S23" s="1504"/>
      <c r="T23" s="2239"/>
      <c r="U23" s="1509">
        <v>0</v>
      </c>
      <c r="V23" s="1504"/>
      <c r="W23" s="2239">
        <v>4867.6400000000003</v>
      </c>
      <c r="X23" s="1509">
        <v>1.17E-2</v>
      </c>
      <c r="Y23" s="1504"/>
      <c r="Z23" s="1508"/>
      <c r="AB23" s="2407"/>
    </row>
    <row r="24" spans="2:28" s="350" customFormat="1" ht="14.25" customHeight="1">
      <c r="B24" s="734">
        <v>14</v>
      </c>
      <c r="C24" s="735">
        <v>390</v>
      </c>
      <c r="D24" s="736" t="s">
        <v>92</v>
      </c>
      <c r="E24" s="2239">
        <v>83684695.150000006</v>
      </c>
      <c r="F24" s="1509">
        <v>1.8599999999999998E-2</v>
      </c>
      <c r="G24" s="1504"/>
      <c r="H24" s="2239">
        <v>13022636.4</v>
      </c>
      <c r="I24" s="1509">
        <v>2.52E-2</v>
      </c>
      <c r="J24" s="1504"/>
      <c r="K24" s="2239">
        <v>3326453.61</v>
      </c>
      <c r="L24" s="1509">
        <v>1.7100000000000001E-2</v>
      </c>
      <c r="M24" s="1504"/>
      <c r="N24" s="2239">
        <v>93481531.709999993</v>
      </c>
      <c r="O24" s="1509">
        <v>1.5299999999999999E-2</v>
      </c>
      <c r="P24" s="1504"/>
      <c r="Q24" s="2239">
        <v>11477181.16</v>
      </c>
      <c r="R24" s="1509">
        <v>1.95E-2</v>
      </c>
      <c r="S24" s="1504"/>
      <c r="T24" s="2239">
        <v>385400.84</v>
      </c>
      <c r="U24" s="1509">
        <v>1.5100000000000001E-2</v>
      </c>
      <c r="V24" s="1504"/>
      <c r="W24" s="2239">
        <v>12855695.75</v>
      </c>
      <c r="X24" s="1509">
        <v>1.6500000000000001E-2</v>
      </c>
      <c r="Y24" s="1504"/>
      <c r="Z24" s="1508"/>
      <c r="AB24" s="2407"/>
    </row>
    <row r="25" spans="2:28" s="350" customFormat="1" ht="14.25" customHeight="1">
      <c r="B25" s="734">
        <v>15</v>
      </c>
      <c r="C25" s="735">
        <v>390.3</v>
      </c>
      <c r="D25" s="736" t="s">
        <v>432</v>
      </c>
      <c r="E25" s="2239"/>
      <c r="F25" s="1509"/>
      <c r="G25" s="1504"/>
      <c r="H25" s="2239"/>
      <c r="I25" s="1509"/>
      <c r="J25" s="1504"/>
      <c r="K25" s="2239"/>
      <c r="L25" s="1509"/>
      <c r="M25" s="1504"/>
      <c r="N25" s="2239"/>
      <c r="O25" s="1509"/>
      <c r="P25" s="1504"/>
      <c r="Q25" s="2239"/>
      <c r="R25" s="1509"/>
      <c r="S25" s="1504"/>
      <c r="T25" s="2239"/>
      <c r="U25" s="1509"/>
      <c r="V25" s="1504"/>
      <c r="W25" s="2239"/>
      <c r="X25" s="1509"/>
      <c r="Y25" s="1504"/>
      <c r="Z25" s="1510">
        <v>6.6699999999999995E-2</v>
      </c>
      <c r="AB25" s="2407"/>
    </row>
    <row r="26" spans="2:28" s="350" customFormat="1" ht="14.25" customHeight="1">
      <c r="B26" s="734">
        <v>16</v>
      </c>
      <c r="C26" s="735">
        <v>391</v>
      </c>
      <c r="D26" s="736" t="s">
        <v>433</v>
      </c>
      <c r="E26" s="2239"/>
      <c r="F26" s="1509"/>
      <c r="G26" s="1504"/>
      <c r="H26" s="2239"/>
      <c r="I26" s="1509"/>
      <c r="J26" s="1504"/>
      <c r="K26" s="2239"/>
      <c r="L26" s="1509"/>
      <c r="M26" s="1504"/>
      <c r="N26" s="2239"/>
      <c r="O26" s="1509"/>
      <c r="P26" s="1504"/>
      <c r="Q26" s="2239"/>
      <c r="R26" s="1509"/>
      <c r="S26" s="1504"/>
      <c r="T26" s="2239"/>
      <c r="U26" s="1509"/>
      <c r="V26" s="1504"/>
      <c r="W26" s="2239"/>
      <c r="X26" s="1509"/>
      <c r="Y26" s="1504"/>
      <c r="Z26" s="1510">
        <v>0.05</v>
      </c>
      <c r="AB26" s="2407"/>
    </row>
    <row r="27" spans="2:28" s="350" customFormat="1" ht="14.25" customHeight="1">
      <c r="B27" s="734">
        <v>17</v>
      </c>
      <c r="C27" s="735">
        <v>391.2</v>
      </c>
      <c r="D27" s="736" t="s">
        <v>434</v>
      </c>
      <c r="E27" s="2239"/>
      <c r="F27" s="1509"/>
      <c r="G27" s="1504"/>
      <c r="H27" s="2239"/>
      <c r="I27" s="1509"/>
      <c r="J27" s="1504"/>
      <c r="K27" s="2239"/>
      <c r="L27" s="1509"/>
      <c r="M27" s="1504"/>
      <c r="N27" s="2239"/>
      <c r="O27" s="1509"/>
      <c r="P27" s="1504"/>
      <c r="Q27" s="2239"/>
      <c r="R27" s="1509"/>
      <c r="S27" s="1504"/>
      <c r="T27" s="2239"/>
      <c r="U27" s="1509"/>
      <c r="V27" s="1504"/>
      <c r="W27" s="2239"/>
      <c r="X27" s="1509"/>
      <c r="Y27" s="1504"/>
      <c r="Z27" s="1510">
        <v>0.2</v>
      </c>
      <c r="AB27" s="2407"/>
    </row>
    <row r="28" spans="2:28" s="350" customFormat="1" ht="14.25" customHeight="1">
      <c r="B28" s="734">
        <v>18</v>
      </c>
      <c r="C28" s="735">
        <v>393</v>
      </c>
      <c r="D28" s="736" t="s">
        <v>187</v>
      </c>
      <c r="E28" s="2239"/>
      <c r="F28" s="1509"/>
      <c r="G28" s="1504"/>
      <c r="H28" s="2239"/>
      <c r="I28" s="1509"/>
      <c r="J28" s="1504"/>
      <c r="K28" s="2239"/>
      <c r="L28" s="1509"/>
      <c r="M28" s="1504"/>
      <c r="N28" s="2239"/>
      <c r="O28" s="1509"/>
      <c r="P28" s="1504"/>
      <c r="Q28" s="2239"/>
      <c r="R28" s="1509"/>
      <c r="S28" s="1504"/>
      <c r="T28" s="2239"/>
      <c r="U28" s="1509"/>
      <c r="V28" s="1504"/>
      <c r="W28" s="2239"/>
      <c r="X28" s="1509"/>
      <c r="Y28" s="1504"/>
      <c r="Z28" s="1510">
        <v>0.04</v>
      </c>
      <c r="AB28" s="2407"/>
    </row>
    <row r="29" spans="2:28" s="350" customFormat="1" ht="14.25" customHeight="1">
      <c r="B29" s="734">
        <v>19</v>
      </c>
      <c r="C29" s="735">
        <v>394</v>
      </c>
      <c r="D29" s="736" t="s">
        <v>435</v>
      </c>
      <c r="E29" s="2239"/>
      <c r="F29" s="1509"/>
      <c r="G29" s="1504"/>
      <c r="H29" s="2239"/>
      <c r="I29" s="1509"/>
      <c r="J29" s="1504"/>
      <c r="K29" s="2239"/>
      <c r="L29" s="1509"/>
      <c r="M29" s="1504"/>
      <c r="N29" s="2239"/>
      <c r="O29" s="1509"/>
      <c r="P29" s="1504"/>
      <c r="Q29" s="2239"/>
      <c r="R29" s="1509"/>
      <c r="S29" s="1504"/>
      <c r="T29" s="2239"/>
      <c r="U29" s="1509"/>
      <c r="V29" s="1504"/>
      <c r="W29" s="2239"/>
      <c r="X29" s="1509"/>
      <c r="Y29" s="1504"/>
      <c r="Z29" s="1510">
        <v>4.1700000000000001E-2</v>
      </c>
      <c r="AB29" s="2407"/>
    </row>
    <row r="30" spans="2:28" s="350" customFormat="1" ht="14.25" customHeight="1">
      <c r="B30" s="734">
        <v>20</v>
      </c>
      <c r="C30" s="735">
        <v>395</v>
      </c>
      <c r="D30" s="736" t="s">
        <v>188</v>
      </c>
      <c r="E30" s="2239"/>
      <c r="F30" s="1509"/>
      <c r="G30" s="1504"/>
      <c r="H30" s="2239"/>
      <c r="I30" s="1509"/>
      <c r="J30" s="1504"/>
      <c r="K30" s="2239"/>
      <c r="L30" s="1509"/>
      <c r="M30" s="1504"/>
      <c r="N30" s="2239"/>
      <c r="O30" s="1509"/>
      <c r="P30" s="1504"/>
      <c r="Q30" s="2239"/>
      <c r="R30" s="1509"/>
      <c r="S30" s="1504"/>
      <c r="T30" s="2239"/>
      <c r="U30" s="1509"/>
      <c r="V30" s="1504"/>
      <c r="W30" s="2239"/>
      <c r="X30" s="1509"/>
      <c r="Y30" s="1504"/>
      <c r="Z30" s="1510">
        <v>0.05</v>
      </c>
      <c r="AB30" s="2407"/>
    </row>
    <row r="31" spans="2:28" s="350" customFormat="1" ht="14.25" customHeight="1">
      <c r="B31" s="734">
        <v>21</v>
      </c>
      <c r="C31" s="735">
        <v>397</v>
      </c>
      <c r="D31" s="736" t="s">
        <v>189</v>
      </c>
      <c r="E31" s="2239"/>
      <c r="F31" s="1747"/>
      <c r="G31" s="1504"/>
      <c r="H31" s="2239"/>
      <c r="I31" s="1747"/>
      <c r="J31" s="1504"/>
      <c r="K31" s="2239"/>
      <c r="L31" s="1747"/>
      <c r="M31" s="1504"/>
      <c r="N31" s="2239"/>
      <c r="O31" s="1747"/>
      <c r="P31" s="1504"/>
      <c r="Q31" s="2239"/>
      <c r="R31" s="1747"/>
      <c r="S31" s="1504"/>
      <c r="T31" s="2239"/>
      <c r="U31" s="1747"/>
      <c r="V31" s="1504"/>
      <c r="W31" s="2239"/>
      <c r="X31" s="1747"/>
      <c r="Y31" s="1504"/>
      <c r="Z31" s="1510">
        <v>4.2999999999999997E-2</v>
      </c>
      <c r="AB31" s="2407"/>
    </row>
    <row r="32" spans="2:28" s="350" customFormat="1" ht="14.25" customHeight="1">
      <c r="B32" s="734">
        <v>22</v>
      </c>
      <c r="C32" s="735">
        <v>397.2</v>
      </c>
      <c r="D32" s="736" t="s">
        <v>436</v>
      </c>
      <c r="E32" s="2239"/>
      <c r="F32" s="1509"/>
      <c r="G32" s="1504"/>
      <c r="H32" s="2239"/>
      <c r="I32" s="1509"/>
      <c r="J32" s="1504"/>
      <c r="K32" s="2239"/>
      <c r="L32" s="1509"/>
      <c r="M32" s="1504"/>
      <c r="N32" s="2239"/>
      <c r="O32" s="1509"/>
      <c r="P32" s="1504"/>
      <c r="Q32" s="2239"/>
      <c r="R32" s="1509"/>
      <c r="S32" s="1504"/>
      <c r="T32" s="2239"/>
      <c r="U32" s="1509"/>
      <c r="V32" s="1504"/>
      <c r="W32" s="2239"/>
      <c r="X32" s="1509"/>
      <c r="Y32" s="1504"/>
      <c r="Z32" s="1510">
        <v>9.0899999999999995E-2</v>
      </c>
      <c r="AB32" s="2407"/>
    </row>
    <row r="33" spans="1:28" s="350" customFormat="1" ht="14.25" customHeight="1">
      <c r="B33" s="734">
        <v>23</v>
      </c>
      <c r="C33" s="735">
        <v>398</v>
      </c>
      <c r="D33" s="736" t="s">
        <v>190</v>
      </c>
      <c r="E33" s="2239"/>
      <c r="F33" s="1509"/>
      <c r="G33" s="1504"/>
      <c r="H33" s="2239"/>
      <c r="I33" s="1509"/>
      <c r="J33" s="1504"/>
      <c r="K33" s="2239"/>
      <c r="L33" s="1509"/>
      <c r="M33" s="1504"/>
      <c r="N33" s="2239"/>
      <c r="O33" s="1509"/>
      <c r="P33" s="1504"/>
      <c r="Q33" s="2239"/>
      <c r="R33" s="1509"/>
      <c r="S33" s="1504"/>
      <c r="T33" s="2239"/>
      <c r="U33" s="1509"/>
      <c r="V33" s="1504"/>
      <c r="W33" s="2239"/>
      <c r="X33" s="1509"/>
      <c r="Y33" s="1504"/>
      <c r="Z33" s="1510">
        <v>0.05</v>
      </c>
      <c r="AB33" s="2407"/>
    </row>
    <row r="34" spans="1:28" s="350" customFormat="1" ht="14.25" customHeight="1">
      <c r="B34" s="734">
        <v>24</v>
      </c>
      <c r="C34" s="735"/>
      <c r="D34" s="736" t="s">
        <v>694</v>
      </c>
      <c r="E34" s="2239">
        <v>2043237.13</v>
      </c>
      <c r="F34" s="1509">
        <v>3.5900000000000001E-2</v>
      </c>
      <c r="G34" s="1504"/>
      <c r="H34" s="2239">
        <v>398763.7</v>
      </c>
      <c r="I34" s="1509">
        <v>4.2099999999999999E-2</v>
      </c>
      <c r="J34" s="1504"/>
      <c r="K34" s="2239">
        <v>94041.01</v>
      </c>
      <c r="L34" s="1509">
        <v>3.8300000000000001E-2</v>
      </c>
      <c r="M34" s="1504"/>
      <c r="N34" s="2239">
        <v>2871353.08</v>
      </c>
      <c r="O34" s="1509">
        <v>3.4200000000000001E-2</v>
      </c>
      <c r="P34" s="1504"/>
      <c r="Q34" s="2239">
        <v>1032488.19</v>
      </c>
      <c r="R34" s="1509">
        <v>4.6600000000000003E-2</v>
      </c>
      <c r="S34" s="1504"/>
      <c r="T34" s="2239">
        <v>107633.85</v>
      </c>
      <c r="U34" s="1509">
        <v>1.9300000000000001E-2</v>
      </c>
      <c r="V34" s="1504"/>
      <c r="W34" s="2239">
        <v>219551.19</v>
      </c>
      <c r="X34" s="1509">
        <v>3.1699999999999999E-2</v>
      </c>
      <c r="Y34" s="1504"/>
      <c r="Z34" s="1508"/>
      <c r="AB34" s="2407"/>
    </row>
    <row r="35" spans="1:28" s="350" customFormat="1" ht="14.25" customHeight="1">
      <c r="B35" s="734"/>
      <c r="C35" s="735"/>
      <c r="D35" s="736"/>
      <c r="E35" s="2240"/>
      <c r="F35" s="1521"/>
      <c r="G35" s="1520"/>
      <c r="H35" s="737"/>
      <c r="I35" s="1521"/>
      <c r="J35" s="1520"/>
      <c r="K35" s="737"/>
      <c r="L35" s="1521"/>
      <c r="M35" s="1520"/>
      <c r="N35" s="737"/>
      <c r="O35" s="1521"/>
      <c r="P35" s="1520"/>
      <c r="Q35" s="737"/>
      <c r="R35" s="1521"/>
      <c r="S35" s="1520"/>
      <c r="T35" s="737"/>
      <c r="U35" s="1521"/>
      <c r="V35" s="1520"/>
      <c r="W35" s="737"/>
      <c r="X35" s="1521"/>
      <c r="Y35" s="1520"/>
      <c r="Z35" s="1508"/>
      <c r="AB35" s="2407"/>
    </row>
    <row r="36" spans="1:28" s="350" customFormat="1" ht="14.25" customHeight="1">
      <c r="B36" s="734">
        <v>25</v>
      </c>
      <c r="C36" s="735">
        <v>302</v>
      </c>
      <c r="D36" s="736" t="s">
        <v>828</v>
      </c>
      <c r="E36" s="820"/>
      <c r="F36" s="1509"/>
      <c r="G36" s="1504"/>
      <c r="H36" s="820"/>
      <c r="I36" s="1509"/>
      <c r="J36" s="1504"/>
      <c r="K36" s="820"/>
      <c r="L36" s="1509"/>
      <c r="M36" s="1504"/>
      <c r="N36" s="820"/>
      <c r="O36" s="1509"/>
      <c r="P36" s="1504"/>
      <c r="Q36" s="820"/>
      <c r="R36" s="1509"/>
      <c r="S36" s="1504"/>
      <c r="T36" s="820"/>
      <c r="U36" s="1509"/>
      <c r="V36" s="1504"/>
      <c r="W36" s="820"/>
      <c r="X36" s="1509"/>
      <c r="Y36" s="1504"/>
      <c r="Z36" s="1508">
        <v>6.6600000000000006E-2</v>
      </c>
      <c r="AB36" s="2407"/>
    </row>
    <row r="37" spans="1:28" s="350" customFormat="1" ht="14.25" customHeight="1">
      <c r="B37" s="734">
        <v>26</v>
      </c>
      <c r="C37" s="735">
        <v>303</v>
      </c>
      <c r="D37" s="736" t="s">
        <v>827</v>
      </c>
      <c r="E37" s="820"/>
      <c r="F37" s="1509"/>
      <c r="G37" s="1504"/>
      <c r="H37" s="820"/>
      <c r="I37" s="1509"/>
      <c r="J37" s="1504"/>
      <c r="K37" s="820"/>
      <c r="L37" s="1509"/>
      <c r="M37" s="1504"/>
      <c r="N37" s="820"/>
      <c r="O37" s="1509"/>
      <c r="P37" s="1504"/>
      <c r="Q37" s="820"/>
      <c r="R37" s="1509"/>
      <c r="S37" s="1504"/>
      <c r="T37" s="820"/>
      <c r="U37" s="1509"/>
      <c r="V37" s="1504"/>
      <c r="W37" s="820"/>
      <c r="X37" s="1509"/>
      <c r="Y37" s="1504"/>
      <c r="Z37" s="1508">
        <v>4.07E-2</v>
      </c>
      <c r="AB37" s="2407"/>
    </row>
    <row r="38" spans="1:28" s="350" customFormat="1" ht="14.25" customHeight="1" thickBot="1">
      <c r="B38" s="738">
        <v>27</v>
      </c>
      <c r="C38" s="739">
        <v>390.1</v>
      </c>
      <c r="D38" s="740" t="s">
        <v>695</v>
      </c>
      <c r="E38" s="821"/>
      <c r="F38" s="1507"/>
      <c r="G38" s="1506"/>
      <c r="H38" s="821"/>
      <c r="I38" s="1507"/>
      <c r="J38" s="1506"/>
      <c r="K38" s="821"/>
      <c r="L38" s="1507"/>
      <c r="M38" s="1506"/>
      <c r="N38" s="821"/>
      <c r="O38" s="1507"/>
      <c r="P38" s="1506"/>
      <c r="Q38" s="821"/>
      <c r="R38" s="1507"/>
      <c r="S38" s="1506"/>
      <c r="T38" s="821"/>
      <c r="U38" s="1507"/>
      <c r="V38" s="1506"/>
      <c r="W38" s="821"/>
      <c r="X38" s="1507"/>
      <c r="Y38" s="1506"/>
      <c r="Z38" s="1505">
        <v>4.7500000000000001E-2</v>
      </c>
      <c r="AB38" s="2407"/>
    </row>
    <row r="39" spans="1:28" s="350" customFormat="1">
      <c r="B39" s="1504"/>
      <c r="C39" s="1504"/>
      <c r="D39" s="1502"/>
      <c r="E39" s="1504"/>
      <c r="F39" s="1502"/>
      <c r="G39" s="1502"/>
      <c r="H39" s="1504"/>
      <c r="I39" s="1502"/>
      <c r="J39" s="1502"/>
      <c r="K39" s="1504"/>
      <c r="L39" s="1502"/>
      <c r="M39" s="1502"/>
      <c r="N39" s="1504"/>
      <c r="O39" s="1502"/>
      <c r="P39" s="1502"/>
      <c r="Q39" s="1504"/>
      <c r="R39" s="1502"/>
      <c r="S39" s="1502"/>
      <c r="T39" s="1504"/>
      <c r="U39" s="1502"/>
      <c r="V39" s="1502"/>
      <c r="W39" s="1504"/>
      <c r="X39" s="1502"/>
      <c r="Y39" s="1502"/>
    </row>
    <row r="40" spans="1:28" s="350" customFormat="1">
      <c r="B40" s="1504"/>
      <c r="C40" s="1504"/>
      <c r="D40" s="1502"/>
      <c r="E40" s="1503"/>
      <c r="F40" s="1502"/>
      <c r="G40" s="1502"/>
      <c r="H40" s="1503"/>
      <c r="I40" s="1502"/>
      <c r="J40" s="1503"/>
      <c r="K40" s="1503"/>
      <c r="L40" s="1502"/>
      <c r="M40" s="1502"/>
      <c r="N40" s="1503"/>
      <c r="O40" s="1502"/>
      <c r="P40" s="1502"/>
      <c r="Q40" s="1503"/>
      <c r="R40" s="1502"/>
      <c r="S40" s="1502"/>
      <c r="T40" s="1503"/>
      <c r="U40" s="1502"/>
      <c r="V40" s="1502"/>
      <c r="W40" s="1503"/>
      <c r="X40" s="1502"/>
      <c r="Y40" s="1502"/>
      <c r="Z40" s="429"/>
    </row>
    <row r="41" spans="1:28" s="350" customFormat="1">
      <c r="B41" s="2702" t="s">
        <v>304</v>
      </c>
      <c r="C41" s="2702"/>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429"/>
    </row>
    <row r="42" spans="1:28" s="352" customFormat="1" ht="15" customHeight="1">
      <c r="A42" s="350"/>
      <c r="B42" s="430">
        <v>1</v>
      </c>
      <c r="C42" s="2699" t="s">
        <v>696</v>
      </c>
      <c r="D42" s="2699"/>
      <c r="E42" s="2699"/>
      <c r="F42" s="2699"/>
      <c r="G42" s="2699"/>
      <c r="H42" s="2699"/>
      <c r="I42" s="2699"/>
      <c r="J42" s="2699"/>
      <c r="K42" s="2699"/>
      <c r="L42" s="2699"/>
      <c r="M42" s="2699"/>
      <c r="N42" s="2699"/>
      <c r="O42" s="2699"/>
      <c r="P42" s="2699"/>
      <c r="Q42" s="2699"/>
      <c r="R42" s="2699"/>
      <c r="S42" s="2699"/>
      <c r="T42" s="350"/>
    </row>
    <row r="43" spans="1:28" s="352" customFormat="1" ht="15" customHeight="1">
      <c r="A43" s="350"/>
      <c r="B43" s="430">
        <v>2</v>
      </c>
      <c r="C43" s="2703" t="s">
        <v>683</v>
      </c>
      <c r="D43" s="2703"/>
      <c r="E43" s="2703"/>
      <c r="F43" s="2703"/>
      <c r="G43" s="2703"/>
      <c r="H43" s="2703"/>
      <c r="I43" s="2703"/>
      <c r="J43" s="2703"/>
      <c r="K43" s="2703"/>
      <c r="L43" s="2703"/>
      <c r="M43" s="2703"/>
      <c r="N43" s="2703"/>
      <c r="O43" s="2703"/>
      <c r="P43" s="2703"/>
      <c r="Q43" s="2703"/>
      <c r="R43" s="2703"/>
      <c r="S43" s="2703"/>
      <c r="T43" s="1673"/>
      <c r="U43" s="1673"/>
      <c r="V43" s="1673"/>
      <c r="W43" s="1673"/>
      <c r="X43" s="1673"/>
      <c r="Y43" s="1673"/>
      <c r="Z43" s="350"/>
      <c r="AA43" s="350"/>
    </row>
    <row r="44" spans="1:28" s="352" customFormat="1" ht="15" customHeight="1">
      <c r="A44" s="350"/>
      <c r="B44" s="430">
        <v>3</v>
      </c>
      <c r="C44" s="2703" t="s">
        <v>684</v>
      </c>
      <c r="D44" s="2703"/>
      <c r="E44" s="2703"/>
      <c r="F44" s="2703"/>
      <c r="G44" s="2703"/>
      <c r="H44" s="2703"/>
      <c r="I44" s="2703"/>
      <c r="J44" s="2703"/>
      <c r="K44" s="2703"/>
      <c r="L44" s="2703"/>
      <c r="M44" s="2703"/>
      <c r="N44" s="2703"/>
      <c r="O44" s="2703"/>
      <c r="P44" s="2703"/>
      <c r="Q44" s="2703"/>
      <c r="R44" s="2703"/>
      <c r="S44" s="2703"/>
      <c r="T44" s="1674"/>
      <c r="U44" s="1674"/>
      <c r="V44" s="1674"/>
      <c r="W44" s="1674"/>
      <c r="X44" s="1674"/>
      <c r="Y44" s="1674"/>
      <c r="Z44" s="350"/>
      <c r="AA44" s="350"/>
    </row>
    <row r="45" spans="1:28" s="352" customFormat="1" ht="15" customHeight="1">
      <c r="A45" s="350"/>
      <c r="B45" s="430">
        <v>4</v>
      </c>
      <c r="C45" s="2703" t="s">
        <v>685</v>
      </c>
      <c r="D45" s="2703"/>
      <c r="E45" s="2703"/>
      <c r="F45" s="2703"/>
      <c r="G45" s="2703"/>
      <c r="H45" s="2703"/>
      <c r="I45" s="2703"/>
      <c r="J45" s="2703"/>
      <c r="K45" s="2703"/>
      <c r="L45" s="2703"/>
      <c r="M45" s="2703"/>
      <c r="N45" s="2703"/>
      <c r="O45" s="2703"/>
      <c r="P45" s="2703"/>
      <c r="Q45" s="2703"/>
      <c r="R45" s="2703"/>
      <c r="S45" s="2703"/>
      <c r="T45" s="1674"/>
      <c r="U45" s="1674"/>
      <c r="V45" s="1674"/>
      <c r="W45" s="1674"/>
      <c r="X45" s="1674"/>
      <c r="Y45" s="1674"/>
      <c r="Z45" s="350"/>
      <c r="AA45" s="350"/>
    </row>
    <row r="46" spans="1:28" s="352" customFormat="1" ht="15" customHeight="1">
      <c r="A46" s="350"/>
      <c r="B46" s="430">
        <v>5</v>
      </c>
      <c r="C46" s="2699" t="s">
        <v>697</v>
      </c>
      <c r="D46" s="2699"/>
      <c r="E46" s="2699"/>
      <c r="F46" s="2699"/>
      <c r="G46" s="2699"/>
      <c r="H46" s="2699"/>
      <c r="I46" s="2699"/>
      <c r="J46" s="2699"/>
      <c r="K46" s="2699"/>
      <c r="L46" s="2699"/>
      <c r="M46" s="2699"/>
      <c r="N46" s="2699"/>
      <c r="O46" s="2699"/>
      <c r="P46" s="2699"/>
      <c r="Q46" s="2699"/>
      <c r="R46" s="2699"/>
      <c r="S46" s="2699"/>
      <c r="T46" s="1673"/>
    </row>
    <row r="47" spans="1:28" s="352" customFormat="1" ht="28.5" customHeight="1">
      <c r="A47" s="350"/>
      <c r="B47" s="430">
        <v>6</v>
      </c>
      <c r="C47" s="2699" t="s">
        <v>698</v>
      </c>
      <c r="D47" s="2699"/>
      <c r="E47" s="2699"/>
      <c r="F47" s="2699"/>
      <c r="G47" s="2699"/>
      <c r="H47" s="2699"/>
      <c r="I47" s="2699"/>
      <c r="J47" s="2699"/>
      <c r="K47" s="2699"/>
      <c r="L47" s="2699"/>
      <c r="M47" s="2699"/>
      <c r="N47" s="2699"/>
      <c r="O47" s="2699"/>
      <c r="P47" s="2699"/>
      <c r="Q47" s="2699"/>
      <c r="R47" s="2699"/>
      <c r="S47" s="2699"/>
      <c r="T47" s="1673"/>
    </row>
    <row r="48" spans="1:28" s="352" customFormat="1" ht="27.75" customHeight="1">
      <c r="A48" s="350"/>
      <c r="B48" s="430">
        <v>7</v>
      </c>
      <c r="C48" s="2699" t="s">
        <v>699</v>
      </c>
      <c r="D48" s="2699"/>
      <c r="E48" s="2699"/>
      <c r="F48" s="2699"/>
      <c r="G48" s="2699"/>
      <c r="H48" s="2699"/>
      <c r="I48" s="2699"/>
      <c r="J48" s="2699"/>
      <c r="K48" s="2699"/>
      <c r="L48" s="2699"/>
      <c r="M48" s="2699"/>
      <c r="N48" s="2699"/>
      <c r="O48" s="2699"/>
      <c r="P48" s="2699"/>
      <c r="Q48" s="2699"/>
      <c r="R48" s="2699"/>
      <c r="S48" s="2699"/>
      <c r="T48" s="1673"/>
    </row>
    <row r="49" spans="1:25" s="352" customFormat="1" ht="15" customHeight="1">
      <c r="A49" s="350"/>
      <c r="B49" s="430">
        <v>8</v>
      </c>
      <c r="C49" s="2699" t="s">
        <v>700</v>
      </c>
      <c r="D49" s="2699"/>
      <c r="E49" s="2699"/>
      <c r="F49" s="2699"/>
      <c r="G49" s="2699"/>
      <c r="H49" s="2699"/>
      <c r="I49" s="2699"/>
      <c r="J49" s="2699"/>
      <c r="K49" s="2699"/>
      <c r="L49" s="2699"/>
      <c r="M49" s="2699"/>
      <c r="N49" s="2699"/>
      <c r="O49" s="2699"/>
      <c r="P49" s="2699"/>
      <c r="Q49" s="2699"/>
      <c r="R49" s="2699"/>
      <c r="S49" s="2699"/>
      <c r="T49" s="1673"/>
    </row>
    <row r="50" spans="1:25" s="352" customFormat="1" ht="15" customHeight="1">
      <c r="A50" s="350"/>
      <c r="B50" s="430">
        <v>9</v>
      </c>
      <c r="C50" s="2699" t="s">
        <v>701</v>
      </c>
      <c r="D50" s="2699"/>
      <c r="E50" s="2699"/>
      <c r="F50" s="2699"/>
      <c r="G50" s="2699"/>
      <c r="H50" s="2699"/>
      <c r="I50" s="2699"/>
      <c r="J50" s="2699"/>
      <c r="K50" s="2699"/>
      <c r="L50" s="2699"/>
      <c r="M50" s="2699"/>
      <c r="N50" s="2699"/>
      <c r="O50" s="2699"/>
      <c r="P50" s="2699"/>
      <c r="Q50" s="2699"/>
      <c r="R50" s="2699"/>
      <c r="S50" s="2699"/>
      <c r="T50" s="1673"/>
    </row>
    <row r="51" spans="1:25" s="352" customFormat="1" ht="15" customHeight="1">
      <c r="A51" s="350"/>
      <c r="B51" s="430">
        <v>10</v>
      </c>
      <c r="C51" s="2699" t="s">
        <v>1952</v>
      </c>
      <c r="D51" s="2699"/>
      <c r="E51" s="2699"/>
      <c r="F51" s="2699"/>
      <c r="G51" s="2699"/>
      <c r="H51" s="2699"/>
      <c r="I51" s="2699"/>
      <c r="J51" s="2699"/>
      <c r="K51" s="2699"/>
      <c r="L51" s="2699"/>
      <c r="M51" s="2699"/>
      <c r="N51" s="2699"/>
      <c r="O51" s="2699"/>
      <c r="P51" s="2699"/>
      <c r="Q51" s="2699"/>
      <c r="R51" s="2699"/>
      <c r="S51" s="2699"/>
      <c r="T51" s="1673"/>
    </row>
    <row r="52" spans="1:25" s="352" customFormat="1" ht="15" customHeight="1">
      <c r="A52" s="350"/>
      <c r="B52" s="430">
        <v>11</v>
      </c>
      <c r="C52" s="2699" t="s">
        <v>702</v>
      </c>
      <c r="D52" s="2699"/>
      <c r="E52" s="2699"/>
      <c r="F52" s="2699"/>
      <c r="G52" s="2699"/>
      <c r="H52" s="2699"/>
      <c r="I52" s="2699"/>
      <c r="J52" s="2699"/>
      <c r="K52" s="2699"/>
      <c r="L52" s="2699"/>
      <c r="M52" s="2699"/>
      <c r="N52" s="2699"/>
      <c r="O52" s="2699"/>
      <c r="P52" s="2699"/>
      <c r="Q52" s="2699"/>
      <c r="R52" s="2699"/>
      <c r="S52" s="2699"/>
      <c r="T52" s="1673"/>
    </row>
    <row r="53" spans="1:25" s="352" customFormat="1" ht="27.75" customHeight="1">
      <c r="A53" s="350"/>
      <c r="B53" s="430">
        <v>12</v>
      </c>
      <c r="C53" s="2699" t="s">
        <v>1320</v>
      </c>
      <c r="D53" s="2699"/>
      <c r="E53" s="2699"/>
      <c r="F53" s="2699"/>
      <c r="G53" s="2699"/>
      <c r="H53" s="2699"/>
      <c r="I53" s="2699"/>
      <c r="J53" s="2699"/>
      <c r="K53" s="2699"/>
      <c r="L53" s="2699"/>
      <c r="M53" s="2699"/>
      <c r="N53" s="2699"/>
      <c r="O53" s="2699"/>
      <c r="P53" s="2699"/>
      <c r="Q53" s="2699"/>
      <c r="R53" s="2699"/>
      <c r="S53" s="2699"/>
      <c r="T53" s="1673"/>
    </row>
    <row r="54" spans="1:25" s="350" customFormat="1">
      <c r="B54" s="430">
        <v>13</v>
      </c>
      <c r="C54" s="350" t="s">
        <v>1393</v>
      </c>
      <c r="D54" s="1502"/>
      <c r="E54" s="1502"/>
      <c r="F54" s="1502"/>
      <c r="G54" s="1502"/>
      <c r="H54" s="1502"/>
      <c r="I54" s="1502"/>
      <c r="J54" s="1502"/>
      <c r="K54" s="1502"/>
      <c r="L54" s="1502"/>
      <c r="M54" s="1502"/>
      <c r="N54" s="1502"/>
      <c r="O54" s="1502"/>
      <c r="P54" s="1502"/>
      <c r="Q54" s="1502"/>
      <c r="R54" s="1502"/>
      <c r="S54" s="1502"/>
      <c r="T54" s="1502"/>
      <c r="U54" s="1502"/>
      <c r="V54" s="1502"/>
      <c r="W54" s="1502"/>
      <c r="X54" s="1502"/>
      <c r="Y54" s="1502"/>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workbookViewId="0"/>
  </sheetViews>
  <sheetFormatPr defaultRowHeight="15.75"/>
  <cols>
    <col min="1" max="1" width="4.7109375" style="1843" customWidth="1"/>
    <col min="2" max="2" width="14.28515625" style="1843" customWidth="1"/>
    <col min="3" max="23" width="11.5703125" style="1843" customWidth="1"/>
    <col min="24" max="24" width="11.5703125" style="1852" customWidth="1"/>
    <col min="25" max="28" width="11.5703125" style="1843" customWidth="1"/>
    <col min="29" max="29" width="10.85546875" style="1843" customWidth="1"/>
    <col min="30" max="30" width="11.5703125" style="1843" customWidth="1"/>
    <col min="31" max="31" width="3.85546875" style="1843" customWidth="1"/>
    <col min="32" max="32" width="13.28515625" style="1843" customWidth="1"/>
    <col min="33" max="16384" width="9.140625" style="1843"/>
  </cols>
  <sheetData>
    <row r="1" spans="1:31" ht="16.5" customHeight="1">
      <c r="A1" s="1839"/>
      <c r="B1" s="1840" t="s">
        <v>365</v>
      </c>
      <c r="C1" s="1841"/>
      <c r="D1" s="1841"/>
      <c r="E1" s="1841"/>
      <c r="F1" s="1841"/>
      <c r="G1" s="1842"/>
      <c r="H1" s="1842"/>
      <c r="I1" s="1842"/>
      <c r="J1" s="1842"/>
      <c r="K1" s="1842"/>
      <c r="L1" s="1842"/>
      <c r="M1" s="1842"/>
      <c r="N1" s="1842"/>
      <c r="O1" s="1842"/>
      <c r="P1" s="1842"/>
      <c r="Q1" s="1842"/>
      <c r="R1" s="1842"/>
      <c r="S1" s="1842"/>
      <c r="T1" s="1842"/>
      <c r="U1" s="1842"/>
      <c r="V1" s="1842"/>
      <c r="W1" s="1842"/>
      <c r="X1" s="1841"/>
      <c r="Y1" s="1842"/>
      <c r="Z1" s="1842"/>
    </row>
    <row r="2" spans="1:31" ht="16.5" customHeight="1">
      <c r="A2" s="1846"/>
      <c r="B2" s="2708" t="s">
        <v>1013</v>
      </c>
      <c r="C2" s="2708"/>
      <c r="D2" s="2708"/>
      <c r="E2" s="2708"/>
      <c r="F2" s="2708"/>
      <c r="G2" s="2708"/>
      <c r="H2" s="2708"/>
      <c r="I2" s="2708"/>
      <c r="J2" s="2708"/>
      <c r="K2" s="2708"/>
      <c r="L2" s="2708"/>
      <c r="M2" s="2708"/>
      <c r="N2" s="2708"/>
      <c r="O2" s="2708"/>
      <c r="P2" s="2708"/>
      <c r="Q2" s="2708"/>
      <c r="R2" s="2708"/>
      <c r="S2" s="2708"/>
      <c r="T2" s="2708"/>
      <c r="U2" s="2708"/>
      <c r="V2" s="2708"/>
      <c r="W2" s="2708"/>
      <c r="X2" s="2708"/>
      <c r="Y2" s="2708"/>
      <c r="Z2" s="2708"/>
      <c r="AA2" s="2708"/>
      <c r="AB2" s="2708"/>
    </row>
    <row r="3" spans="1:31" ht="16.5" customHeight="1">
      <c r="A3" s="1839"/>
      <c r="B3" s="2349"/>
      <c r="C3" s="1561"/>
      <c r="D3" s="1561"/>
      <c r="E3" s="1561"/>
      <c r="F3" s="1561"/>
      <c r="G3" s="1561"/>
      <c r="H3" s="1845"/>
      <c r="I3" s="1842"/>
      <c r="J3" s="1842"/>
      <c r="K3" s="1842"/>
      <c r="L3" s="1842"/>
      <c r="M3" s="1842"/>
      <c r="N3" s="1842"/>
      <c r="O3" s="1842"/>
      <c r="P3" s="1842"/>
      <c r="Q3" s="1842"/>
      <c r="R3" s="1852"/>
      <c r="S3" s="1842"/>
      <c r="T3" s="1842"/>
      <c r="U3" s="1842"/>
      <c r="V3" s="1842"/>
      <c r="W3" s="1842"/>
      <c r="X3" s="1841"/>
      <c r="Y3" s="1842"/>
      <c r="Z3" s="1842"/>
    </row>
    <row r="4" spans="1:31" ht="16.5" customHeight="1" thickBot="1">
      <c r="R4" s="1852"/>
      <c r="S4" s="2572"/>
      <c r="T4" s="1842"/>
      <c r="U4" s="1848"/>
      <c r="V4" s="2572"/>
      <c r="W4" s="1848"/>
      <c r="X4" s="1849"/>
    </row>
    <row r="5" spans="1:31" ht="16.5" customHeight="1" thickBot="1">
      <c r="B5" s="1850"/>
      <c r="C5" s="2712" t="s">
        <v>1384</v>
      </c>
      <c r="D5" s="2713"/>
      <c r="E5" s="2713"/>
      <c r="F5" s="2713"/>
      <c r="G5" s="2713"/>
      <c r="H5" s="2713"/>
      <c r="I5" s="2713"/>
      <c r="J5" s="2713"/>
      <c r="K5" s="2713"/>
      <c r="L5" s="2713"/>
      <c r="M5" s="2713"/>
      <c r="N5" s="2713"/>
      <c r="O5" s="2713"/>
      <c r="P5" s="2713"/>
      <c r="Q5" s="2713"/>
      <c r="R5" s="2713"/>
      <c r="S5" s="2713"/>
      <c r="T5" s="2714"/>
      <c r="U5" s="1842"/>
      <c r="V5" s="2641"/>
      <c r="W5" s="2715" t="s">
        <v>810</v>
      </c>
      <c r="X5" s="2714"/>
      <c r="Y5" s="2714"/>
      <c r="Z5" s="2714"/>
      <c r="AA5" s="2716"/>
      <c r="AB5" s="1853"/>
      <c r="AC5" s="1852"/>
      <c r="AD5" s="1852"/>
    </row>
    <row r="6" spans="1:31" ht="16.5" customHeight="1" thickBot="1">
      <c r="B6" s="1854" t="s">
        <v>328</v>
      </c>
      <c r="C6" s="1951" t="s">
        <v>359</v>
      </c>
      <c r="D6" s="1859" t="s">
        <v>809</v>
      </c>
      <c r="E6" s="1860" t="s">
        <v>808</v>
      </c>
      <c r="F6" s="1860" t="s">
        <v>807</v>
      </c>
      <c r="G6" s="1860" t="s">
        <v>806</v>
      </c>
      <c r="H6" s="1860" t="s">
        <v>805</v>
      </c>
      <c r="I6" s="1860" t="s">
        <v>804</v>
      </c>
      <c r="J6" s="1860" t="s">
        <v>803</v>
      </c>
      <c r="K6" s="1860" t="s">
        <v>802</v>
      </c>
      <c r="L6" s="1860" t="s">
        <v>801</v>
      </c>
      <c r="M6" s="1860" t="s">
        <v>800</v>
      </c>
      <c r="N6" s="1860" t="s">
        <v>799</v>
      </c>
      <c r="O6" s="1860" t="s">
        <v>798</v>
      </c>
      <c r="P6" s="1860" t="s">
        <v>1653</v>
      </c>
      <c r="Q6" s="1860" t="s">
        <v>1868</v>
      </c>
      <c r="R6" s="1860" t="s">
        <v>1869</v>
      </c>
      <c r="S6" s="1860" t="s">
        <v>2115</v>
      </c>
      <c r="T6" s="1860" t="s">
        <v>2123</v>
      </c>
      <c r="U6" s="1858" t="s">
        <v>397</v>
      </c>
      <c r="V6" s="1842"/>
      <c r="W6" s="1859" t="s">
        <v>797</v>
      </c>
      <c r="X6" s="1860" t="s">
        <v>796</v>
      </c>
      <c r="Y6" s="1860" t="s">
        <v>795</v>
      </c>
      <c r="Z6" s="1860" t="s">
        <v>794</v>
      </c>
      <c r="AA6" s="1861"/>
      <c r="AB6" s="1858" t="s">
        <v>793</v>
      </c>
      <c r="AC6" s="1853"/>
      <c r="AD6" s="1852"/>
      <c r="AE6" s="1852"/>
    </row>
    <row r="7" spans="1:31" ht="47.25" customHeight="1">
      <c r="B7" s="1862" t="s">
        <v>749</v>
      </c>
      <c r="C7" s="2371" t="s">
        <v>365</v>
      </c>
      <c r="D7" s="1864" t="s">
        <v>792</v>
      </c>
      <c r="E7" s="1865" t="s">
        <v>791</v>
      </c>
      <c r="F7" s="1865" t="s">
        <v>1855</v>
      </c>
      <c r="G7" s="1865" t="s">
        <v>790</v>
      </c>
      <c r="H7" s="1865" t="s">
        <v>789</v>
      </c>
      <c r="I7" s="1865" t="s">
        <v>2111</v>
      </c>
      <c r="J7" s="1865" t="s">
        <v>788</v>
      </c>
      <c r="K7" s="1865" t="s">
        <v>2107</v>
      </c>
      <c r="L7" s="1865" t="s">
        <v>787</v>
      </c>
      <c r="M7" s="1865" t="s">
        <v>786</v>
      </c>
      <c r="N7" s="1865" t="s">
        <v>785</v>
      </c>
      <c r="O7" s="1865" t="s">
        <v>784</v>
      </c>
      <c r="P7" s="1865" t="s">
        <v>2110</v>
      </c>
      <c r="Q7" s="1865" t="s">
        <v>1870</v>
      </c>
      <c r="R7" s="1865" t="s">
        <v>1871</v>
      </c>
      <c r="S7" s="1865" t="s">
        <v>1872</v>
      </c>
      <c r="T7" s="2359" t="s">
        <v>2113</v>
      </c>
      <c r="U7" s="2367"/>
      <c r="V7" s="1842"/>
      <c r="W7" s="1864" t="s">
        <v>783</v>
      </c>
      <c r="X7" s="1865" t="s">
        <v>782</v>
      </c>
      <c r="Y7" s="1865" t="s">
        <v>781</v>
      </c>
      <c r="Z7" s="1865" t="s">
        <v>1720</v>
      </c>
      <c r="AA7" s="1867" t="s">
        <v>954</v>
      </c>
      <c r="AB7" s="1868"/>
      <c r="AC7" s="1853"/>
      <c r="AD7" s="1852"/>
      <c r="AE7" s="1852"/>
    </row>
    <row r="8" spans="1:31" ht="15.75" customHeight="1">
      <c r="B8" s="1869" t="s">
        <v>468</v>
      </c>
      <c r="C8" s="2372" t="s">
        <v>780</v>
      </c>
      <c r="D8" s="1871" t="s">
        <v>779</v>
      </c>
      <c r="E8" s="1867" t="s">
        <v>779</v>
      </c>
      <c r="F8" s="1867" t="s">
        <v>779</v>
      </c>
      <c r="G8" s="1867" t="s">
        <v>779</v>
      </c>
      <c r="H8" s="1867" t="s">
        <v>779</v>
      </c>
      <c r="I8" s="1867" t="s">
        <v>779</v>
      </c>
      <c r="J8" s="1867" t="s">
        <v>779</v>
      </c>
      <c r="K8" s="1867" t="s">
        <v>779</v>
      </c>
      <c r="L8" s="1867" t="s">
        <v>779</v>
      </c>
      <c r="M8" s="1867" t="s">
        <v>779</v>
      </c>
      <c r="N8" s="1867" t="s">
        <v>779</v>
      </c>
      <c r="O8" s="1867" t="s">
        <v>779</v>
      </c>
      <c r="P8" s="1867" t="s">
        <v>779</v>
      </c>
      <c r="Q8" s="1867" t="s">
        <v>779</v>
      </c>
      <c r="R8" s="1867" t="s">
        <v>779</v>
      </c>
      <c r="S8" s="1867" t="s">
        <v>779</v>
      </c>
      <c r="T8" s="2360" t="s">
        <v>779</v>
      </c>
      <c r="U8" s="2368" t="s">
        <v>778</v>
      </c>
      <c r="V8" s="1852"/>
      <c r="W8" s="1871" t="s">
        <v>777</v>
      </c>
      <c r="X8" s="1867" t="s">
        <v>777</v>
      </c>
      <c r="Y8" s="1867" t="s">
        <v>777</v>
      </c>
      <c r="Z8" s="1867" t="s">
        <v>777</v>
      </c>
      <c r="AA8" s="1867" t="s">
        <v>777</v>
      </c>
      <c r="AB8" s="1868" t="s">
        <v>776</v>
      </c>
      <c r="AC8" s="1852"/>
    </row>
    <row r="9" spans="1:31" ht="16.5" customHeight="1" thickBot="1">
      <c r="B9" s="1873" t="s">
        <v>741</v>
      </c>
      <c r="C9" s="2373" t="s">
        <v>1863</v>
      </c>
      <c r="D9" s="1876" t="s">
        <v>774</v>
      </c>
      <c r="E9" s="1877" t="s">
        <v>773</v>
      </c>
      <c r="F9" s="1877" t="s">
        <v>1856</v>
      </c>
      <c r="G9" s="1877" t="s">
        <v>772</v>
      </c>
      <c r="H9" s="1877" t="s">
        <v>771</v>
      </c>
      <c r="I9" s="1877" t="s">
        <v>2112</v>
      </c>
      <c r="J9" s="1877" t="s">
        <v>770</v>
      </c>
      <c r="K9" s="1877" t="s">
        <v>769</v>
      </c>
      <c r="L9" s="1877" t="s">
        <v>768</v>
      </c>
      <c r="M9" s="1877" t="s">
        <v>767</v>
      </c>
      <c r="N9" s="1877" t="s">
        <v>766</v>
      </c>
      <c r="O9" s="1877" t="s">
        <v>765</v>
      </c>
      <c r="P9" s="1877" t="s">
        <v>1568</v>
      </c>
      <c r="Q9" s="1877" t="s">
        <v>1857</v>
      </c>
      <c r="R9" s="1877" t="s">
        <v>1873</v>
      </c>
      <c r="S9" s="1877" t="s">
        <v>1874</v>
      </c>
      <c r="T9" s="2361" t="s">
        <v>2114</v>
      </c>
      <c r="U9" s="2369"/>
      <c r="V9" s="1852"/>
      <c r="W9" s="1876" t="s">
        <v>764</v>
      </c>
      <c r="X9" s="1877" t="s">
        <v>763</v>
      </c>
      <c r="Y9" s="1877" t="s">
        <v>762</v>
      </c>
      <c r="Z9" s="1877" t="s">
        <v>1867</v>
      </c>
      <c r="AA9" s="1877" t="s">
        <v>955</v>
      </c>
      <c r="AB9" s="1879"/>
      <c r="AC9" s="1852"/>
    </row>
    <row r="10" spans="1:31">
      <c r="B10" s="1854" t="s">
        <v>147</v>
      </c>
      <c r="C10" s="2374">
        <f>ROUND(AVERAGE('Att 9a1-2017 Actual'!E10,'Att 9a2 - 2016 actual'!E10,'Att 9a3 - 2015 actual'!E10),2)</f>
        <v>8622.2099999999991</v>
      </c>
      <c r="D10" s="2365">
        <f>ROUND(AVERAGE('Att 9a1-2017 Actual'!F10,'Att 9a2 - 2016 actual'!F10,'Att 9a3 - 2015 actual'!F10),2)</f>
        <v>9.24</v>
      </c>
      <c r="E10" s="2365">
        <f>ROUND(AVERAGE('Att 9a1-2017 Actual'!G10,'Att 9a2 - 2016 actual'!G10,'Att 9a3 - 2015 actual'!G10),2)</f>
        <v>3.3</v>
      </c>
      <c r="F10" s="2365">
        <f>ROUND(AVERAGE('Att 9a1-2017 Actual'!H10,'Att 9a2 - 2016 actual'!H10,'Att 9a3 - 2015 actual'!H10),2)</f>
        <v>30.25</v>
      </c>
      <c r="G10" s="2365">
        <f>ROUND(AVERAGE('Att 9a1-2017 Actual'!I10,'Att 9a2 - 2016 actual'!I10,'Att 9a3 - 2015 actual'!I10),2)</f>
        <v>1.39</v>
      </c>
      <c r="H10" s="2365">
        <f>ROUND(AVERAGE('Att 9a1-2017 Actual'!J10,'Att 9a2 - 2016 actual'!J10,'Att 9a3 - 2015 actual'!J10),2)</f>
        <v>0.36</v>
      </c>
      <c r="I10" s="2365">
        <f>ROUND(AVERAGE('Att 9a1-2017 Actual'!K10),2)</f>
        <v>0</v>
      </c>
      <c r="J10" s="2365">
        <f>ROUND(AVERAGE('Att 9a1-2017 Actual'!L10,'Att 9a2 - 2016 actual'!L10,'Att 9a3 - 2015 actual'!L10),2)</f>
        <v>20.190000000000001</v>
      </c>
      <c r="K10" s="2365">
        <f>ROUND(AVERAGE('Att 9a1-2017 Actual'!M10,'Att 9a2 - 2016 actual'!M10,'Att 9a3 - 2015 actual'!M10),2)</f>
        <v>18.21</v>
      </c>
      <c r="L10" s="2365">
        <f>ROUND(AVERAGE('Att 9a1-2017 Actual'!N10,'Att 9a2 - 2016 actual'!N10,'Att 9a3 - 2015 actual'!N10),2)</f>
        <v>7.28</v>
      </c>
      <c r="M10" s="2365">
        <f>ROUND(AVERAGE('Att 9a1-2017 Actual'!O10,'Att 9a2 - 2016 actual'!O10,'Att 9a3 - 2015 actual'!O10),2)</f>
        <v>47.32</v>
      </c>
      <c r="N10" s="2365">
        <f>ROUND(AVERAGE('Att 9a1-2017 Actual'!P10,'Att 9a2 - 2016 actual'!P10,'Att 9a3 - 2015 actual'!P10),2)</f>
        <v>0</v>
      </c>
      <c r="O10" s="2365">
        <f>ROUND(AVERAGE('Att 9a1-2017 Actual'!Q10,'Att 9a2 - 2016 actual'!Q10,'Att 9a3 - 2015 actual'!Q10),2)</f>
        <v>0</v>
      </c>
      <c r="P10" s="2365">
        <f>ROUND(AVERAGE('Att 9a1-2017 Actual'!R10,'Att 9a2 - 2016 actual'!R10,'Att 9a3 - 2015 actual'!R10),2)</f>
        <v>12.86</v>
      </c>
      <c r="Q10" s="2365">
        <f>ROUND(AVERAGE('Att 9a1-2017 Actual'!S10,'Att 9a2 - 2016 actual'!S10,'Att 9a3 - 2015 actual'!S10),2)</f>
        <v>1.86</v>
      </c>
      <c r="R10" s="2365">
        <f>ROUND(AVERAGE('Att 9a1-2017 Actual'!T10),2)</f>
        <v>346.69</v>
      </c>
      <c r="S10" s="2365">
        <f>ROUND(AVERAGE('Att 9a1-2017 Actual'!U10),2)</f>
        <v>107</v>
      </c>
      <c r="T10" s="2366"/>
      <c r="U10" s="2370">
        <f>SUM(D10:T10)</f>
        <v>605.95000000000005</v>
      </c>
      <c r="V10" s="1852"/>
      <c r="W10" s="2587">
        <v>403.42</v>
      </c>
      <c r="X10" s="2588">
        <v>84.2</v>
      </c>
      <c r="Y10" s="2588">
        <v>74.16</v>
      </c>
      <c r="Z10" s="2588">
        <v>342</v>
      </c>
      <c r="AA10" s="2589"/>
      <c r="AB10" s="1884">
        <f>SUM(W10:AA10)</f>
        <v>903.78</v>
      </c>
      <c r="AC10" s="1886"/>
    </row>
    <row r="11" spans="1:31">
      <c r="B11" s="1854" t="s">
        <v>148</v>
      </c>
      <c r="C11" s="1887">
        <f>ROUND(AVERAGE('Att 9a1-2017 Actual'!E11,'Att 9a2 - 2016 actual'!E11,'Att 9a3 - 2015 actual'!E11),2)</f>
        <v>8083.1</v>
      </c>
      <c r="D11" s="2164">
        <f>ROUND(AVERAGE('Att 9a1-2017 Actual'!F11,'Att 9a2 - 2016 actual'!F11,'Att 9a3 - 2015 actual'!F11),2)</f>
        <v>8.26</v>
      </c>
      <c r="E11" s="2164">
        <f>ROUND(AVERAGE('Att 9a1-2017 Actual'!G11,'Att 9a2 - 2016 actual'!G11,'Att 9a3 - 2015 actual'!G11),2)</f>
        <v>3.23</v>
      </c>
      <c r="F11" s="2164">
        <f>ROUND(AVERAGE('Att 9a1-2017 Actual'!H11,'Att 9a2 - 2016 actual'!H11,'Att 9a3 - 2015 actual'!H11),2)</f>
        <v>27.42</v>
      </c>
      <c r="G11" s="2164">
        <f>ROUND(AVERAGE('Att 9a1-2017 Actual'!I11,'Att 9a2 - 2016 actual'!I11,'Att 9a3 - 2015 actual'!I11),2)</f>
        <v>1.19</v>
      </c>
      <c r="H11" s="2164">
        <f>ROUND(AVERAGE('Att 9a1-2017 Actual'!J11,'Att 9a2 - 2016 actual'!J11,'Att 9a3 - 2015 actual'!J11),2)</f>
        <v>0.38</v>
      </c>
      <c r="I11" s="2164">
        <f>ROUND(AVERAGE('Att 9a1-2017 Actual'!K11),2)</f>
        <v>0</v>
      </c>
      <c r="J11" s="2164">
        <f>ROUND(AVERAGE('Att 9a1-2017 Actual'!L11,'Att 9a2 - 2016 actual'!L11,'Att 9a3 - 2015 actual'!L11),2)</f>
        <v>26.28</v>
      </c>
      <c r="K11" s="2164">
        <f>ROUND(AVERAGE('Att 9a1-2017 Actual'!M11,'Att 9a2 - 2016 actual'!M11,'Att 9a3 - 2015 actual'!M11),2)</f>
        <v>17.649999999999999</v>
      </c>
      <c r="L11" s="2164">
        <f>ROUND(AVERAGE('Att 9a1-2017 Actual'!N11,'Att 9a2 - 2016 actual'!N11,'Att 9a3 - 2015 actual'!N11),2)</f>
        <v>7.27</v>
      </c>
      <c r="M11" s="2164">
        <f>ROUND(AVERAGE('Att 9a1-2017 Actual'!O11,'Att 9a2 - 2016 actual'!O11,'Att 9a3 - 2015 actual'!O11),2)</f>
        <v>46.69</v>
      </c>
      <c r="N11" s="2164">
        <f>ROUND(AVERAGE('Att 9a1-2017 Actual'!P11,'Att 9a2 - 2016 actual'!P11,'Att 9a3 - 2015 actual'!P11),2)</f>
        <v>0</v>
      </c>
      <c r="O11" s="2164">
        <f>ROUND(AVERAGE('Att 9a1-2017 Actual'!Q11,'Att 9a2 - 2016 actual'!Q11,'Att 9a3 - 2015 actual'!Q11),2)</f>
        <v>0</v>
      </c>
      <c r="P11" s="2164">
        <f>ROUND(AVERAGE('Att 9a1-2017 Actual'!R11,'Att 9a2 - 2016 actual'!R11,'Att 9a3 - 2015 actual'!R11),2)</f>
        <v>15.53</v>
      </c>
      <c r="Q11" s="2164">
        <f>ROUND(AVERAGE('Att 9a1-2017 Actual'!S11,'Att 9a2 - 2016 actual'!S11,'Att 9a3 - 2015 actual'!S11),2)</f>
        <v>1.5</v>
      </c>
      <c r="R11" s="2164">
        <f>ROUND(AVERAGE('Att 9a1-2017 Actual'!T11),2)</f>
        <v>239.07</v>
      </c>
      <c r="S11" s="2164">
        <f>ROUND(AVERAGE('Att 9a1-2017 Actual'!U11),2)</f>
        <v>92</v>
      </c>
      <c r="T11" s="2362"/>
      <c r="U11" s="2370">
        <f t="shared" ref="U11:U21" si="0">SUM(D11:T11)</f>
        <v>486.47</v>
      </c>
      <c r="V11" s="1852"/>
      <c r="W11" s="1885">
        <v>369.27</v>
      </c>
      <c r="X11" s="1881">
        <v>72.290000000000006</v>
      </c>
      <c r="Y11" s="1881">
        <v>85.56</v>
      </c>
      <c r="Z11" s="1881">
        <v>302.67</v>
      </c>
      <c r="AA11" s="1971"/>
      <c r="AB11" s="1884">
        <f t="shared" ref="AB11:AB21" si="1">SUM(W11:AA11)</f>
        <v>829.79</v>
      </c>
      <c r="AC11" s="1886"/>
    </row>
    <row r="12" spans="1:31">
      <c r="B12" s="1854" t="s">
        <v>352</v>
      </c>
      <c r="C12" s="1887">
        <f>ROUND(AVERAGE('Att 9a1-2017 Actual'!E12,'Att 9a2 - 2016 actual'!E12,'Att 9a3 - 2015 actual'!E12),2)</f>
        <v>7583.84</v>
      </c>
      <c r="D12" s="2164">
        <f>ROUND(AVERAGE('Att 9a1-2017 Actual'!F12,'Att 9a2 - 2016 actual'!F12,'Att 9a3 - 2015 actual'!F12),2)</f>
        <v>7.39</v>
      </c>
      <c r="E12" s="2164">
        <f>ROUND(AVERAGE('Att 9a1-2017 Actual'!G12,'Att 9a2 - 2016 actual'!G12,'Att 9a3 - 2015 actual'!G12),2)</f>
        <v>3.09</v>
      </c>
      <c r="F12" s="2164">
        <f>ROUND(AVERAGE('Att 9a1-2017 Actual'!H12,'Att 9a2 - 2016 actual'!H12,'Att 9a3 - 2015 actual'!H12),2)</f>
        <v>25.58</v>
      </c>
      <c r="G12" s="2164">
        <f>ROUND(AVERAGE('Att 9a1-2017 Actual'!I12,'Att 9a2 - 2016 actual'!I12,'Att 9a3 - 2015 actual'!I12),2)</f>
        <v>1.1100000000000001</v>
      </c>
      <c r="H12" s="2164">
        <f>ROUND(AVERAGE('Att 9a1-2017 Actual'!J12,'Att 9a2 - 2016 actual'!J12,'Att 9a3 - 2015 actual'!J12),2)</f>
        <v>0.24</v>
      </c>
      <c r="I12" s="2164">
        <f>ROUND(AVERAGE('Att 9a1-2017 Actual'!K12),2)</f>
        <v>0</v>
      </c>
      <c r="J12" s="2164">
        <f>ROUND(AVERAGE('Att 9a1-2017 Actual'!L12,'Att 9a2 - 2016 actual'!L12,'Att 9a3 - 2015 actual'!L12),2)</f>
        <v>19.25</v>
      </c>
      <c r="K12" s="2164">
        <f>ROUND(AVERAGE('Att 9a1-2017 Actual'!M12,'Att 9a2 - 2016 actual'!M12,'Att 9a3 - 2015 actual'!M12),2)</f>
        <v>15.82</v>
      </c>
      <c r="L12" s="2164">
        <f>ROUND(AVERAGE('Att 9a1-2017 Actual'!N12,'Att 9a2 - 2016 actual'!N12,'Att 9a3 - 2015 actual'!N12),2)</f>
        <v>6.48</v>
      </c>
      <c r="M12" s="2164">
        <f>ROUND(AVERAGE('Att 9a1-2017 Actual'!O12,'Att 9a2 - 2016 actual'!O12,'Att 9a3 - 2015 actual'!O12),2)</f>
        <v>42.88</v>
      </c>
      <c r="N12" s="2164">
        <f>ROUND(AVERAGE('Att 9a1-2017 Actual'!P12,'Att 9a2 - 2016 actual'!P12,'Att 9a3 - 2015 actual'!P12),2)</f>
        <v>0.1</v>
      </c>
      <c r="O12" s="2164">
        <f>ROUND(AVERAGE('Att 9a1-2017 Actual'!Q12,'Att 9a2 - 2016 actual'!Q12,'Att 9a3 - 2015 actual'!Q12),2)</f>
        <v>0</v>
      </c>
      <c r="P12" s="2164">
        <f>ROUND(AVERAGE('Att 9a1-2017 Actual'!R12,'Att 9a2 - 2016 actual'!R12,'Att 9a3 - 2015 actual'!R12),2)</f>
        <v>14.79</v>
      </c>
      <c r="Q12" s="2164">
        <f>ROUND(AVERAGE('Att 9a1-2017 Actual'!S12,'Att 9a2 - 2016 actual'!S12,'Att 9a3 - 2015 actual'!S12),2)</f>
        <v>1.46</v>
      </c>
      <c r="R12" s="2164">
        <f>ROUND(AVERAGE('Att 9a1-2017 Actual'!T12),2)</f>
        <v>247.5</v>
      </c>
      <c r="S12" s="2164">
        <f>ROUND(AVERAGE('Att 9a1-2017 Actual'!U12),2)</f>
        <v>78</v>
      </c>
      <c r="T12" s="2362"/>
      <c r="U12" s="2370">
        <f t="shared" si="0"/>
        <v>463.69</v>
      </c>
      <c r="V12" s="1852"/>
      <c r="W12" s="1885">
        <v>342.87</v>
      </c>
      <c r="X12" s="1881">
        <v>73.7</v>
      </c>
      <c r="Y12" s="1881">
        <v>74.33</v>
      </c>
      <c r="Z12" s="1881">
        <v>276.67</v>
      </c>
      <c r="AA12" s="1971"/>
      <c r="AB12" s="1884">
        <f t="shared" si="1"/>
        <v>767.56999999999994</v>
      </c>
      <c r="AC12" s="1886"/>
    </row>
    <row r="13" spans="1:31">
      <c r="B13" s="1854" t="s">
        <v>143</v>
      </c>
      <c r="C13" s="1887">
        <f>ROUND(AVERAGE('Att 9a1-2017 Actual'!E13,'Att 9a2 - 2016 actual'!E13,'Att 9a3 - 2015 actual'!E13),2)</f>
        <v>7128.28</v>
      </c>
      <c r="D13" s="2164">
        <f>ROUND(AVERAGE('Att 9a1-2017 Actual'!F13,'Att 9a2 - 2016 actual'!F13,'Att 9a3 - 2015 actual'!F13),2)</f>
        <v>6.37</v>
      </c>
      <c r="E13" s="2164">
        <f>ROUND(AVERAGE('Att 9a1-2017 Actual'!G13,'Att 9a2 - 2016 actual'!G13,'Att 9a3 - 2015 actual'!G13),2)</f>
        <v>3.19</v>
      </c>
      <c r="F13" s="2164">
        <f>ROUND(AVERAGE('Att 9a1-2017 Actual'!H13,'Att 9a2 - 2016 actual'!H13,'Att 9a3 - 2015 actual'!H13),2)</f>
        <v>22.3</v>
      </c>
      <c r="G13" s="2164">
        <f>ROUND(AVERAGE('Att 9a1-2017 Actual'!I13,'Att 9a2 - 2016 actual'!I13,'Att 9a3 - 2015 actual'!I13),2)</f>
        <v>0.81</v>
      </c>
      <c r="H13" s="2164">
        <f>ROUND(AVERAGE('Att 9a1-2017 Actual'!J13,'Att 9a2 - 2016 actual'!J13,'Att 9a3 - 2015 actual'!J13),2)</f>
        <v>0.14000000000000001</v>
      </c>
      <c r="I13" s="2164">
        <f>ROUND(AVERAGE('Att 9a1-2017 Actual'!K13),2)</f>
        <v>0</v>
      </c>
      <c r="J13" s="2164">
        <f>ROUND(AVERAGE('Att 9a1-2017 Actual'!L13,'Att 9a2 - 2016 actual'!L13,'Att 9a3 - 2015 actual'!L13),2)</f>
        <v>15.89</v>
      </c>
      <c r="K13" s="2164">
        <f>ROUND(AVERAGE('Att 9a1-2017 Actual'!M13,'Att 9a2 - 2016 actual'!M13,'Att 9a3 - 2015 actual'!M13),2)</f>
        <v>17.13</v>
      </c>
      <c r="L13" s="2164">
        <f>ROUND(AVERAGE('Att 9a1-2017 Actual'!N13,'Att 9a2 - 2016 actual'!N13,'Att 9a3 - 2015 actual'!N13),2)</f>
        <v>5.53</v>
      </c>
      <c r="M13" s="2164">
        <f>ROUND(AVERAGE('Att 9a1-2017 Actual'!O13,'Att 9a2 - 2016 actual'!O13,'Att 9a3 - 2015 actual'!O13),2)</f>
        <v>35.24</v>
      </c>
      <c r="N13" s="2164">
        <f>ROUND(AVERAGE('Att 9a1-2017 Actual'!P13,'Att 9a2 - 2016 actual'!P13,'Att 9a3 - 2015 actual'!P13),2)</f>
        <v>0.25</v>
      </c>
      <c r="O13" s="2164">
        <f>ROUND(AVERAGE('Att 9a1-2017 Actual'!Q13,'Att 9a2 - 2016 actual'!Q13,'Att 9a3 - 2015 actual'!Q13),2)</f>
        <v>1.03</v>
      </c>
      <c r="P13" s="2164">
        <f>ROUND(AVERAGE('Att 9a1-2017 Actual'!R13,'Att 9a2 - 2016 actual'!R13,'Att 9a3 - 2015 actual'!R13),2)</f>
        <v>15.5</v>
      </c>
      <c r="Q13" s="2164">
        <f>ROUND(AVERAGE('Att 9a1-2017 Actual'!S13,'Att 9a2 - 2016 actual'!S13,'Att 9a3 - 2015 actual'!S13),2)</f>
        <v>1.25</v>
      </c>
      <c r="R13" s="2164">
        <f>ROUND(AVERAGE('Att 9a1-2017 Actual'!T13),2)</f>
        <v>178.97</v>
      </c>
      <c r="S13" s="2164">
        <f>ROUND(AVERAGE('Att 9a1-2017 Actual'!U13),2)</f>
        <v>34</v>
      </c>
      <c r="T13" s="2362">
        <v>2</v>
      </c>
      <c r="U13" s="2370">
        <f t="shared" si="0"/>
        <v>339.6</v>
      </c>
      <c r="V13" s="1852"/>
      <c r="W13" s="1885">
        <v>342.63</v>
      </c>
      <c r="X13" s="1881">
        <v>49.89</v>
      </c>
      <c r="Y13" s="1881">
        <v>100.65</v>
      </c>
      <c r="Z13" s="1881">
        <v>258.33</v>
      </c>
      <c r="AA13" s="1971"/>
      <c r="AB13" s="1884">
        <f t="shared" si="1"/>
        <v>751.5</v>
      </c>
      <c r="AC13" s="1886"/>
    </row>
    <row r="14" spans="1:31">
      <c r="A14" s="1880"/>
      <c r="B14" s="1854" t="s">
        <v>144</v>
      </c>
      <c r="C14" s="1887">
        <f>ROUND(AVERAGE('Att 9a1-2017 Actual'!E14,'Att 9a2 - 2016 actual'!E14,'Att 9a3 - 2015 actual'!E14),2)</f>
        <v>7683.16</v>
      </c>
      <c r="D14" s="2164">
        <f>ROUND(AVERAGE('Att 9a1-2017 Actual'!F14,'Att 9a2 - 2016 actual'!F14,'Att 9a3 - 2015 actual'!F14),2)</f>
        <v>5.09</v>
      </c>
      <c r="E14" s="2164">
        <f>ROUND(AVERAGE('Att 9a1-2017 Actual'!G14,'Att 9a2 - 2016 actual'!G14,'Att 9a3 - 2015 actual'!G14),2)</f>
        <v>3.02</v>
      </c>
      <c r="F14" s="2164">
        <f>ROUND(AVERAGE('Att 9a1-2017 Actual'!H14,'Att 9a2 - 2016 actual'!H14,'Att 9a3 - 2015 actual'!H14),2)</f>
        <v>12.4</v>
      </c>
      <c r="G14" s="2164">
        <f>ROUND(AVERAGE('Att 9a1-2017 Actual'!I14,'Att 9a2 - 2016 actual'!I14,'Att 9a3 - 2015 actual'!I14),2)</f>
        <v>0.3</v>
      </c>
      <c r="H14" s="2164">
        <f>ROUND(AVERAGE('Att 9a1-2017 Actual'!J14,'Att 9a2 - 2016 actual'!J14,'Att 9a3 - 2015 actual'!J14),2)</f>
        <v>0.14000000000000001</v>
      </c>
      <c r="I14" s="2164">
        <f>ROUND(AVERAGE('Att 9a1-2017 Actual'!K14),2)</f>
        <v>0</v>
      </c>
      <c r="J14" s="2164">
        <f>ROUND(AVERAGE('Att 9a1-2017 Actual'!L14,'Att 9a2 - 2016 actual'!L14,'Att 9a3 - 2015 actual'!L14),2)</f>
        <v>16.93</v>
      </c>
      <c r="K14" s="2164">
        <f>ROUND(AVERAGE('Att 9a1-2017 Actual'!M14,'Att 9a2 - 2016 actual'!M14,'Att 9a3 - 2015 actual'!M14),2)</f>
        <v>19.739999999999998</v>
      </c>
      <c r="L14" s="2164">
        <f>ROUND(AVERAGE('Att 9a1-2017 Actual'!N14,'Att 9a2 - 2016 actual'!N14,'Att 9a3 - 2015 actual'!N14),2)</f>
        <v>5.72</v>
      </c>
      <c r="M14" s="2164">
        <f>ROUND(AVERAGE('Att 9a1-2017 Actual'!O14,'Att 9a2 - 2016 actual'!O14,'Att 9a3 - 2015 actual'!O14),2)</f>
        <v>33.28</v>
      </c>
      <c r="N14" s="2164">
        <f>ROUND(AVERAGE('Att 9a1-2017 Actual'!P14,'Att 9a2 - 2016 actual'!P14,'Att 9a3 - 2015 actual'!P14),2)</f>
        <v>0.47</v>
      </c>
      <c r="O14" s="2164">
        <f>ROUND(AVERAGE('Att 9a1-2017 Actual'!Q14,'Att 9a2 - 2016 actual'!Q14,'Att 9a3 - 2015 actual'!Q14),2)</f>
        <v>1.82</v>
      </c>
      <c r="P14" s="2164">
        <f>ROUND(AVERAGE('Att 9a1-2017 Actual'!R14,'Att 9a2 - 2016 actual'!R14,'Att 9a3 - 2015 actual'!R14),2)</f>
        <v>16.739999999999998</v>
      </c>
      <c r="Q14" s="2164">
        <f>ROUND(AVERAGE('Att 9a1-2017 Actual'!S14,'Att 9a2 - 2016 actual'!S14,'Att 9a3 - 2015 actual'!S14),2)</f>
        <v>2.0099999999999998</v>
      </c>
      <c r="R14" s="2164">
        <f>ROUND(AVERAGE('Att 9a1-2017 Actual'!T14),2)</f>
        <v>123.22</v>
      </c>
      <c r="S14" s="2164">
        <f>ROUND(AVERAGE('Att 9a1-2017 Actual'!U14),2)</f>
        <v>57</v>
      </c>
      <c r="T14" s="2362">
        <v>2</v>
      </c>
      <c r="U14" s="2370">
        <f t="shared" si="0"/>
        <v>299.88</v>
      </c>
      <c r="V14" s="1852"/>
      <c r="W14" s="1885">
        <v>452.18</v>
      </c>
      <c r="X14" s="1881">
        <v>74.45</v>
      </c>
      <c r="Y14" s="1881">
        <v>101.31</v>
      </c>
      <c r="Z14" s="1881">
        <v>302.33</v>
      </c>
      <c r="AA14" s="1971"/>
      <c r="AB14" s="1884">
        <f t="shared" si="1"/>
        <v>930.27</v>
      </c>
      <c r="AC14" s="1886"/>
    </row>
    <row r="15" spans="1:31">
      <c r="B15" s="1854" t="s">
        <v>151</v>
      </c>
      <c r="C15" s="1887">
        <f>ROUND(AVERAGE('Att 9a1-2017 Actual'!E15,'Att 9a2 - 2016 actual'!E15,'Att 9a3 - 2015 actual'!E15),2)</f>
        <v>10061.9</v>
      </c>
      <c r="D15" s="2164">
        <f>ROUND(AVERAGE('Att 9a1-2017 Actual'!F15,'Att 9a2 - 2016 actual'!F15,'Att 9a3 - 2015 actual'!F15),2)</f>
        <v>5.98</v>
      </c>
      <c r="E15" s="2164">
        <f>ROUND(AVERAGE('Att 9a1-2017 Actual'!G15,'Att 9a2 - 2016 actual'!G15,'Att 9a3 - 2015 actual'!G15),2)</f>
        <v>3.49</v>
      </c>
      <c r="F15" s="2164">
        <f>ROUND(AVERAGE('Att 9a1-2017 Actual'!H15,'Att 9a2 - 2016 actual'!H15,'Att 9a3 - 2015 actual'!H15),2)</f>
        <v>11.16</v>
      </c>
      <c r="G15" s="2164">
        <f>ROUND(AVERAGE('Att 9a1-2017 Actual'!I15,'Att 9a2 - 2016 actual'!I15,'Att 9a3 - 2015 actual'!I15),2)</f>
        <v>0.36</v>
      </c>
      <c r="H15" s="2164">
        <f>ROUND(AVERAGE('Att 9a1-2017 Actual'!J15,'Att 9a2 - 2016 actual'!J15,'Att 9a3 - 2015 actual'!J15),2)</f>
        <v>0.19</v>
      </c>
      <c r="I15" s="2164">
        <f>ROUND(AVERAGE('Att 9a1-2017 Actual'!K15),2)</f>
        <v>0</v>
      </c>
      <c r="J15" s="2164">
        <f>ROUND(AVERAGE('Att 9a1-2017 Actual'!L15,'Att 9a2 - 2016 actual'!L15,'Att 9a3 - 2015 actual'!L15),2)</f>
        <v>26.24</v>
      </c>
      <c r="K15" s="2164">
        <f>ROUND(AVERAGE('Att 9a1-2017 Actual'!M15,'Att 9a2 - 2016 actual'!M15,'Att 9a3 - 2015 actual'!M15),2)</f>
        <v>22.53</v>
      </c>
      <c r="L15" s="2164">
        <f>ROUND(AVERAGE('Att 9a1-2017 Actual'!N15,'Att 9a2 - 2016 actual'!N15,'Att 9a3 - 2015 actual'!N15),2)</f>
        <v>6.79</v>
      </c>
      <c r="M15" s="2164">
        <f>ROUND(AVERAGE('Att 9a1-2017 Actual'!O15,'Att 9a2 - 2016 actual'!O15,'Att 9a3 - 2015 actual'!O15),2)</f>
        <v>50.77</v>
      </c>
      <c r="N15" s="2164">
        <f>ROUND(AVERAGE('Att 9a1-2017 Actual'!P15,'Att 9a2 - 2016 actual'!P15,'Att 9a3 - 2015 actual'!P15),2)</f>
        <v>0.45</v>
      </c>
      <c r="O15" s="2164">
        <f>ROUND(AVERAGE('Att 9a1-2017 Actual'!Q15,'Att 9a2 - 2016 actual'!Q15,'Att 9a3 - 2015 actual'!Q15),2)</f>
        <v>3.28</v>
      </c>
      <c r="P15" s="2164">
        <f>ROUND(AVERAGE('Att 9a1-2017 Actual'!R15,'Att 9a2 - 2016 actual'!R15,'Att 9a3 - 2015 actual'!R15),2)</f>
        <v>17.7</v>
      </c>
      <c r="Q15" s="2164">
        <f>ROUND(AVERAGE('Att 9a1-2017 Actual'!S15,'Att 9a2 - 2016 actual'!S15,'Att 9a3 - 2015 actual'!S15),2)</f>
        <v>1.88</v>
      </c>
      <c r="R15" s="2164">
        <f>ROUND(AVERAGE('Att 9a1-2017 Actual'!T15),2)</f>
        <v>163.78</v>
      </c>
      <c r="S15" s="2164">
        <f>ROUND(AVERAGE('Att 9a1-2017 Actual'!U15),2)</f>
        <v>70</v>
      </c>
      <c r="T15" s="2362">
        <v>2</v>
      </c>
      <c r="U15" s="2370">
        <f t="shared" si="0"/>
        <v>386.6</v>
      </c>
      <c r="V15" s="1852"/>
      <c r="W15" s="1885">
        <v>727.39</v>
      </c>
      <c r="X15" s="1881">
        <v>147.61000000000001</v>
      </c>
      <c r="Y15" s="1881">
        <v>130.27000000000001</v>
      </c>
      <c r="Z15" s="1881">
        <v>323.33</v>
      </c>
      <c r="AA15" s="1971"/>
      <c r="AB15" s="1884">
        <f t="shared" si="1"/>
        <v>1328.6</v>
      </c>
      <c r="AC15" s="1886"/>
    </row>
    <row r="16" spans="1:31">
      <c r="B16" s="1854" t="s">
        <v>740</v>
      </c>
      <c r="C16" s="1887">
        <f>ROUND(AVERAGE('Att 9a1-2017 Actual'!E16,'Att 9a2 - 2016 actual'!E16,'Att 9a3 - 2015 actual'!E16),2)</f>
        <v>10276.76</v>
      </c>
      <c r="D16" s="2164">
        <f>ROUND(AVERAGE('Att 9a1-2017 Actual'!F16,'Att 9a2 - 2016 actual'!F16,'Att 9a3 - 2015 actual'!F16),2)</f>
        <v>6.12</v>
      </c>
      <c r="E16" s="2164">
        <f>ROUND(AVERAGE('Att 9a1-2017 Actual'!G16,'Att 9a2 - 2016 actual'!G16,'Att 9a3 - 2015 actual'!G16),2)</f>
        <v>3.68</v>
      </c>
      <c r="F16" s="2164">
        <f>ROUND(AVERAGE('Att 9a1-2017 Actual'!H16,'Att 9a2 - 2016 actual'!H16,'Att 9a3 - 2015 actual'!H16),2)</f>
        <v>13.76</v>
      </c>
      <c r="G16" s="2164">
        <f>ROUND(AVERAGE('Att 9a1-2017 Actual'!I16,'Att 9a2 - 2016 actual'!I16,'Att 9a3 - 2015 actual'!I16),2)</f>
        <v>0.43</v>
      </c>
      <c r="H16" s="2164">
        <f>ROUND(AVERAGE('Att 9a1-2017 Actual'!J16,'Att 9a2 - 2016 actual'!J16,'Att 9a3 - 2015 actual'!J16),2)</f>
        <v>0.04</v>
      </c>
      <c r="I16" s="2164">
        <f>ROUND(AVERAGE('Att 9a1-2017 Actual'!K16),2)</f>
        <v>0</v>
      </c>
      <c r="J16" s="2164">
        <f>ROUND(AVERAGE('Att 9a1-2017 Actual'!L16,'Att 9a2 - 2016 actual'!L16,'Att 9a3 - 2015 actual'!L16),2)</f>
        <v>20.71</v>
      </c>
      <c r="K16" s="2164">
        <f>ROUND(AVERAGE('Att 9a1-2017 Actual'!M16,'Att 9a2 - 2016 actual'!M16,'Att 9a3 - 2015 actual'!M16),2)</f>
        <v>25.15</v>
      </c>
      <c r="L16" s="2164">
        <f>ROUND(AVERAGE('Att 9a1-2017 Actual'!N16,'Att 9a2 - 2016 actual'!N16,'Att 9a3 - 2015 actual'!N16),2)</f>
        <v>7.17</v>
      </c>
      <c r="M16" s="2164">
        <f>ROUND(AVERAGE('Att 9a1-2017 Actual'!O16,'Att 9a2 - 2016 actual'!O16,'Att 9a3 - 2015 actual'!O16),2)</f>
        <v>49.85</v>
      </c>
      <c r="N16" s="2164">
        <f>ROUND(AVERAGE('Att 9a1-2017 Actual'!P16,'Att 9a2 - 2016 actual'!P16,'Att 9a3 - 2015 actual'!P16),2)</f>
        <v>0.62</v>
      </c>
      <c r="O16" s="2164">
        <f>ROUND(AVERAGE('Att 9a1-2017 Actual'!Q16,'Att 9a2 - 2016 actual'!Q16,'Att 9a3 - 2015 actual'!Q16),2)</f>
        <v>3.1</v>
      </c>
      <c r="P16" s="2164">
        <f>ROUND(AVERAGE('Att 9a1-2017 Actual'!R16,'Att 9a2 - 2016 actual'!R16,'Att 9a3 - 2015 actual'!R16),2)</f>
        <v>18.07</v>
      </c>
      <c r="Q16" s="2164">
        <f>ROUND(AVERAGE('Att 9a1-2017 Actual'!S16,'Att 9a2 - 2016 actual'!S16,'Att 9a3 - 2015 actual'!S16),2)</f>
        <v>1.61</v>
      </c>
      <c r="R16" s="2164">
        <f>ROUND(AVERAGE('Att 9a1-2017 Actual'!T16,'Att 9a2 - 2016 actual'!T16),2)</f>
        <v>179.13</v>
      </c>
      <c r="S16" s="2164">
        <f>ROUND(AVERAGE('Att 9a1-2017 Actual'!U16,'Att 9a2 - 2016 actual'!U16),2)</f>
        <v>77.5</v>
      </c>
      <c r="T16" s="2362">
        <v>2</v>
      </c>
      <c r="U16" s="2370">
        <f t="shared" si="0"/>
        <v>408.94</v>
      </c>
      <c r="V16" s="1852"/>
      <c r="W16" s="1885">
        <v>768.02</v>
      </c>
      <c r="X16" s="1881">
        <v>174.23</v>
      </c>
      <c r="Y16" s="1881">
        <v>132.02000000000001</v>
      </c>
      <c r="Z16" s="1881">
        <v>316.33</v>
      </c>
      <c r="AA16" s="1971"/>
      <c r="AB16" s="1884">
        <f t="shared" si="1"/>
        <v>1390.6</v>
      </c>
      <c r="AC16" s="1886"/>
    </row>
    <row r="17" spans="1:33">
      <c r="B17" s="1854" t="s">
        <v>153</v>
      </c>
      <c r="C17" s="1887">
        <f>ROUND(AVERAGE('Att 9a1-2017 Actual'!E17,'Att 9a2 - 2016 actual'!E17,'Att 9a3 - 2015 actual'!E17),2)</f>
        <v>9872.82</v>
      </c>
      <c r="D17" s="2164">
        <f>ROUND(AVERAGE('Att 9a1-2017 Actual'!F17,'Att 9a2 - 2016 actual'!F17,'Att 9a3 - 2015 actual'!F17),2)</f>
        <v>7.03</v>
      </c>
      <c r="E17" s="2164">
        <f>ROUND(AVERAGE('Att 9a1-2017 Actual'!G17,'Att 9a2 - 2016 actual'!G17,'Att 9a3 - 2015 actual'!G17),2)</f>
        <v>3.43</v>
      </c>
      <c r="F17" s="2164">
        <f>ROUND(AVERAGE('Att 9a1-2017 Actual'!H17,'Att 9a2 - 2016 actual'!H17,'Att 9a3 - 2015 actual'!H17),2)</f>
        <v>12.95</v>
      </c>
      <c r="G17" s="2164">
        <f>ROUND(AVERAGE('Att 9a1-2017 Actual'!I17,'Att 9a2 - 2016 actual'!I17,'Att 9a3 - 2015 actual'!I17),2)</f>
        <v>0.36</v>
      </c>
      <c r="H17" s="2164">
        <f>ROUND(AVERAGE('Att 9a1-2017 Actual'!J17,'Att 9a2 - 2016 actual'!J17,'Att 9a3 - 2015 actual'!J17),2)</f>
        <v>0.11</v>
      </c>
      <c r="I17" s="2164">
        <f>ROUND(AVERAGE('Att 9a1-2017 Actual'!K17),2)</f>
        <v>0</v>
      </c>
      <c r="J17" s="2164">
        <f>ROUND(AVERAGE('Att 9a1-2017 Actual'!L17,'Att 9a2 - 2016 actual'!L17,'Att 9a3 - 2015 actual'!L17),2)</f>
        <v>19.28</v>
      </c>
      <c r="K17" s="2164">
        <f>ROUND(AVERAGE('Att 9a1-2017 Actual'!M17,'Att 9a2 - 2016 actual'!M17,'Att 9a3 - 2015 actual'!M17),2)</f>
        <v>26.62</v>
      </c>
      <c r="L17" s="2164">
        <f>ROUND(AVERAGE('Att 9a1-2017 Actual'!N17,'Att 9a2 - 2016 actual'!N17,'Att 9a3 - 2015 actual'!N17),2)</f>
        <v>5.1100000000000003</v>
      </c>
      <c r="M17" s="2164">
        <f>ROUND(AVERAGE('Att 9a1-2017 Actual'!O17,'Att 9a2 - 2016 actual'!O17,'Att 9a3 - 2015 actual'!O17),2)</f>
        <v>55.04</v>
      </c>
      <c r="N17" s="2164">
        <f>ROUND(AVERAGE('Att 9a1-2017 Actual'!P17,'Att 9a2 - 2016 actual'!P17,'Att 9a3 - 2015 actual'!P17),2)</f>
        <v>0.6</v>
      </c>
      <c r="O17" s="2164">
        <f>ROUND(AVERAGE('Att 9a1-2017 Actual'!Q17,'Att 9a2 - 2016 actual'!Q17,'Att 9a3 - 2015 actual'!Q17),2)</f>
        <v>3.03</v>
      </c>
      <c r="P17" s="2164">
        <f>ROUND(AVERAGE('Att 9a1-2017 Actual'!R17,'Att 9a2 - 2016 actual'!R17,'Att 9a3 - 2015 actual'!R17),2)</f>
        <v>18.64</v>
      </c>
      <c r="Q17" s="2164">
        <f>ROUND(AVERAGE('Att 9a1-2017 Actual'!S17,'Att 9a2 - 2016 actual'!S17,'Att 9a3 - 2015 actual'!S17),2)</f>
        <v>1.56</v>
      </c>
      <c r="R17" s="2164">
        <f>ROUND(AVERAGE('Att 9a1-2017 Actual'!T17,'Att 9a2 - 2016 actual'!T17),2)</f>
        <v>157.84</v>
      </c>
      <c r="S17" s="2164">
        <f>ROUND(AVERAGE('Att 9a1-2017 Actual'!U17,'Att 9a2 - 2016 actual'!U17),2)</f>
        <v>74.5</v>
      </c>
      <c r="T17" s="2362">
        <v>2</v>
      </c>
      <c r="U17" s="2370">
        <f t="shared" si="0"/>
        <v>388.1</v>
      </c>
      <c r="V17" s="1852"/>
      <c r="W17" s="1885">
        <v>736.03</v>
      </c>
      <c r="X17" s="1881">
        <v>153.91</v>
      </c>
      <c r="Y17" s="1881">
        <v>126.06</v>
      </c>
      <c r="Z17" s="1881">
        <v>331.67</v>
      </c>
      <c r="AA17" s="1971"/>
      <c r="AB17" s="1884">
        <f t="shared" si="1"/>
        <v>1347.67</v>
      </c>
      <c r="AC17" s="1886"/>
    </row>
    <row r="18" spans="1:33">
      <c r="B18" s="1854" t="s">
        <v>739</v>
      </c>
      <c r="C18" s="1887">
        <f>ROUND(AVERAGE('Att 9a1-2017 Actual'!E18,'Att 9a2 - 2016 actual'!E18,'Att 9a3 - 2015 actual'!E18),2)</f>
        <v>8892.4500000000007</v>
      </c>
      <c r="D18" s="2164">
        <f>ROUND(AVERAGE('Att 9a1-2017 Actual'!F18,'Att 9a2 - 2016 actual'!F18,'Att 9a3 - 2015 actual'!F18),2)</f>
        <v>5.97</v>
      </c>
      <c r="E18" s="2164">
        <f>ROUND(AVERAGE('Att 9a1-2017 Actual'!G18,'Att 9a2 - 2016 actual'!G18,'Att 9a3 - 2015 actual'!G18),2)</f>
        <v>2.93</v>
      </c>
      <c r="F18" s="2164">
        <f>ROUND(AVERAGE('Att 9a1-2017 Actual'!H18,'Att 9a2 - 2016 actual'!H18,'Att 9a3 - 2015 actual'!H18),2)</f>
        <v>10.96</v>
      </c>
      <c r="G18" s="2164">
        <f>ROUND(AVERAGE('Att 9a1-2017 Actual'!I18,'Att 9a2 - 2016 actual'!I18,'Att 9a3 - 2015 actual'!I18),2)</f>
        <v>0.31</v>
      </c>
      <c r="H18" s="2164">
        <f>ROUND(AVERAGE('Att 9a1-2017 Actual'!J18,'Att 9a2 - 2016 actual'!J18,'Att 9a3 - 2015 actual'!J18),2)</f>
        <v>0</v>
      </c>
      <c r="I18" s="2164">
        <f>ROUND(AVERAGE('Att 9a1-2017 Actual'!K18),2)</f>
        <v>0</v>
      </c>
      <c r="J18" s="2164">
        <f>ROUND(AVERAGE('Att 9a1-2017 Actual'!L18,'Att 9a2 - 2016 actual'!L18,'Att 9a3 - 2015 actual'!L18),2)</f>
        <v>18.27</v>
      </c>
      <c r="K18" s="2164">
        <f>ROUND(AVERAGE('Att 9a1-2017 Actual'!M18,'Att 9a2 - 2016 actual'!M18,'Att 9a3 - 2015 actual'!M18),2)</f>
        <v>23.5</v>
      </c>
      <c r="L18" s="2164">
        <f>ROUND(AVERAGE('Att 9a1-2017 Actual'!N18,'Att 9a2 - 2016 actual'!N18,'Att 9a3 - 2015 actual'!N18),2)</f>
        <v>6.58</v>
      </c>
      <c r="M18" s="2164">
        <f>ROUND(AVERAGE('Att 9a1-2017 Actual'!O18,'Att 9a2 - 2016 actual'!O18,'Att 9a3 - 2015 actual'!O18),2)</f>
        <v>45.16</v>
      </c>
      <c r="N18" s="2164">
        <f>ROUND(AVERAGE('Att 9a1-2017 Actual'!P18,'Att 9a2 - 2016 actual'!P18,'Att 9a3 - 2015 actual'!P18),2)</f>
        <v>0.53</v>
      </c>
      <c r="O18" s="2164">
        <f>ROUND(AVERAGE('Att 9a1-2017 Actual'!Q18,'Att 9a2 - 2016 actual'!Q18,'Att 9a3 - 2015 actual'!Q18),2)</f>
        <v>2.77</v>
      </c>
      <c r="P18" s="2164">
        <f>ROUND(AVERAGE('Att 9a1-2017 Actual'!R18,'Att 9a2 - 2016 actual'!R18,'Att 9a3 - 2015 actual'!R18),2)</f>
        <v>18.399999999999999</v>
      </c>
      <c r="Q18" s="2164">
        <f>ROUND(AVERAGE('Att 9a1-2017 Actual'!S18,'Att 9a2 - 2016 actual'!S18,'Att 9a3 - 2015 actual'!S18),2)</f>
        <v>1.39</v>
      </c>
      <c r="R18" s="2164">
        <f>ROUND(AVERAGE('Att 9a1-2017 Actual'!T18,'Att 9a2 - 2016 actual'!T18),2)</f>
        <v>134.83000000000001</v>
      </c>
      <c r="S18" s="2164">
        <f>ROUND(AVERAGE('Att 9a1-2017 Actual'!U18,'Att 9a2 - 2016 actual'!U18),2)</f>
        <v>65</v>
      </c>
      <c r="T18" s="2362">
        <v>2</v>
      </c>
      <c r="U18" s="2370">
        <f t="shared" si="0"/>
        <v>338.6</v>
      </c>
      <c r="V18" s="1852"/>
      <c r="W18" s="1885">
        <v>670.97</v>
      </c>
      <c r="X18" s="1881">
        <v>141.01</v>
      </c>
      <c r="Y18" s="1881">
        <v>113.96</v>
      </c>
      <c r="Z18" s="1881">
        <v>303.33</v>
      </c>
      <c r="AA18" s="1971"/>
      <c r="AB18" s="1884">
        <f t="shared" si="1"/>
        <v>1229.27</v>
      </c>
      <c r="AC18" s="1886"/>
    </row>
    <row r="19" spans="1:33">
      <c r="B19" s="1854" t="s">
        <v>155</v>
      </c>
      <c r="C19" s="1887">
        <f>ROUND(AVERAGE('Att 9a1-2017 Actual'!E19,'Att 9a2 - 2016 actual'!E19,'Att 9a3 - 2015 actual'!E19),2)</f>
        <v>7362.55</v>
      </c>
      <c r="D19" s="2164">
        <f>ROUND(AVERAGE('Att 9a1-2017 Actual'!F19,'Att 9a2 - 2016 actual'!F19,'Att 9a3 - 2015 actual'!F19),2)</f>
        <v>5.78</v>
      </c>
      <c r="E19" s="2164">
        <f>ROUND(AVERAGE('Att 9a1-2017 Actual'!G19,'Att 9a2 - 2016 actual'!G19,'Att 9a3 - 2015 actual'!G19),2)</f>
        <v>2.86</v>
      </c>
      <c r="F19" s="2164">
        <f>ROUND(AVERAGE('Att 9a1-2017 Actual'!H19,'Att 9a2 - 2016 actual'!H19,'Att 9a3 - 2015 actual'!H19),2)</f>
        <v>16.47</v>
      </c>
      <c r="G19" s="2164">
        <f>ROUND(AVERAGE('Att 9a1-2017 Actual'!I19,'Att 9a2 - 2016 actual'!I19,'Att 9a3 - 2015 actual'!I19),2)</f>
        <v>0.09</v>
      </c>
      <c r="H19" s="2164">
        <f>ROUND(AVERAGE('Att 9a1-2017 Actual'!J19,'Att 9a2 - 2016 actual'!J19,'Att 9a3 - 2015 actual'!J19),2)</f>
        <v>0.16</v>
      </c>
      <c r="I19" s="2164">
        <f>ROUND(AVERAGE('Att 9a1-2017 Actual'!K19),2)</f>
        <v>0.01</v>
      </c>
      <c r="J19" s="2164">
        <f>ROUND(AVERAGE('Att 9a1-2017 Actual'!L19,'Att 9a2 - 2016 actual'!L19,'Att 9a3 - 2015 actual'!L19),2)</f>
        <v>15.26</v>
      </c>
      <c r="K19" s="2164">
        <f>ROUND(AVERAGE('Att 9a1-2017 Actual'!M19,'Att 9a2 - 2016 actual'!M19,'Att 9a3 - 2015 actual'!M19),2)</f>
        <v>19.63</v>
      </c>
      <c r="L19" s="2164">
        <f>ROUND(AVERAGE('Att 9a1-2017 Actual'!N19,'Att 9a2 - 2016 actual'!N19,'Att 9a3 - 2015 actual'!N19),2)</f>
        <v>6.3</v>
      </c>
      <c r="M19" s="2164">
        <f>ROUND(AVERAGE('Att 9a1-2017 Actual'!O19,'Att 9a2 - 2016 actual'!O19,'Att 9a3 - 2015 actual'!O19),2)</f>
        <v>36.44</v>
      </c>
      <c r="N19" s="2164">
        <f>ROUND(AVERAGE('Att 9a1-2017 Actual'!P19,'Att 9a2 - 2016 actual'!P19,'Att 9a3 - 2015 actual'!P19),2)</f>
        <v>0.18</v>
      </c>
      <c r="O19" s="2164">
        <f>ROUND(AVERAGE('Att 9a1-2017 Actual'!Q19,'Att 9a2 - 2016 actual'!Q19,'Att 9a3 - 2015 actual'!Q19),2)</f>
        <v>0.66</v>
      </c>
      <c r="P19" s="2164">
        <f>ROUND(AVERAGE('Att 9a1-2017 Actual'!R19,'Att 9a2 - 2016 actual'!R19,'Att 9a3 - 2015 actual'!R19),2)</f>
        <v>19.190000000000001</v>
      </c>
      <c r="Q19" s="2164">
        <f>ROUND(AVERAGE('Att 9a1-2017 Actual'!S19,'Att 9a2 - 2016 actual'!S19,'Att 9a3 - 2015 actual'!S19),2)</f>
        <v>0.99</v>
      </c>
      <c r="R19" s="2164">
        <f>ROUND(AVERAGE('Att 9a1-2017 Actual'!T19,'Att 9a2 - 2016 actual'!T19),2)</f>
        <v>181.22</v>
      </c>
      <c r="S19" s="2164">
        <f>ROUND(AVERAGE('Att 9a1-2017 Actual'!U19,'Att 9a2 - 2016 actual'!U19),2)</f>
        <v>65</v>
      </c>
      <c r="T19" s="2362">
        <v>2</v>
      </c>
      <c r="U19" s="2370">
        <f t="shared" si="0"/>
        <v>372.24</v>
      </c>
      <c r="V19" s="1852"/>
      <c r="W19" s="1885">
        <v>416.39</v>
      </c>
      <c r="X19" s="1881">
        <v>78.739999999999995</v>
      </c>
      <c r="Y19" s="1881">
        <v>69.63</v>
      </c>
      <c r="Z19" s="1881">
        <v>269</v>
      </c>
      <c r="AA19" s="1971"/>
      <c r="AB19" s="1884">
        <f t="shared" si="1"/>
        <v>833.76</v>
      </c>
      <c r="AC19" s="1886"/>
    </row>
    <row r="20" spans="1:33">
      <c r="B20" s="1854" t="s">
        <v>156</v>
      </c>
      <c r="C20" s="1887">
        <f>ROUND(AVERAGE('Att 9a1-2017 Actual'!E20,'Att 9a2 - 2016 actual'!E20,'Att 9a3 - 2015 actual'!E20),2)</f>
        <v>8010.33</v>
      </c>
      <c r="D20" s="2164">
        <f>ROUND(AVERAGE('Att 9a1-2017 Actual'!F20,'Att 9a2 - 2016 actual'!F20,'Att 9a3 - 2015 actual'!F20),2)</f>
        <v>5.63</v>
      </c>
      <c r="E20" s="2164">
        <f>ROUND(AVERAGE('Att 9a1-2017 Actual'!G20,'Att 9a2 - 2016 actual'!G20,'Att 9a3 - 2015 actual'!G20),2)</f>
        <v>3.14</v>
      </c>
      <c r="F20" s="2164">
        <f>ROUND(AVERAGE('Att 9a1-2017 Actual'!H20,'Att 9a2 - 2016 actual'!H20,'Att 9a3 - 2015 actual'!H20),2)</f>
        <v>23.92</v>
      </c>
      <c r="G20" s="2164">
        <f>ROUND(AVERAGE('Att 9a1-2017 Actual'!I20,'Att 9a2 - 2016 actual'!I20,'Att 9a3 - 2015 actual'!I20),2)</f>
        <v>1.02</v>
      </c>
      <c r="H20" s="2164">
        <f>ROUND(AVERAGE('Att 9a1-2017 Actual'!J20,'Att 9a2 - 2016 actual'!J20,'Att 9a3 - 2015 actual'!J20),2)</f>
        <v>0.12</v>
      </c>
      <c r="I20" s="2164">
        <f>ROUND(AVERAGE('Att 9a1-2017 Actual'!K20),2)</f>
        <v>0.16</v>
      </c>
      <c r="J20" s="2164">
        <f>ROUND(AVERAGE('Att 9a1-2017 Actual'!L20,'Att 9a2 - 2016 actual'!L20,'Att 9a3 - 2015 actual'!L20),2)</f>
        <v>18.32</v>
      </c>
      <c r="K20" s="2164">
        <f>ROUND(AVERAGE('Att 9a1-2017 Actual'!M20,'Att 9a2 - 2016 actual'!M20,'Att 9a3 - 2015 actual'!M20),2)</f>
        <v>17.41</v>
      </c>
      <c r="L20" s="2164">
        <f>ROUND(AVERAGE('Att 9a1-2017 Actual'!N20,'Att 9a2 - 2016 actual'!N20,'Att 9a3 - 2015 actual'!N20),2)</f>
        <v>6.38</v>
      </c>
      <c r="M20" s="2164">
        <f>ROUND(AVERAGE('Att 9a1-2017 Actual'!O20,'Att 9a2 - 2016 actual'!O20,'Att 9a3 - 2015 actual'!O20),2)</f>
        <v>43.63</v>
      </c>
      <c r="N20" s="2164">
        <f>ROUND(AVERAGE('Att 9a1-2017 Actual'!P20,'Att 9a2 - 2016 actual'!P20,'Att 9a3 - 2015 actual'!P20),2)</f>
        <v>0</v>
      </c>
      <c r="O20" s="2164">
        <f>ROUND(AVERAGE('Att 9a1-2017 Actual'!Q20,'Att 9a2 - 2016 actual'!Q20,'Att 9a3 - 2015 actual'!Q20),2)</f>
        <v>0</v>
      </c>
      <c r="P20" s="2164">
        <f>ROUND(AVERAGE('Att 9a1-2017 Actual'!R20,'Att 9a2 - 2016 actual'!R20,'Att 9a3 - 2015 actual'!R20),2)</f>
        <v>19.82</v>
      </c>
      <c r="Q20" s="2164">
        <f>ROUND(AVERAGE('Att 9a1-2017 Actual'!S20,'Att 9a2 - 2016 actual'!S20,'Att 9a3 - 2015 actual'!S20),2)</f>
        <v>1.57</v>
      </c>
      <c r="R20" s="2164">
        <f>ROUND(AVERAGE('Att 9a1-2017 Actual'!T20,'Att 9a2 - 2016 actual'!T20),2)</f>
        <v>201.29</v>
      </c>
      <c r="S20" s="2164">
        <f>ROUND(AVERAGE('Att 9a1-2017 Actual'!U20,'Att 9a2 - 2016 actual'!U20),2)</f>
        <v>82</v>
      </c>
      <c r="T20" s="2362">
        <v>2</v>
      </c>
      <c r="U20" s="2370">
        <f t="shared" si="0"/>
        <v>426.40999999999997</v>
      </c>
      <c r="V20" s="1852"/>
      <c r="W20" s="1885">
        <v>387.28</v>
      </c>
      <c r="X20" s="1881">
        <v>76.03</v>
      </c>
      <c r="Y20" s="1881">
        <v>72</v>
      </c>
      <c r="Z20" s="1881">
        <v>301.67</v>
      </c>
      <c r="AA20" s="1971"/>
      <c r="AB20" s="1884">
        <f t="shared" si="1"/>
        <v>836.98</v>
      </c>
      <c r="AC20" s="1886"/>
    </row>
    <row r="21" spans="1:33" ht="16.5" thickBot="1">
      <c r="B21" s="1873" t="s">
        <v>157</v>
      </c>
      <c r="C21" s="2375">
        <f>ROUND(AVERAGE('Att 9a1-2017 Actual'!E21,'Att 9a2 - 2016 actual'!E21,'Att 9a3 - 2015 actual'!E21),2)</f>
        <v>8414.0300000000007</v>
      </c>
      <c r="D21" s="2363">
        <f>ROUND(AVERAGE('Att 9a1-2017 Actual'!F21,'Att 9a2 - 2016 actual'!F21,'Att 9a3 - 2015 actual'!F21),2)</f>
        <v>5.91</v>
      </c>
      <c r="E21" s="2363">
        <f>ROUND(AVERAGE('Att 9a1-2017 Actual'!G21,'Att 9a2 - 2016 actual'!G21,'Att 9a3 - 2015 actual'!G21),2)</f>
        <v>3.23</v>
      </c>
      <c r="F21" s="2363">
        <f>ROUND(AVERAGE('Att 9a1-2017 Actual'!H21,'Att 9a2 - 2016 actual'!H21,'Att 9a3 - 2015 actual'!H21),2)</f>
        <v>27.55</v>
      </c>
      <c r="G21" s="2363">
        <f>ROUND(AVERAGE('Att 9a1-2017 Actual'!I21,'Att 9a2 - 2016 actual'!I21,'Att 9a3 - 2015 actual'!I21),2)</f>
        <v>1.23</v>
      </c>
      <c r="H21" s="2363">
        <f>ROUND(AVERAGE('Att 9a1-2017 Actual'!J21,'Att 9a2 - 2016 actual'!J21,'Att 9a3 - 2015 actual'!J21),2)</f>
        <v>0.18</v>
      </c>
      <c r="I21" s="2363">
        <f>ROUND(AVERAGE('Att 9a1-2017 Actual'!K21),2)</f>
        <v>0.15</v>
      </c>
      <c r="J21" s="2363">
        <f>ROUND(AVERAGE('Att 9a1-2017 Actual'!L21,'Att 9a2 - 2016 actual'!L21,'Att 9a3 - 2015 actual'!L21),2)</f>
        <v>21.76</v>
      </c>
      <c r="K21" s="2363">
        <f>ROUND(AVERAGE('Att 9a1-2017 Actual'!M21,'Att 9a2 - 2016 actual'!M21,'Att 9a3 - 2015 actual'!M21),2)</f>
        <v>17.350000000000001</v>
      </c>
      <c r="L21" s="2363">
        <f>ROUND(AVERAGE('Att 9a1-2017 Actual'!N21,'Att 9a2 - 2016 actual'!N21,'Att 9a3 - 2015 actual'!N21),2)</f>
        <v>7.21</v>
      </c>
      <c r="M21" s="2363">
        <f>ROUND(AVERAGE('Att 9a1-2017 Actual'!O21,'Att 9a2 - 2016 actual'!O21,'Att 9a3 - 2015 actual'!O21),2)</f>
        <v>48.12</v>
      </c>
      <c r="N21" s="2363">
        <f>ROUND(AVERAGE('Att 9a1-2017 Actual'!P21,'Att 9a2 - 2016 actual'!P21,'Att 9a3 - 2015 actual'!P21),2)</f>
        <v>0</v>
      </c>
      <c r="O21" s="2363">
        <f>ROUND(AVERAGE('Att 9a1-2017 Actual'!Q21,'Att 9a2 - 2016 actual'!Q21,'Att 9a3 - 2015 actual'!Q21),2)</f>
        <v>0.01</v>
      </c>
      <c r="P21" s="2363">
        <f>ROUND(AVERAGE('Att 9a1-2017 Actual'!R21,'Att 9a2 - 2016 actual'!R21,'Att 9a3 - 2015 actual'!R21),2)</f>
        <v>20.13</v>
      </c>
      <c r="Q21" s="2363">
        <f>ROUND(AVERAGE('Att 9a1-2017 Actual'!S21,'Att 9a2 - 2016 actual'!S21,'Att 9a3 - 2015 actual'!S21),2)</f>
        <v>1.57</v>
      </c>
      <c r="R21" s="2363">
        <f>ROUND(AVERAGE('Att 9a1-2017 Actual'!T21,'Att 9a2 - 2016 actual'!T21),2)</f>
        <v>268.87</v>
      </c>
      <c r="S21" s="2363">
        <f>ROUND(AVERAGE('Att 9a1-2017 Actual'!U21,'Att 9a2 - 2016 actual'!U21),2)</f>
        <v>96</v>
      </c>
      <c r="T21" s="2362">
        <v>2</v>
      </c>
      <c r="U21" s="2370">
        <f t="shared" si="0"/>
        <v>521.27</v>
      </c>
      <c r="V21" s="1852"/>
      <c r="W21" s="1891">
        <v>440.23</v>
      </c>
      <c r="X21" s="1888">
        <v>78.790000000000006</v>
      </c>
      <c r="Y21" s="1888">
        <v>70.86</v>
      </c>
      <c r="Z21" s="1888">
        <v>308.33</v>
      </c>
      <c r="AA21" s="1892"/>
      <c r="AB21" s="1879">
        <f t="shared" si="1"/>
        <v>898.21</v>
      </c>
      <c r="AC21" s="1886"/>
    </row>
    <row r="22" spans="1:33" ht="16.5" thickBot="1">
      <c r="A22" s="1852"/>
      <c r="B22" s="1893" t="s">
        <v>282</v>
      </c>
      <c r="C22" s="1879">
        <f t="shared" ref="C22:J22" si="2">SUM(C10:C21)</f>
        <v>101991.43000000001</v>
      </c>
      <c r="D22" s="2364">
        <f t="shared" si="2"/>
        <v>78.769999999999982</v>
      </c>
      <c r="E22" s="2364">
        <f t="shared" si="2"/>
        <v>38.589999999999996</v>
      </c>
      <c r="F22" s="2364">
        <f t="shared" si="2"/>
        <v>234.72000000000003</v>
      </c>
      <c r="G22" s="2364">
        <f t="shared" si="2"/>
        <v>8.6</v>
      </c>
      <c r="H22" s="2364">
        <f t="shared" si="2"/>
        <v>2.0600000000000005</v>
      </c>
      <c r="I22" s="2364">
        <f t="shared" si="2"/>
        <v>0.32</v>
      </c>
      <c r="J22" s="2364">
        <f t="shared" si="2"/>
        <v>238.37999999999997</v>
      </c>
      <c r="K22" s="2364">
        <f t="shared" ref="K22:S22" si="3">SUM(K10:K21)</f>
        <v>240.73999999999998</v>
      </c>
      <c r="L22" s="2364">
        <f t="shared" si="3"/>
        <v>77.819999999999993</v>
      </c>
      <c r="M22" s="2364">
        <f t="shared" si="3"/>
        <v>534.41999999999996</v>
      </c>
      <c r="N22" s="2364">
        <f t="shared" si="3"/>
        <v>3.2000000000000006</v>
      </c>
      <c r="O22" s="2364">
        <f t="shared" si="3"/>
        <v>15.7</v>
      </c>
      <c r="P22" s="2364">
        <f t="shared" si="3"/>
        <v>207.36999999999998</v>
      </c>
      <c r="Q22" s="2364">
        <f t="shared" si="3"/>
        <v>18.650000000000002</v>
      </c>
      <c r="R22" s="2364">
        <f t="shared" si="3"/>
        <v>2422.41</v>
      </c>
      <c r="S22" s="2364">
        <f t="shared" si="3"/>
        <v>898</v>
      </c>
      <c r="T22" s="2640">
        <f>SUM(T10:T21)</f>
        <v>18</v>
      </c>
      <c r="U22" s="1938">
        <f>SUM(D22:T22)</f>
        <v>5037.75</v>
      </c>
      <c r="V22" s="1852"/>
      <c r="W22" s="1897">
        <f t="shared" ref="W22:AB22" si="4">SUM(W10:W21)</f>
        <v>6056.68</v>
      </c>
      <c r="X22" s="1896">
        <f t="shared" si="4"/>
        <v>1204.8499999999999</v>
      </c>
      <c r="Y22" s="1896">
        <f t="shared" si="4"/>
        <v>1150.8100000000002</v>
      </c>
      <c r="Z22" s="1896">
        <f t="shared" si="4"/>
        <v>3635.66</v>
      </c>
      <c r="AA22" s="1896">
        <f t="shared" si="4"/>
        <v>0</v>
      </c>
      <c r="AB22" s="1879">
        <f t="shared" si="4"/>
        <v>12048</v>
      </c>
      <c r="AC22" s="1886"/>
      <c r="AF22" s="1898"/>
    </row>
    <row r="23" spans="1:33" ht="16.5" thickBot="1">
      <c r="A23" s="1852"/>
      <c r="B23" s="1899" t="s">
        <v>1642</v>
      </c>
      <c r="C23" s="1939">
        <f t="shared" ref="C23:U23" si="5">+C22/12</f>
        <v>8499.2858333333334</v>
      </c>
      <c r="D23" s="2376">
        <f t="shared" si="5"/>
        <v>6.5641666666666652</v>
      </c>
      <c r="E23" s="2376">
        <f t="shared" si="5"/>
        <v>3.2158333333333329</v>
      </c>
      <c r="F23" s="2376">
        <f t="shared" si="5"/>
        <v>19.560000000000002</v>
      </c>
      <c r="G23" s="2376">
        <f t="shared" si="5"/>
        <v>0.71666666666666667</v>
      </c>
      <c r="H23" s="2376">
        <f t="shared" si="5"/>
        <v>0.17166666666666672</v>
      </c>
      <c r="I23" s="2376">
        <f t="shared" si="5"/>
        <v>2.6666666666666668E-2</v>
      </c>
      <c r="J23" s="2376">
        <f t="shared" si="5"/>
        <v>19.864999999999998</v>
      </c>
      <c r="K23" s="2376">
        <f t="shared" ref="K23:T23" si="6">+K22/12</f>
        <v>20.061666666666664</v>
      </c>
      <c r="L23" s="2376">
        <f t="shared" si="6"/>
        <v>6.4849999999999994</v>
      </c>
      <c r="M23" s="2376">
        <f t="shared" si="6"/>
        <v>44.534999999999997</v>
      </c>
      <c r="N23" s="2376">
        <f t="shared" si="6"/>
        <v>0.26666666666666672</v>
      </c>
      <c r="O23" s="2376">
        <f t="shared" si="6"/>
        <v>1.3083333333333333</v>
      </c>
      <c r="P23" s="2376">
        <f t="shared" si="6"/>
        <v>17.28083333333333</v>
      </c>
      <c r="Q23" s="2376">
        <f t="shared" si="6"/>
        <v>1.5541666666666669</v>
      </c>
      <c r="R23" s="2376">
        <f t="shared" si="6"/>
        <v>201.86749999999998</v>
      </c>
      <c r="S23" s="2376">
        <f t="shared" si="6"/>
        <v>74.833333333333329</v>
      </c>
      <c r="T23" s="2376">
        <f t="shared" si="6"/>
        <v>1.5</v>
      </c>
      <c r="U23" s="1939">
        <f t="shared" si="5"/>
        <v>419.8125</v>
      </c>
      <c r="V23" s="1852"/>
      <c r="W23" s="2377">
        <f t="shared" ref="W23:AB23" si="7">+W22/12</f>
        <v>504.72333333333336</v>
      </c>
      <c r="X23" s="2378">
        <f t="shared" si="7"/>
        <v>100.40416666666665</v>
      </c>
      <c r="Y23" s="2378">
        <f t="shared" si="7"/>
        <v>95.900833333333352</v>
      </c>
      <c r="Z23" s="2378">
        <f t="shared" si="7"/>
        <v>302.97166666666664</v>
      </c>
      <c r="AA23" s="2378">
        <f t="shared" si="7"/>
        <v>0</v>
      </c>
      <c r="AB23" s="1939">
        <f t="shared" si="7"/>
        <v>1004</v>
      </c>
      <c r="AC23" s="1905"/>
    </row>
    <row r="24" spans="1:33" ht="16.5" thickBot="1">
      <c r="C24" s="1852"/>
      <c r="D24" s="2380"/>
      <c r="E24" s="2380"/>
      <c r="F24" s="2380"/>
      <c r="G24" s="2380"/>
      <c r="H24" s="2380"/>
      <c r="I24" s="2380"/>
      <c r="J24" s="2380"/>
      <c r="K24" s="2380"/>
      <c r="L24" s="2380"/>
      <c r="M24" s="2380"/>
      <c r="N24" s="2380"/>
      <c r="O24" s="2380"/>
      <c r="P24" s="2380"/>
      <c r="Q24" s="2380"/>
      <c r="R24" s="1852"/>
      <c r="S24" s="1852"/>
      <c r="T24" s="1852"/>
      <c r="U24" s="1852"/>
      <c r="V24" s="1852"/>
      <c r="W24" s="1852"/>
      <c r="Y24" s="1852"/>
      <c r="Z24" s="1852"/>
      <c r="AA24" s="1898"/>
    </row>
    <row r="25" spans="1:33" ht="16.5" thickBot="1">
      <c r="B25" s="1850"/>
      <c r="C25" s="2709" t="s">
        <v>1385</v>
      </c>
      <c r="D25" s="2710"/>
      <c r="E25" s="2710"/>
      <c r="F25" s="2710"/>
      <c r="G25" s="2710"/>
      <c r="H25" s="2710"/>
      <c r="I25" s="2710"/>
      <c r="J25" s="2710"/>
      <c r="K25" s="2710"/>
      <c r="L25" s="2710"/>
      <c r="M25" s="2710"/>
      <c r="N25" s="2710"/>
      <c r="O25" s="2710"/>
      <c r="P25" s="2710"/>
      <c r="Q25" s="2710"/>
      <c r="R25" s="2710"/>
      <c r="S25" s="2710"/>
      <c r="T25" s="2710"/>
      <c r="U25" s="2710"/>
      <c r="V25" s="2710"/>
      <c r="W25" s="2710"/>
      <c r="X25" s="2710"/>
      <c r="Y25" s="2711"/>
      <c r="Z25" s="1852"/>
      <c r="AA25" s="1852"/>
      <c r="AB25" s="1852"/>
      <c r="AC25" s="1852"/>
      <c r="AD25" s="1852"/>
    </row>
    <row r="26" spans="1:33" ht="16.5" thickBot="1">
      <c r="B26" s="1854" t="s">
        <v>328</v>
      </c>
      <c r="C26" s="1907" t="s">
        <v>760</v>
      </c>
      <c r="D26" s="1908" t="s">
        <v>759</v>
      </c>
      <c r="E26" s="1908" t="s">
        <v>758</v>
      </c>
      <c r="F26" s="1908" t="s">
        <v>757</v>
      </c>
      <c r="G26" s="1908" t="s">
        <v>756</v>
      </c>
      <c r="H26" s="1908" t="s">
        <v>755</v>
      </c>
      <c r="I26" s="1908" t="s">
        <v>754</v>
      </c>
      <c r="J26" s="1908" t="s">
        <v>753</v>
      </c>
      <c r="K26" s="1908" t="s">
        <v>1858</v>
      </c>
      <c r="L26" s="1908" t="s">
        <v>752</v>
      </c>
      <c r="M26" s="1908" t="s">
        <v>823</v>
      </c>
      <c r="N26" s="1908" t="s">
        <v>751</v>
      </c>
      <c r="O26" s="1908" t="s">
        <v>750</v>
      </c>
      <c r="P26" s="1908" t="s">
        <v>824</v>
      </c>
      <c r="Q26" s="1908" t="s">
        <v>825</v>
      </c>
      <c r="R26" s="1908" t="s">
        <v>1329</v>
      </c>
      <c r="S26" s="1908" t="s">
        <v>1569</v>
      </c>
      <c r="T26" s="1908" t="s">
        <v>1570</v>
      </c>
      <c r="U26" s="1908" t="s">
        <v>822</v>
      </c>
      <c r="V26" s="1908" t="s">
        <v>1859</v>
      </c>
      <c r="W26" s="1908" t="s">
        <v>1864</v>
      </c>
      <c r="X26" s="1908" t="s">
        <v>1866</v>
      </c>
      <c r="Y26" s="1909" t="s">
        <v>360</v>
      </c>
      <c r="Z26" s="1852"/>
      <c r="AA26" s="1852"/>
      <c r="AB26" s="1852"/>
      <c r="AC26" s="1852"/>
      <c r="AD26" s="1852"/>
      <c r="AE26" s="1852"/>
      <c r="AF26" s="1852"/>
    </row>
    <row r="27" spans="1:33" ht="47.25" customHeight="1" thickBot="1">
      <c r="B27" s="1862" t="s">
        <v>749</v>
      </c>
      <c r="C27" s="1910" t="s">
        <v>365</v>
      </c>
      <c r="D27" s="1911" t="s">
        <v>748</v>
      </c>
      <c r="E27" s="1911" t="s">
        <v>1860</v>
      </c>
      <c r="F27" s="1911" t="s">
        <v>1860</v>
      </c>
      <c r="G27" s="1911" t="s">
        <v>747</v>
      </c>
      <c r="H27" s="1911" t="s">
        <v>746</v>
      </c>
      <c r="I27" s="1911" t="s">
        <v>2003</v>
      </c>
      <c r="J27" s="1911" t="s">
        <v>826</v>
      </c>
      <c r="K27" s="1911" t="s">
        <v>1652</v>
      </c>
      <c r="L27" s="1911" t="s">
        <v>1862</v>
      </c>
      <c r="M27" s="1911" t="s">
        <v>1861</v>
      </c>
      <c r="N27" s="1911" t="s">
        <v>1651</v>
      </c>
      <c r="O27" s="1911" t="s">
        <v>1865</v>
      </c>
      <c r="P27" s="1911" t="s">
        <v>2004</v>
      </c>
      <c r="Q27" s="1911" t="s">
        <v>2116</v>
      </c>
      <c r="R27" s="1911" t="s">
        <v>647</v>
      </c>
      <c r="S27" s="1911" t="s">
        <v>826</v>
      </c>
      <c r="T27" s="1911" t="s">
        <v>826</v>
      </c>
      <c r="U27" s="1911" t="s">
        <v>826</v>
      </c>
      <c r="V27" s="1911" t="s">
        <v>826</v>
      </c>
      <c r="W27" s="1911" t="s">
        <v>826</v>
      </c>
      <c r="X27" s="1911" t="s">
        <v>2117</v>
      </c>
      <c r="Y27" s="1912"/>
      <c r="AE27" s="1852"/>
      <c r="AF27" s="1913" t="s">
        <v>745</v>
      </c>
      <c r="AG27" s="1852"/>
    </row>
    <row r="28" spans="1:33" ht="15.75" customHeight="1">
      <c r="B28" s="1869" t="s">
        <v>468</v>
      </c>
      <c r="C28" s="1914" t="s">
        <v>744</v>
      </c>
      <c r="D28" s="1915" t="s">
        <v>744</v>
      </c>
      <c r="E28" s="1915" t="s">
        <v>744</v>
      </c>
      <c r="F28" s="1915" t="s">
        <v>744</v>
      </c>
      <c r="G28" s="1915" t="s">
        <v>744</v>
      </c>
      <c r="H28" s="1915" t="s">
        <v>744</v>
      </c>
      <c r="I28" s="1915" t="s">
        <v>744</v>
      </c>
      <c r="J28" s="1915" t="s">
        <v>744</v>
      </c>
      <c r="K28" s="1915" t="s">
        <v>744</v>
      </c>
      <c r="L28" s="1915" t="s">
        <v>744</v>
      </c>
      <c r="M28" s="1915" t="s">
        <v>744</v>
      </c>
      <c r="N28" s="1916" t="s">
        <v>744</v>
      </c>
      <c r="O28" s="1916" t="s">
        <v>744</v>
      </c>
      <c r="P28" s="1916" t="s">
        <v>744</v>
      </c>
      <c r="Q28" s="1916" t="s">
        <v>744</v>
      </c>
      <c r="R28" s="1916" t="s">
        <v>744</v>
      </c>
      <c r="S28" s="1916" t="s">
        <v>744</v>
      </c>
      <c r="T28" s="1916" t="s">
        <v>744</v>
      </c>
      <c r="U28" s="1916" t="s">
        <v>744</v>
      </c>
      <c r="V28" s="1916" t="s">
        <v>744</v>
      </c>
      <c r="W28" s="1916" t="s">
        <v>744</v>
      </c>
      <c r="X28" s="1916" t="s">
        <v>744</v>
      </c>
      <c r="Y28" s="1917" t="s">
        <v>743</v>
      </c>
      <c r="AA28" s="1918" t="s">
        <v>775</v>
      </c>
      <c r="AB28" s="1919">
        <v>0.01</v>
      </c>
      <c r="AC28" s="1918" t="s">
        <v>814</v>
      </c>
      <c r="AD28" s="1918" t="s">
        <v>816</v>
      </c>
      <c r="AE28" s="1852"/>
      <c r="AF28" s="2706" t="s">
        <v>742</v>
      </c>
      <c r="AG28" s="1852"/>
    </row>
    <row r="29" spans="1:33" ht="28.5" customHeight="1" thickBot="1">
      <c r="B29" s="1873" t="s">
        <v>741</v>
      </c>
      <c r="C29" s="1920" t="s">
        <v>2005</v>
      </c>
      <c r="D29" s="1921" t="s">
        <v>2006</v>
      </c>
      <c r="E29" s="1921" t="s">
        <v>2007</v>
      </c>
      <c r="F29" s="1921" t="s">
        <v>2008</v>
      </c>
      <c r="G29" s="1921" t="s">
        <v>2009</v>
      </c>
      <c r="H29" s="1921" t="s">
        <v>2010</v>
      </c>
      <c r="I29" s="1921" t="s">
        <v>2011</v>
      </c>
      <c r="J29" s="1921" t="s">
        <v>2012</v>
      </c>
      <c r="K29" s="1921" t="s">
        <v>2013</v>
      </c>
      <c r="L29" s="1921" t="s">
        <v>2122</v>
      </c>
      <c r="M29" s="1921" t="s">
        <v>2014</v>
      </c>
      <c r="N29" s="1921" t="s">
        <v>2015</v>
      </c>
      <c r="O29" s="1921" t="s">
        <v>2016</v>
      </c>
      <c r="P29" s="1921" t="s">
        <v>2017</v>
      </c>
      <c r="Q29" s="1921" t="s">
        <v>2118</v>
      </c>
      <c r="R29" s="1921">
        <v>0</v>
      </c>
      <c r="S29" s="1921" t="s">
        <v>2018</v>
      </c>
      <c r="T29" s="1921" t="s">
        <v>2019</v>
      </c>
      <c r="U29" s="1921" t="s">
        <v>2020</v>
      </c>
      <c r="V29" s="1921" t="s">
        <v>2124</v>
      </c>
      <c r="W29" s="1921" t="s">
        <v>2125</v>
      </c>
      <c r="X29" s="1921" t="s">
        <v>2119</v>
      </c>
      <c r="Y29" s="1922"/>
      <c r="AA29" s="1923" t="s">
        <v>761</v>
      </c>
      <c r="AB29" s="1923" t="s">
        <v>1571</v>
      </c>
      <c r="AC29" s="1924" t="s">
        <v>815</v>
      </c>
      <c r="AD29" s="1924" t="s">
        <v>817</v>
      </c>
      <c r="AE29" s="1852"/>
      <c r="AF29" s="2707"/>
      <c r="AG29" s="1852"/>
    </row>
    <row r="30" spans="1:33">
      <c r="B30" s="1854" t="s">
        <v>147</v>
      </c>
      <c r="C30" s="2590">
        <v>2534</v>
      </c>
      <c r="D30" s="2591">
        <v>50</v>
      </c>
      <c r="E30" s="2591">
        <v>18</v>
      </c>
      <c r="F30" s="2591">
        <v>56</v>
      </c>
      <c r="G30" s="2591">
        <v>0</v>
      </c>
      <c r="H30" s="2591">
        <v>30</v>
      </c>
      <c r="I30" s="2591">
        <v>11</v>
      </c>
      <c r="J30" s="2591">
        <v>80</v>
      </c>
      <c r="K30" s="2591">
        <v>74</v>
      </c>
      <c r="L30" s="2591">
        <v>25</v>
      </c>
      <c r="M30" s="2591">
        <v>4</v>
      </c>
      <c r="N30" s="2591">
        <v>19</v>
      </c>
      <c r="O30" s="2591">
        <v>25</v>
      </c>
      <c r="P30" s="2591">
        <v>55</v>
      </c>
      <c r="Q30" s="2591">
        <v>10</v>
      </c>
      <c r="R30" s="2591">
        <v>133.1</v>
      </c>
      <c r="S30" s="2591">
        <v>100</v>
      </c>
      <c r="T30" s="2591">
        <v>100</v>
      </c>
      <c r="U30" s="2591">
        <v>100</v>
      </c>
      <c r="V30" s="2591">
        <v>50</v>
      </c>
      <c r="W30" s="2591">
        <v>150</v>
      </c>
      <c r="X30" s="2592">
        <v>0</v>
      </c>
      <c r="Y30" s="1927">
        <f t="shared" ref="Y30:Y41" si="8">SUM(C30:X30)</f>
        <v>3624.1</v>
      </c>
      <c r="AA30" s="1928">
        <f t="shared" ref="AA30:AA41" si="9">+C10+U10+AB10</f>
        <v>10131.94</v>
      </c>
      <c r="AB30" s="1928">
        <f>(AA30*1.01)+(AC30*0.01)</f>
        <v>10235.232730000002</v>
      </c>
      <c r="AC30" s="1929">
        <v>197.333</v>
      </c>
      <c r="AD30" s="1930">
        <v>10432.560680000001</v>
      </c>
      <c r="AE30" s="1852"/>
      <c r="AF30" s="1931">
        <f t="shared" ref="AF30:AF41" si="10">+AD30+Y30</f>
        <v>14056.660680000001</v>
      </c>
      <c r="AG30" s="1852"/>
    </row>
    <row r="31" spans="1:33">
      <c r="B31" s="1854" t="s">
        <v>148</v>
      </c>
      <c r="C31" s="1925">
        <v>2534</v>
      </c>
      <c r="D31" s="1926">
        <v>50</v>
      </c>
      <c r="E31" s="1926">
        <v>18</v>
      </c>
      <c r="F31" s="1926">
        <v>56</v>
      </c>
      <c r="G31" s="1926">
        <v>0</v>
      </c>
      <c r="H31" s="1926">
        <v>30</v>
      </c>
      <c r="I31" s="1926">
        <v>11</v>
      </c>
      <c r="J31" s="1926">
        <v>80</v>
      </c>
      <c r="K31" s="1926">
        <v>74</v>
      </c>
      <c r="L31" s="1926">
        <v>25</v>
      </c>
      <c r="M31" s="1926">
        <v>4</v>
      </c>
      <c r="N31" s="1926">
        <v>19</v>
      </c>
      <c r="O31" s="1926">
        <v>25</v>
      </c>
      <c r="P31" s="1926">
        <v>55</v>
      </c>
      <c r="Q31" s="1926">
        <v>10</v>
      </c>
      <c r="R31" s="1926">
        <v>133.1</v>
      </c>
      <c r="S31" s="1926">
        <v>100</v>
      </c>
      <c r="T31" s="1926">
        <v>100</v>
      </c>
      <c r="U31" s="1926">
        <v>100</v>
      </c>
      <c r="V31" s="1926">
        <v>50</v>
      </c>
      <c r="W31" s="1926">
        <v>150</v>
      </c>
      <c r="X31" s="2593">
        <v>0</v>
      </c>
      <c r="Y31" s="1927">
        <f t="shared" si="8"/>
        <v>3624.1</v>
      </c>
      <c r="AA31" s="1932">
        <f t="shared" si="9"/>
        <v>9399.36</v>
      </c>
      <c r="AB31" s="1932">
        <f t="shared" ref="AB31:AB41" si="11">(AA31*1.01)+(AC31*0.01)</f>
        <v>9495.5981000000011</v>
      </c>
      <c r="AC31" s="1933">
        <v>224.44999999999996</v>
      </c>
      <c r="AD31" s="1931">
        <v>9720.0521400000034</v>
      </c>
      <c r="AE31" s="1852"/>
      <c r="AF31" s="1931">
        <f t="shared" si="10"/>
        <v>13344.152140000004</v>
      </c>
      <c r="AG31" s="1852"/>
    </row>
    <row r="32" spans="1:33">
      <c r="B32" s="1854" t="s">
        <v>352</v>
      </c>
      <c r="C32" s="1925">
        <v>2534</v>
      </c>
      <c r="D32" s="1926">
        <v>50</v>
      </c>
      <c r="E32" s="1926">
        <v>18</v>
      </c>
      <c r="F32" s="1926">
        <v>56</v>
      </c>
      <c r="G32" s="1926">
        <v>0</v>
      </c>
      <c r="H32" s="1926">
        <v>30</v>
      </c>
      <c r="I32" s="1926">
        <v>11</v>
      </c>
      <c r="J32" s="1926">
        <v>80</v>
      </c>
      <c r="K32" s="1926">
        <v>74</v>
      </c>
      <c r="L32" s="1926">
        <v>25</v>
      </c>
      <c r="M32" s="1926">
        <v>4</v>
      </c>
      <c r="N32" s="1926">
        <v>19</v>
      </c>
      <c r="O32" s="1926">
        <v>25</v>
      </c>
      <c r="P32" s="1926">
        <v>55</v>
      </c>
      <c r="Q32" s="1926">
        <v>10</v>
      </c>
      <c r="R32" s="1926">
        <v>133.1</v>
      </c>
      <c r="S32" s="1926">
        <v>100</v>
      </c>
      <c r="T32" s="1926">
        <v>100</v>
      </c>
      <c r="U32" s="1926">
        <v>100</v>
      </c>
      <c r="V32" s="1926">
        <v>50</v>
      </c>
      <c r="W32" s="1926">
        <v>150</v>
      </c>
      <c r="X32" s="2593">
        <v>50</v>
      </c>
      <c r="Y32" s="1927">
        <f t="shared" si="8"/>
        <v>3674.1</v>
      </c>
      <c r="AA32" s="1932">
        <f t="shared" si="9"/>
        <v>8815.1</v>
      </c>
      <c r="AB32" s="1932">
        <f t="shared" si="11"/>
        <v>8906.2352300000002</v>
      </c>
      <c r="AC32" s="1933">
        <v>298.423</v>
      </c>
      <c r="AD32" s="1931">
        <v>9204.6541900000011</v>
      </c>
      <c r="AE32" s="1852"/>
      <c r="AF32" s="1931">
        <f t="shared" si="10"/>
        <v>12878.754190000001</v>
      </c>
      <c r="AG32" s="1852"/>
    </row>
    <row r="33" spans="2:33">
      <c r="B33" s="1854" t="s">
        <v>143</v>
      </c>
      <c r="C33" s="1925">
        <v>2534</v>
      </c>
      <c r="D33" s="1926">
        <v>50</v>
      </c>
      <c r="E33" s="1926">
        <v>18</v>
      </c>
      <c r="F33" s="1926">
        <v>56</v>
      </c>
      <c r="G33" s="1926">
        <v>0</v>
      </c>
      <c r="H33" s="1926">
        <v>30</v>
      </c>
      <c r="I33" s="1926">
        <v>11</v>
      </c>
      <c r="J33" s="1926">
        <v>80</v>
      </c>
      <c r="K33" s="1926">
        <v>74</v>
      </c>
      <c r="L33" s="1926">
        <v>25</v>
      </c>
      <c r="M33" s="1926">
        <v>4</v>
      </c>
      <c r="N33" s="1926">
        <v>19</v>
      </c>
      <c r="O33" s="1926">
        <v>25</v>
      </c>
      <c r="P33" s="1926">
        <v>55</v>
      </c>
      <c r="Q33" s="1926">
        <v>10</v>
      </c>
      <c r="R33" s="1926">
        <v>133.1</v>
      </c>
      <c r="S33" s="1926">
        <v>100</v>
      </c>
      <c r="T33" s="1926">
        <v>100</v>
      </c>
      <c r="U33" s="1926">
        <v>100</v>
      </c>
      <c r="V33" s="1926">
        <v>50</v>
      </c>
      <c r="W33" s="1926">
        <v>150</v>
      </c>
      <c r="X33" s="2593">
        <v>50</v>
      </c>
      <c r="Y33" s="1927">
        <f t="shared" si="8"/>
        <v>3674.1</v>
      </c>
      <c r="AA33" s="1932">
        <f t="shared" si="9"/>
        <v>8219.380000000001</v>
      </c>
      <c r="AB33" s="1932">
        <f t="shared" si="11"/>
        <v>8303.7603333333354</v>
      </c>
      <c r="AC33" s="1933">
        <v>218.65333333333334</v>
      </c>
      <c r="AD33" s="1931">
        <v>8522.4177066666671</v>
      </c>
      <c r="AE33" s="1852"/>
      <c r="AF33" s="1931">
        <f t="shared" si="10"/>
        <v>12196.517706666667</v>
      </c>
      <c r="AG33" s="1852"/>
    </row>
    <row r="34" spans="2:33">
      <c r="B34" s="1854" t="s">
        <v>144</v>
      </c>
      <c r="C34" s="1925">
        <v>2534</v>
      </c>
      <c r="D34" s="1926">
        <v>50</v>
      </c>
      <c r="E34" s="1926">
        <v>18</v>
      </c>
      <c r="F34" s="1926">
        <v>56</v>
      </c>
      <c r="G34" s="1926">
        <v>0</v>
      </c>
      <c r="H34" s="1926">
        <v>30</v>
      </c>
      <c r="I34" s="1926">
        <v>11</v>
      </c>
      <c r="J34" s="1926">
        <v>80</v>
      </c>
      <c r="K34" s="1926">
        <v>74</v>
      </c>
      <c r="L34" s="1926">
        <v>25</v>
      </c>
      <c r="M34" s="1926">
        <v>4</v>
      </c>
      <c r="N34" s="1926">
        <v>19</v>
      </c>
      <c r="O34" s="1926">
        <v>25</v>
      </c>
      <c r="P34" s="1926">
        <v>55</v>
      </c>
      <c r="Q34" s="1926">
        <v>10</v>
      </c>
      <c r="R34" s="1926">
        <v>133.1</v>
      </c>
      <c r="S34" s="1926">
        <v>100</v>
      </c>
      <c r="T34" s="1926">
        <v>100</v>
      </c>
      <c r="U34" s="1926">
        <v>100</v>
      </c>
      <c r="V34" s="1926">
        <v>50</v>
      </c>
      <c r="W34" s="1926">
        <v>150</v>
      </c>
      <c r="X34" s="2593">
        <v>50</v>
      </c>
      <c r="Y34" s="1927">
        <f t="shared" si="8"/>
        <v>3674.1</v>
      </c>
      <c r="AA34" s="1932">
        <f t="shared" si="9"/>
        <v>8913.31</v>
      </c>
      <c r="AB34" s="1932">
        <f t="shared" si="11"/>
        <v>9004.9660199999998</v>
      </c>
      <c r="AC34" s="1933">
        <v>252.292</v>
      </c>
      <c r="AD34" s="1931">
        <v>9257.2620599999991</v>
      </c>
      <c r="AE34" s="1852"/>
      <c r="AF34" s="1931">
        <f t="shared" si="10"/>
        <v>12931.362059999999</v>
      </c>
      <c r="AG34" s="1852"/>
    </row>
    <row r="35" spans="2:33">
      <c r="B35" s="1854" t="s">
        <v>151</v>
      </c>
      <c r="C35" s="1925">
        <v>2629</v>
      </c>
      <c r="D35" s="1926">
        <v>50</v>
      </c>
      <c r="E35" s="1926">
        <v>18</v>
      </c>
      <c r="F35" s="1926">
        <v>56</v>
      </c>
      <c r="G35" s="1926">
        <v>75</v>
      </c>
      <c r="H35" s="1926">
        <v>30</v>
      </c>
      <c r="I35" s="1926">
        <v>11</v>
      </c>
      <c r="J35" s="1926">
        <v>80</v>
      </c>
      <c r="K35" s="1926">
        <v>55</v>
      </c>
      <c r="L35" s="1926">
        <v>25</v>
      </c>
      <c r="M35" s="1926">
        <v>4</v>
      </c>
      <c r="N35" s="1926">
        <v>19</v>
      </c>
      <c r="O35" s="1926">
        <v>25</v>
      </c>
      <c r="P35" s="1926">
        <v>55</v>
      </c>
      <c r="Q35" s="1926">
        <v>10</v>
      </c>
      <c r="R35" s="1926">
        <v>139.82</v>
      </c>
      <c r="S35" s="1926">
        <v>100</v>
      </c>
      <c r="T35" s="1926">
        <v>100</v>
      </c>
      <c r="U35" s="1926">
        <v>100</v>
      </c>
      <c r="V35" s="1926">
        <v>50</v>
      </c>
      <c r="W35" s="1926">
        <v>150</v>
      </c>
      <c r="X35" s="2593">
        <v>50</v>
      </c>
      <c r="Y35" s="1927">
        <f t="shared" si="8"/>
        <v>3831.82</v>
      </c>
      <c r="AA35" s="1932">
        <f t="shared" si="9"/>
        <v>11777.1</v>
      </c>
      <c r="AB35" s="1932">
        <f t="shared" si="11"/>
        <v>11897.681556666668</v>
      </c>
      <c r="AC35" s="1933">
        <v>281.0556666666667</v>
      </c>
      <c r="AD35" s="1931">
        <v>12178.736213333335</v>
      </c>
      <c r="AE35" s="1852"/>
      <c r="AF35" s="1931">
        <f t="shared" si="10"/>
        <v>16010.556213333335</v>
      </c>
      <c r="AG35" s="1852"/>
    </row>
    <row r="36" spans="2:33">
      <c r="B36" s="1854" t="s">
        <v>740</v>
      </c>
      <c r="C36" s="1925">
        <v>2629</v>
      </c>
      <c r="D36" s="1926">
        <v>50</v>
      </c>
      <c r="E36" s="1926">
        <v>18</v>
      </c>
      <c r="F36" s="1926">
        <v>56</v>
      </c>
      <c r="G36" s="1926">
        <v>75</v>
      </c>
      <c r="H36" s="1926">
        <v>30</v>
      </c>
      <c r="I36" s="1926">
        <v>11</v>
      </c>
      <c r="J36" s="1926">
        <v>80</v>
      </c>
      <c r="K36" s="1926">
        <v>55</v>
      </c>
      <c r="L36" s="1926">
        <v>25</v>
      </c>
      <c r="M36" s="1926">
        <v>4</v>
      </c>
      <c r="N36" s="1926">
        <v>19</v>
      </c>
      <c r="O36" s="1926">
        <v>25</v>
      </c>
      <c r="P36" s="1926">
        <v>55</v>
      </c>
      <c r="Q36" s="1926">
        <v>10</v>
      </c>
      <c r="R36" s="1926">
        <v>139.82</v>
      </c>
      <c r="S36" s="1926">
        <v>100</v>
      </c>
      <c r="T36" s="1926">
        <v>100</v>
      </c>
      <c r="U36" s="1926">
        <v>100</v>
      </c>
      <c r="V36" s="1926">
        <v>50</v>
      </c>
      <c r="W36" s="1926">
        <v>150</v>
      </c>
      <c r="X36" s="2593">
        <v>50</v>
      </c>
      <c r="Y36" s="1927">
        <f t="shared" si="8"/>
        <v>3831.82</v>
      </c>
      <c r="AA36" s="1932">
        <f t="shared" si="9"/>
        <v>12076.300000000001</v>
      </c>
      <c r="AB36" s="1932">
        <f t="shared" si="11"/>
        <v>12199.892066666669</v>
      </c>
      <c r="AC36" s="1933">
        <v>282.90666666666669</v>
      </c>
      <c r="AD36" s="1931">
        <v>12482.798733333335</v>
      </c>
      <c r="AE36" s="1852"/>
      <c r="AF36" s="1931">
        <f t="shared" si="10"/>
        <v>16314.618733333335</v>
      </c>
      <c r="AG36" s="1852"/>
    </row>
    <row r="37" spans="2:33">
      <c r="B37" s="1854" t="s">
        <v>153</v>
      </c>
      <c r="C37" s="1925">
        <v>2629</v>
      </c>
      <c r="D37" s="1926">
        <v>50</v>
      </c>
      <c r="E37" s="1926">
        <v>18</v>
      </c>
      <c r="F37" s="1926">
        <v>56</v>
      </c>
      <c r="G37" s="1926">
        <v>75</v>
      </c>
      <c r="H37" s="1926">
        <v>30</v>
      </c>
      <c r="I37" s="1926">
        <v>11</v>
      </c>
      <c r="J37" s="1926">
        <v>80</v>
      </c>
      <c r="K37" s="1926">
        <v>55</v>
      </c>
      <c r="L37" s="1926">
        <v>25</v>
      </c>
      <c r="M37" s="1926">
        <v>4</v>
      </c>
      <c r="N37" s="1926">
        <v>19</v>
      </c>
      <c r="O37" s="1926">
        <v>25</v>
      </c>
      <c r="P37" s="1926">
        <v>55</v>
      </c>
      <c r="Q37" s="1926">
        <v>10</v>
      </c>
      <c r="R37" s="1926">
        <v>139.82</v>
      </c>
      <c r="S37" s="1926">
        <v>100</v>
      </c>
      <c r="T37" s="1926">
        <v>100</v>
      </c>
      <c r="U37" s="1926">
        <v>100</v>
      </c>
      <c r="V37" s="1926">
        <v>50</v>
      </c>
      <c r="W37" s="1926">
        <v>150</v>
      </c>
      <c r="X37" s="2593">
        <v>50</v>
      </c>
      <c r="Y37" s="1927">
        <f t="shared" si="8"/>
        <v>3831.82</v>
      </c>
      <c r="AA37" s="1932">
        <f t="shared" si="9"/>
        <v>11608.59</v>
      </c>
      <c r="AB37" s="1932">
        <f t="shared" si="11"/>
        <v>11727.743856666666</v>
      </c>
      <c r="AC37" s="1933">
        <v>306.79566666666665</v>
      </c>
      <c r="AD37" s="1931">
        <v>12034.539523333333</v>
      </c>
      <c r="AE37" s="1852"/>
      <c r="AF37" s="1931">
        <f t="shared" si="10"/>
        <v>15866.359523333333</v>
      </c>
      <c r="AG37" s="1852"/>
    </row>
    <row r="38" spans="2:33">
      <c r="B38" s="1854" t="s">
        <v>739</v>
      </c>
      <c r="C38" s="1925">
        <v>2629</v>
      </c>
      <c r="D38" s="1926">
        <v>50</v>
      </c>
      <c r="E38" s="1926">
        <v>18</v>
      </c>
      <c r="F38" s="1926">
        <v>56</v>
      </c>
      <c r="G38" s="1926">
        <v>75</v>
      </c>
      <c r="H38" s="1926">
        <v>30</v>
      </c>
      <c r="I38" s="1926">
        <v>11</v>
      </c>
      <c r="J38" s="1926">
        <v>80</v>
      </c>
      <c r="K38" s="1926">
        <v>55</v>
      </c>
      <c r="L38" s="1926">
        <v>25</v>
      </c>
      <c r="M38" s="1926">
        <v>4</v>
      </c>
      <c r="N38" s="1926">
        <v>19</v>
      </c>
      <c r="O38" s="1926">
        <v>25</v>
      </c>
      <c r="P38" s="1926">
        <v>55</v>
      </c>
      <c r="Q38" s="1926">
        <v>10</v>
      </c>
      <c r="R38" s="1926">
        <v>139.82</v>
      </c>
      <c r="S38" s="1926">
        <v>100</v>
      </c>
      <c r="T38" s="1926">
        <v>100</v>
      </c>
      <c r="U38" s="1926">
        <v>100</v>
      </c>
      <c r="V38" s="1926">
        <v>50</v>
      </c>
      <c r="W38" s="1926">
        <v>150</v>
      </c>
      <c r="X38" s="2593">
        <v>50</v>
      </c>
      <c r="Y38" s="1927">
        <f t="shared" si="8"/>
        <v>3831.82</v>
      </c>
      <c r="AA38" s="1932">
        <f t="shared" si="9"/>
        <v>10460.320000000002</v>
      </c>
      <c r="AB38" s="1932">
        <f t="shared" si="11"/>
        <v>10568.014743333335</v>
      </c>
      <c r="AC38" s="1933">
        <v>309.15433333333334</v>
      </c>
      <c r="AD38" s="1931">
        <v>10877.169076666669</v>
      </c>
      <c r="AE38" s="1852"/>
      <c r="AF38" s="1931">
        <f t="shared" si="10"/>
        <v>14708.989076666669</v>
      </c>
      <c r="AG38" s="1852"/>
    </row>
    <row r="39" spans="2:33">
      <c r="B39" s="1854" t="s">
        <v>155</v>
      </c>
      <c r="C39" s="1925">
        <v>2629</v>
      </c>
      <c r="D39" s="1926">
        <v>50</v>
      </c>
      <c r="E39" s="1926">
        <v>18</v>
      </c>
      <c r="F39" s="1926">
        <v>56</v>
      </c>
      <c r="G39" s="1926">
        <v>75</v>
      </c>
      <c r="H39" s="1926">
        <v>30</v>
      </c>
      <c r="I39" s="1926">
        <v>11</v>
      </c>
      <c r="J39" s="1926">
        <v>80</v>
      </c>
      <c r="K39" s="1926">
        <v>55</v>
      </c>
      <c r="L39" s="1926">
        <v>25</v>
      </c>
      <c r="M39" s="1926">
        <v>4</v>
      </c>
      <c r="N39" s="1926">
        <v>19</v>
      </c>
      <c r="O39" s="1926">
        <v>25</v>
      </c>
      <c r="P39" s="1926">
        <v>55</v>
      </c>
      <c r="Q39" s="1926">
        <v>10</v>
      </c>
      <c r="R39" s="1926">
        <v>139.82</v>
      </c>
      <c r="S39" s="1926">
        <v>100</v>
      </c>
      <c r="T39" s="1926">
        <v>100</v>
      </c>
      <c r="U39" s="1926">
        <v>100</v>
      </c>
      <c r="V39" s="1926">
        <v>50</v>
      </c>
      <c r="W39" s="1926">
        <v>150</v>
      </c>
      <c r="X39" s="2593">
        <v>50</v>
      </c>
      <c r="Y39" s="1927">
        <f t="shared" si="8"/>
        <v>3831.82</v>
      </c>
      <c r="AA39" s="1932">
        <f t="shared" si="9"/>
        <v>8568.5499999999993</v>
      </c>
      <c r="AB39" s="1932">
        <f t="shared" si="11"/>
        <v>8656.8273333333327</v>
      </c>
      <c r="AC39" s="1933">
        <v>259.18333333333334</v>
      </c>
      <c r="AD39" s="1931">
        <v>8916.0096566666653</v>
      </c>
      <c r="AE39" s="1852"/>
      <c r="AF39" s="1931">
        <f t="shared" si="10"/>
        <v>12747.829656666665</v>
      </c>
      <c r="AG39" s="1852"/>
    </row>
    <row r="40" spans="2:33">
      <c r="B40" s="1854" t="s">
        <v>156</v>
      </c>
      <c r="C40" s="1925">
        <v>2534</v>
      </c>
      <c r="D40" s="1926">
        <v>50</v>
      </c>
      <c r="E40" s="1926">
        <v>18</v>
      </c>
      <c r="F40" s="1926">
        <v>56</v>
      </c>
      <c r="G40" s="1926">
        <v>0</v>
      </c>
      <c r="H40" s="1926">
        <v>30</v>
      </c>
      <c r="I40" s="1926">
        <v>11</v>
      </c>
      <c r="J40" s="1926">
        <v>80</v>
      </c>
      <c r="K40" s="1926">
        <v>74</v>
      </c>
      <c r="L40" s="1926">
        <v>25</v>
      </c>
      <c r="M40" s="1926">
        <v>4</v>
      </c>
      <c r="N40" s="1926">
        <v>19</v>
      </c>
      <c r="O40" s="1926">
        <v>25</v>
      </c>
      <c r="P40" s="1926">
        <v>55</v>
      </c>
      <c r="Q40" s="1926">
        <v>10</v>
      </c>
      <c r="R40" s="1926">
        <v>133.1</v>
      </c>
      <c r="S40" s="1926">
        <v>100</v>
      </c>
      <c r="T40" s="1926">
        <v>100</v>
      </c>
      <c r="U40" s="1926">
        <v>100</v>
      </c>
      <c r="V40" s="1926">
        <v>50</v>
      </c>
      <c r="W40" s="1926">
        <v>150</v>
      </c>
      <c r="X40" s="2593">
        <v>50</v>
      </c>
      <c r="Y40" s="1927">
        <f t="shared" si="8"/>
        <v>3674.1</v>
      </c>
      <c r="AA40" s="1932">
        <f t="shared" si="9"/>
        <v>9273.7199999999993</v>
      </c>
      <c r="AB40" s="1932">
        <f t="shared" si="11"/>
        <v>9369.0784866666654</v>
      </c>
      <c r="AC40" s="1933">
        <v>262.12866666666667</v>
      </c>
      <c r="AD40" s="1931">
        <v>9631.2021033333349</v>
      </c>
      <c r="AE40" s="1852"/>
      <c r="AF40" s="1931">
        <f t="shared" si="10"/>
        <v>13305.302103333335</v>
      </c>
      <c r="AG40" s="1852"/>
    </row>
    <row r="41" spans="2:33" ht="16.5" thickBot="1">
      <c r="B41" s="1854" t="s">
        <v>157</v>
      </c>
      <c r="C41" s="2594">
        <v>2534</v>
      </c>
      <c r="D41" s="2595">
        <v>50</v>
      </c>
      <c r="E41" s="2595">
        <v>18</v>
      </c>
      <c r="F41" s="2595">
        <v>56</v>
      </c>
      <c r="G41" s="2595">
        <v>0</v>
      </c>
      <c r="H41" s="2595">
        <v>30</v>
      </c>
      <c r="I41" s="2595">
        <v>11</v>
      </c>
      <c r="J41" s="2595">
        <v>80</v>
      </c>
      <c r="K41" s="2595">
        <v>74</v>
      </c>
      <c r="L41" s="2595">
        <v>25</v>
      </c>
      <c r="M41" s="2595">
        <v>4</v>
      </c>
      <c r="N41" s="2595">
        <v>19</v>
      </c>
      <c r="O41" s="2595">
        <v>25</v>
      </c>
      <c r="P41" s="2595">
        <v>55</v>
      </c>
      <c r="Q41" s="2595">
        <v>10</v>
      </c>
      <c r="R41" s="2595">
        <v>133.1</v>
      </c>
      <c r="S41" s="2595">
        <v>100</v>
      </c>
      <c r="T41" s="2595">
        <v>100</v>
      </c>
      <c r="U41" s="2595">
        <v>100</v>
      </c>
      <c r="V41" s="2595">
        <v>50</v>
      </c>
      <c r="W41" s="2595">
        <v>150</v>
      </c>
      <c r="X41" s="2596">
        <v>50</v>
      </c>
      <c r="Y41" s="1927">
        <f t="shared" si="8"/>
        <v>3674.1</v>
      </c>
      <c r="AA41" s="1934">
        <f t="shared" si="9"/>
        <v>9833.510000000002</v>
      </c>
      <c r="AB41" s="1934">
        <f t="shared" si="11"/>
        <v>9934.213590000003</v>
      </c>
      <c r="AC41" s="1935">
        <v>236.84900000000002</v>
      </c>
      <c r="AD41" s="1936">
        <v>10171.065619999999</v>
      </c>
      <c r="AE41" s="1852"/>
      <c r="AF41" s="1931">
        <f t="shared" si="10"/>
        <v>13845.16562</v>
      </c>
      <c r="AG41" s="1852"/>
    </row>
    <row r="42" spans="2:33" ht="16.5" thickBot="1">
      <c r="B42" s="1873" t="s">
        <v>282</v>
      </c>
      <c r="C42" s="1904">
        <f t="shared" ref="C42:M42" si="12">SUM(C30:C41)</f>
        <v>30883</v>
      </c>
      <c r="D42" s="1903">
        <f t="shared" si="12"/>
        <v>600</v>
      </c>
      <c r="E42" s="1903">
        <f t="shared" si="12"/>
        <v>216</v>
      </c>
      <c r="F42" s="1903">
        <f t="shared" si="12"/>
        <v>672</v>
      </c>
      <c r="G42" s="1903">
        <f t="shared" si="12"/>
        <v>375</v>
      </c>
      <c r="H42" s="1903">
        <f t="shared" si="12"/>
        <v>360</v>
      </c>
      <c r="I42" s="1903">
        <f t="shared" si="12"/>
        <v>132</v>
      </c>
      <c r="J42" s="1903">
        <f t="shared" si="12"/>
        <v>960</v>
      </c>
      <c r="K42" s="1903">
        <f t="shared" si="12"/>
        <v>793</v>
      </c>
      <c r="L42" s="1903">
        <f t="shared" si="12"/>
        <v>300</v>
      </c>
      <c r="M42" s="1903">
        <f t="shared" si="12"/>
        <v>48</v>
      </c>
      <c r="N42" s="1903">
        <f t="shared" ref="N42:Y42" si="13">SUM(N30:N41)</f>
        <v>228</v>
      </c>
      <c r="O42" s="1903">
        <f t="shared" si="13"/>
        <v>300</v>
      </c>
      <c r="P42" s="1903">
        <f t="shared" si="13"/>
        <v>660</v>
      </c>
      <c r="Q42" s="1903">
        <f>SUM(Q30:Q41)</f>
        <v>120</v>
      </c>
      <c r="R42" s="1903">
        <f>SUM(R30:R41)</f>
        <v>1630.7999999999995</v>
      </c>
      <c r="S42" s="1903">
        <f>SUM(S30:S41)</f>
        <v>1200</v>
      </c>
      <c r="T42" s="1903">
        <f t="shared" si="13"/>
        <v>1200</v>
      </c>
      <c r="U42" s="1903">
        <f t="shared" si="13"/>
        <v>1200</v>
      </c>
      <c r="V42" s="1903">
        <f t="shared" si="13"/>
        <v>600</v>
      </c>
      <c r="W42" s="1903">
        <f t="shared" si="13"/>
        <v>1800</v>
      </c>
      <c r="X42" s="1903">
        <f t="shared" si="13"/>
        <v>500</v>
      </c>
      <c r="Y42" s="1937">
        <f t="shared" si="13"/>
        <v>44777.799999999996</v>
      </c>
      <c r="AA42" s="1938">
        <f>SUM(AA30:AA41)</f>
        <v>119077.18</v>
      </c>
      <c r="AB42" s="1938">
        <f>SUM(AB30:AB41)</f>
        <v>120299.24404666667</v>
      </c>
      <c r="AC42" s="1938">
        <f>SUM(AC30:AC41)</f>
        <v>3129.2246666666665</v>
      </c>
      <c r="AD42" s="1938">
        <f>SUM(AD30:AD41)</f>
        <v>123428.46770333333</v>
      </c>
      <c r="AE42" s="1852"/>
      <c r="AF42" s="1938">
        <f>SUM(AF30:AF41)</f>
        <v>168206.26770333335</v>
      </c>
      <c r="AG42" s="1852"/>
    </row>
    <row r="43" spans="2:33" ht="16.5" thickBot="1">
      <c r="B43" s="1893" t="s">
        <v>1642</v>
      </c>
      <c r="C43" s="2377">
        <f t="shared" ref="C43:Y43" si="14">+C42/12</f>
        <v>2573.5833333333335</v>
      </c>
      <c r="D43" s="2378">
        <f t="shared" si="14"/>
        <v>50</v>
      </c>
      <c r="E43" s="2378">
        <f t="shared" si="14"/>
        <v>18</v>
      </c>
      <c r="F43" s="2378">
        <f t="shared" si="14"/>
        <v>56</v>
      </c>
      <c r="G43" s="2378">
        <f t="shared" si="14"/>
        <v>31.25</v>
      </c>
      <c r="H43" s="2378">
        <f t="shared" si="14"/>
        <v>30</v>
      </c>
      <c r="I43" s="2378">
        <f t="shared" si="14"/>
        <v>11</v>
      </c>
      <c r="J43" s="2378">
        <f t="shared" si="14"/>
        <v>80</v>
      </c>
      <c r="K43" s="2378">
        <f t="shared" si="14"/>
        <v>66.083333333333329</v>
      </c>
      <c r="L43" s="2378">
        <f t="shared" si="14"/>
        <v>25</v>
      </c>
      <c r="M43" s="2378">
        <f t="shared" si="14"/>
        <v>4</v>
      </c>
      <c r="N43" s="2378">
        <f t="shared" si="14"/>
        <v>19</v>
      </c>
      <c r="O43" s="2378">
        <f t="shared" si="14"/>
        <v>25</v>
      </c>
      <c r="P43" s="2378">
        <f t="shared" si="14"/>
        <v>55</v>
      </c>
      <c r="Q43" s="2378">
        <f>+Q42/12</f>
        <v>10</v>
      </c>
      <c r="R43" s="2378">
        <f>+R42/12</f>
        <v>135.89999999999995</v>
      </c>
      <c r="S43" s="2378">
        <f>+S42/12</f>
        <v>100</v>
      </c>
      <c r="T43" s="2378">
        <f t="shared" si="14"/>
        <v>100</v>
      </c>
      <c r="U43" s="2378">
        <f t="shared" si="14"/>
        <v>100</v>
      </c>
      <c r="V43" s="2378">
        <f t="shared" si="14"/>
        <v>50</v>
      </c>
      <c r="W43" s="2378">
        <f t="shared" si="14"/>
        <v>150</v>
      </c>
      <c r="X43" s="2378">
        <f t="shared" si="14"/>
        <v>41.666666666666664</v>
      </c>
      <c r="Y43" s="2379">
        <f t="shared" si="14"/>
        <v>3731.4833333333331</v>
      </c>
      <c r="AA43" s="1939">
        <f>+AA42/12</f>
        <v>9923.0983333333334</v>
      </c>
      <c r="AB43" s="1939">
        <f>+AB42/12</f>
        <v>10024.93700388889</v>
      </c>
      <c r="AC43" s="1939">
        <f>+AC42/12</f>
        <v>260.76872222222221</v>
      </c>
      <c r="AD43" s="1939">
        <f>+AD42/12</f>
        <v>10285.705641944443</v>
      </c>
      <c r="AE43" s="1852"/>
      <c r="AF43" s="1939">
        <f>+AF42/12</f>
        <v>14017.188975277779</v>
      </c>
      <c r="AG43" s="1852"/>
    </row>
    <row r="45" spans="2:33">
      <c r="P45" s="1940"/>
      <c r="R45" s="1941"/>
    </row>
    <row r="46" spans="2:33">
      <c r="P46" s="1940"/>
    </row>
    <row r="48" spans="2:33">
      <c r="P48" s="1898"/>
    </row>
    <row r="49" spans="16:16">
      <c r="P49" s="1941"/>
    </row>
  </sheetData>
  <mergeCells count="5">
    <mergeCell ref="AF28:AF29"/>
    <mergeCell ref="B2:AB2"/>
    <mergeCell ref="C25:Y25"/>
    <mergeCell ref="C5:T5"/>
    <mergeCell ref="W5:AA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3"/>
  <sheetViews>
    <sheetView zoomScaleNormal="100" workbookViewId="0"/>
  </sheetViews>
  <sheetFormatPr defaultRowHeight="15.75"/>
  <cols>
    <col min="1" max="1" width="4.7109375" style="1843" customWidth="1"/>
    <col min="2" max="2" width="14.28515625" style="1843" customWidth="1"/>
    <col min="3" max="4" width="6" style="1843" customWidth="1"/>
    <col min="5" max="19" width="11.5703125" style="1843" customWidth="1"/>
    <col min="20" max="20" width="9.140625" style="1843" customWidth="1"/>
    <col min="21" max="24" width="11.7109375" style="1843" customWidth="1"/>
    <col min="25" max="25" width="12.28515625" style="1843" customWidth="1"/>
    <col min="26" max="26" width="9.28515625" style="1852" customWidth="1"/>
    <col min="27" max="29" width="12.28515625" style="1843" customWidth="1"/>
    <col min="30" max="30" width="7" style="1843" customWidth="1"/>
    <col min="31" max="31" width="12.28515625" style="1843" customWidth="1"/>
    <col min="32" max="16384" width="9.140625" style="1843"/>
  </cols>
  <sheetData>
    <row r="1" spans="1:32" ht="16.5" customHeight="1">
      <c r="A1" s="1839"/>
      <c r="B1" s="2708" t="s">
        <v>365</v>
      </c>
      <c r="C1" s="2708"/>
      <c r="D1" s="2708"/>
      <c r="E1" s="2708"/>
      <c r="F1" s="2708"/>
      <c r="G1" s="2708"/>
      <c r="H1" s="2708"/>
      <c r="I1" s="2708"/>
      <c r="J1" s="2708"/>
      <c r="K1" s="2708"/>
      <c r="L1" s="2708"/>
      <c r="M1" s="2708"/>
      <c r="N1" s="2708"/>
      <c r="O1" s="2708"/>
      <c r="P1" s="2708"/>
      <c r="Q1" s="2708"/>
      <c r="R1" s="2708"/>
      <c r="S1" s="2708"/>
      <c r="T1" s="1846"/>
      <c r="U1" s="1846"/>
      <c r="V1" s="1846"/>
      <c r="W1" s="1846"/>
      <c r="X1" s="1846"/>
      <c r="Y1" s="1846"/>
      <c r="Z1" s="1846"/>
      <c r="AA1" s="1846"/>
      <c r="AB1" s="1842"/>
    </row>
    <row r="2" spans="1:32" ht="16.5" customHeight="1">
      <c r="A2" s="1844"/>
      <c r="B2" s="2717" t="s">
        <v>966</v>
      </c>
      <c r="C2" s="2717"/>
      <c r="D2" s="2717"/>
      <c r="E2" s="2717"/>
      <c r="F2" s="2717"/>
      <c r="G2" s="2717"/>
      <c r="H2" s="2717"/>
      <c r="I2" s="2717"/>
      <c r="J2" s="2717"/>
      <c r="K2" s="2717"/>
      <c r="L2" s="2717"/>
      <c r="M2" s="2717"/>
      <c r="N2" s="2717"/>
      <c r="O2" s="2717"/>
      <c r="P2" s="2717"/>
      <c r="Q2" s="2717"/>
      <c r="R2" s="2717"/>
      <c r="S2" s="2717"/>
      <c r="T2" s="2352"/>
      <c r="U2" s="2352"/>
      <c r="V2" s="2352"/>
      <c r="W2" s="2352"/>
      <c r="X2" s="2352"/>
      <c r="Y2" s="2352"/>
      <c r="Z2" s="2352"/>
      <c r="AA2" s="2352"/>
      <c r="AB2" s="2352"/>
      <c r="AC2" s="2352"/>
      <c r="AD2" s="2352"/>
    </row>
    <row r="3" spans="1:32" ht="16.5" customHeight="1">
      <c r="A3" s="1839"/>
      <c r="B3" s="2349"/>
      <c r="C3" s="1840"/>
      <c r="D3" s="1840"/>
      <c r="E3" s="1561"/>
      <c r="F3" s="1561"/>
      <c r="G3" s="1561"/>
      <c r="H3" s="1561"/>
      <c r="I3" s="1561"/>
      <c r="J3" s="1845"/>
      <c r="K3" s="1975">
        <v>2017</v>
      </c>
      <c r="L3" s="1842"/>
      <c r="M3" s="1842"/>
      <c r="O3" s="1842"/>
      <c r="P3" s="1842"/>
      <c r="Q3" s="1842"/>
      <c r="R3" s="1842"/>
      <c r="S3" s="1842"/>
      <c r="T3" s="1852"/>
      <c r="U3" s="1842"/>
      <c r="V3" s="1842"/>
      <c r="W3" s="1842"/>
      <c r="X3" s="1842"/>
      <c r="Y3" s="1842"/>
      <c r="Z3" s="1841"/>
      <c r="AA3" s="1842"/>
      <c r="AB3" s="1842"/>
    </row>
    <row r="4" spans="1:32" ht="16.5" customHeight="1" thickBot="1">
      <c r="C4" s="1847"/>
      <c r="D4" s="1847"/>
      <c r="T4" s="1852"/>
      <c r="U4" s="1842"/>
      <c r="V4" s="1842"/>
      <c r="W4" s="1842"/>
      <c r="X4" s="1842"/>
      <c r="Y4" s="1842"/>
      <c r="Z4" s="1839"/>
    </row>
    <row r="5" spans="1:32" ht="16.5" customHeight="1" thickBot="1">
      <c r="B5" s="1850"/>
      <c r="C5" s="1851"/>
      <c r="D5" s="1851"/>
      <c r="E5" s="2718" t="s">
        <v>811</v>
      </c>
      <c r="F5" s="2719"/>
      <c r="G5" s="2719"/>
      <c r="H5" s="2719"/>
      <c r="I5" s="2719"/>
      <c r="J5" s="2719"/>
      <c r="K5" s="2719"/>
      <c r="L5" s="2719"/>
      <c r="M5" s="2719"/>
      <c r="N5" s="2719"/>
      <c r="O5" s="2719"/>
      <c r="P5" s="2719"/>
      <c r="Q5" s="2719"/>
      <c r="R5" s="2719"/>
      <c r="S5" s="2719"/>
      <c r="T5" s="2720"/>
      <c r="U5" s="2720"/>
      <c r="V5" s="1842"/>
      <c r="W5" s="1842"/>
      <c r="X5" s="1842"/>
      <c r="Y5" s="1842"/>
      <c r="AA5" s="1853"/>
      <c r="AB5" s="1852"/>
      <c r="AC5" s="1852"/>
    </row>
    <row r="6" spans="1:32" ht="16.5" customHeight="1" thickBot="1">
      <c r="B6" s="1854" t="s">
        <v>328</v>
      </c>
      <c r="C6" s="1851"/>
      <c r="D6" s="1851"/>
      <c r="E6" s="2348"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57" t="s">
        <v>1653</v>
      </c>
      <c r="T6" s="1857" t="s">
        <v>1868</v>
      </c>
      <c r="U6" s="1861" t="s">
        <v>1869</v>
      </c>
      <c r="V6" s="1858" t="s">
        <v>397</v>
      </c>
      <c r="W6" s="1852"/>
      <c r="X6" s="1842"/>
      <c r="Y6" s="1842"/>
      <c r="Z6" s="1842"/>
      <c r="AA6" s="1842"/>
      <c r="AB6" s="1842"/>
      <c r="AC6" s="1852"/>
      <c r="AD6" s="1853"/>
      <c r="AE6" s="1852"/>
      <c r="AF6" s="1852"/>
    </row>
    <row r="7" spans="1:32" ht="47.25" customHeight="1">
      <c r="B7" s="1862" t="s">
        <v>749</v>
      </c>
      <c r="C7" s="1862"/>
      <c r="D7" s="1953"/>
      <c r="E7" s="1863" t="str">
        <f>'Att 9b - 2017 True-up'!E7</f>
        <v>PacifiCorp</v>
      </c>
      <c r="F7" s="1864" t="s">
        <v>792</v>
      </c>
      <c r="G7" s="1865" t="s">
        <v>791</v>
      </c>
      <c r="H7" s="1865" t="s">
        <v>1855</v>
      </c>
      <c r="I7" s="1865" t="s">
        <v>790</v>
      </c>
      <c r="J7" s="1865" t="s">
        <v>789</v>
      </c>
      <c r="K7" s="1865" t="s">
        <v>2111</v>
      </c>
      <c r="L7" s="1865" t="s">
        <v>788</v>
      </c>
      <c r="M7" s="1865" t="s">
        <v>2107</v>
      </c>
      <c r="N7" s="1865" t="s">
        <v>787</v>
      </c>
      <c r="O7" s="1865" t="s">
        <v>786</v>
      </c>
      <c r="P7" s="1865" t="s">
        <v>785</v>
      </c>
      <c r="Q7" s="1865" t="s">
        <v>784</v>
      </c>
      <c r="R7" s="1865" t="s">
        <v>2110</v>
      </c>
      <c r="S7" s="1865" t="s">
        <v>1870</v>
      </c>
      <c r="T7" s="1865" t="s">
        <v>2000</v>
      </c>
      <c r="U7" s="2359" t="s">
        <v>1872</v>
      </c>
      <c r="V7" s="1866"/>
      <c r="W7" s="1852"/>
      <c r="X7" s="1842"/>
      <c r="Y7" s="1842"/>
      <c r="Z7" s="1842"/>
      <c r="AA7" s="1842"/>
      <c r="AB7" s="1842"/>
      <c r="AC7" s="1852"/>
      <c r="AD7" s="1853"/>
      <c r="AE7" s="1852"/>
      <c r="AF7" s="1852"/>
    </row>
    <row r="8" spans="1:32" ht="15.75" customHeight="1">
      <c r="B8" s="1869" t="s">
        <v>468</v>
      </c>
      <c r="C8" s="1869"/>
      <c r="D8" s="1955"/>
      <c r="E8" s="1870" t="str">
        <f>'Att 9b - 2017 True-up'!E8</f>
        <v>NFS</v>
      </c>
      <c r="F8" s="1871" t="s">
        <v>779</v>
      </c>
      <c r="G8" s="1867" t="s">
        <v>779</v>
      </c>
      <c r="H8" s="1867" t="s">
        <v>779</v>
      </c>
      <c r="I8" s="1867" t="s">
        <v>779</v>
      </c>
      <c r="J8" s="1867" t="s">
        <v>779</v>
      </c>
      <c r="K8" s="1867" t="s">
        <v>779</v>
      </c>
      <c r="L8" s="1867" t="s">
        <v>779</v>
      </c>
      <c r="M8" s="1867" t="s">
        <v>779</v>
      </c>
      <c r="N8" s="1867" t="s">
        <v>779</v>
      </c>
      <c r="O8" s="1867" t="s">
        <v>779</v>
      </c>
      <c r="P8" s="1867" t="s">
        <v>779</v>
      </c>
      <c r="Q8" s="1867" t="s">
        <v>779</v>
      </c>
      <c r="R8" s="1867" t="s">
        <v>779</v>
      </c>
      <c r="S8" s="1867" t="s">
        <v>779</v>
      </c>
      <c r="T8" s="1867" t="s">
        <v>779</v>
      </c>
      <c r="U8" s="2360" t="s">
        <v>779</v>
      </c>
      <c r="V8" s="1872" t="s">
        <v>778</v>
      </c>
      <c r="W8" s="1852"/>
      <c r="Z8" s="1843"/>
      <c r="AC8" s="1852"/>
      <c r="AD8" s="1852"/>
    </row>
    <row r="9" spans="1:32" ht="16.5" customHeight="1" thickBot="1">
      <c r="B9" s="1873" t="s">
        <v>741</v>
      </c>
      <c r="C9" s="1958" t="s">
        <v>813</v>
      </c>
      <c r="D9" s="1958" t="s">
        <v>812</v>
      </c>
      <c r="E9" s="1875" t="str">
        <f>'Att 9b - 2017 True-up'!E9</f>
        <v>-</v>
      </c>
      <c r="F9" s="1876" t="s">
        <v>774</v>
      </c>
      <c r="G9" s="1877" t="s">
        <v>773</v>
      </c>
      <c r="H9" s="1877" t="s">
        <v>2109</v>
      </c>
      <c r="I9" s="1877" t="s">
        <v>772</v>
      </c>
      <c r="J9" s="1877" t="s">
        <v>771</v>
      </c>
      <c r="K9" s="1877" t="s">
        <v>2112</v>
      </c>
      <c r="L9" s="1877" t="s">
        <v>770</v>
      </c>
      <c r="M9" s="1877" t="s">
        <v>769</v>
      </c>
      <c r="N9" s="1877" t="s">
        <v>768</v>
      </c>
      <c r="O9" s="1877" t="s">
        <v>767</v>
      </c>
      <c r="P9" s="1877" t="s">
        <v>766</v>
      </c>
      <c r="Q9" s="1877" t="s">
        <v>765</v>
      </c>
      <c r="R9" s="1877" t="s">
        <v>1568</v>
      </c>
      <c r="S9" s="1877" t="s">
        <v>1857</v>
      </c>
      <c r="T9" s="1877" t="s">
        <v>1873</v>
      </c>
      <c r="U9" s="2361" t="s">
        <v>1874</v>
      </c>
      <c r="V9" s="1878"/>
      <c r="W9" s="1852"/>
      <c r="Z9" s="1843"/>
      <c r="AC9" s="1852"/>
      <c r="AD9" s="1852"/>
    </row>
    <row r="10" spans="1:32">
      <c r="B10" s="1854" t="s">
        <v>147</v>
      </c>
      <c r="C10" s="1960">
        <f>'Att 9b - 2017 True-up'!C10</f>
        <v>6</v>
      </c>
      <c r="D10" s="1960">
        <f>'Att 9b - 2017 True-up'!D10</f>
        <v>8</v>
      </c>
      <c r="E10" s="1887">
        <f>'Att 9b - 2017 True-up'!E10</f>
        <v>9215.6470000000008</v>
      </c>
      <c r="F10" s="2575">
        <f>'Att 9b - 2017 True-up'!F10</f>
        <v>17.64</v>
      </c>
      <c r="G10" s="2576">
        <f>'Att 9b - 2017 True-up'!G10</f>
        <v>3.387</v>
      </c>
      <c r="H10" s="2576">
        <f>'Att 9b - 2017 True-up'!H10</f>
        <v>38.701000000000001</v>
      </c>
      <c r="I10" s="2576">
        <f>'Att 9b - 2017 True-up'!I10</f>
        <v>1.601</v>
      </c>
      <c r="J10" s="2576">
        <f>'Att 9b - 2017 True-up'!J10</f>
        <v>0.40699999999999997</v>
      </c>
      <c r="K10" s="2576">
        <f>'Att 9b - 2017 True-up'!K10</f>
        <v>0</v>
      </c>
      <c r="L10" s="2576">
        <f>'Att 9b - 2017 True-up'!L10</f>
        <v>20.04</v>
      </c>
      <c r="M10" s="2576">
        <f>'Att 9b - 2017 True-up'!M10</f>
        <v>18.983000000000001</v>
      </c>
      <c r="N10" s="2576">
        <f>'Att 9b - 2017 True-up'!N10</f>
        <v>11.504</v>
      </c>
      <c r="O10" s="2576">
        <f>'Att 9b - 2017 True-up'!O10</f>
        <v>52.52</v>
      </c>
      <c r="P10" s="2576">
        <f>'Att 9b - 2017 True-up'!P10</f>
        <v>0</v>
      </c>
      <c r="Q10" s="2576">
        <f>'Att 9b - 2017 True-up'!Q10</f>
        <v>8.0000000000000002E-3</v>
      </c>
      <c r="R10" s="2576">
        <f>'Att 9b - 2017 True-up'!R10</f>
        <v>21.524000000000001</v>
      </c>
      <c r="S10" s="2576">
        <f>'Att 9b - 2017 True-up'!S10</f>
        <v>0</v>
      </c>
      <c r="T10" s="2576">
        <f>'Att 9b - 2017 True-up'!T10</f>
        <v>346.685</v>
      </c>
      <c r="U10" s="2577">
        <f>'Att 9b - 2017 True-up'!U10</f>
        <v>107</v>
      </c>
      <c r="V10" s="1884">
        <f t="shared" ref="V10:V22" si="0">SUM(F10:U10)</f>
        <v>640</v>
      </c>
      <c r="W10" s="1852"/>
      <c r="Z10" s="1843"/>
      <c r="AC10" s="1852"/>
      <c r="AD10" s="1886"/>
    </row>
    <row r="11" spans="1:32">
      <c r="B11" s="1854" t="s">
        <v>148</v>
      </c>
      <c r="C11" s="1960">
        <f>'Att 9b - 2017 True-up'!C11</f>
        <v>1</v>
      </c>
      <c r="D11" s="1960">
        <f>'Att 9b - 2017 True-up'!D11</f>
        <v>19</v>
      </c>
      <c r="E11" s="1887">
        <f>'Att 9b - 2017 True-up'!E11</f>
        <v>8142.7520000000004</v>
      </c>
      <c r="F11" s="1882">
        <f>'Att 9b - 2017 True-up'!F11</f>
        <v>13.333</v>
      </c>
      <c r="G11" s="1883">
        <f>'Att 9b - 2017 True-up'!G11</f>
        <v>3.1920000000000002</v>
      </c>
      <c r="H11" s="1883">
        <f>'Att 9b - 2017 True-up'!H11</f>
        <v>28.805</v>
      </c>
      <c r="I11" s="1883">
        <f>'Att 9b - 2017 True-up'!I11</f>
        <v>1.258</v>
      </c>
      <c r="J11" s="1883">
        <f>'Att 9b - 2017 True-up'!J11</f>
        <v>0.41599999999999998</v>
      </c>
      <c r="K11" s="1883">
        <f>'Att 9b - 2017 True-up'!K11</f>
        <v>0</v>
      </c>
      <c r="L11" s="1883">
        <f>'Att 9b - 2017 True-up'!L11</f>
        <v>17.047999999999998</v>
      </c>
      <c r="M11" s="1883">
        <f>'Att 9b - 2017 True-up'!M11</f>
        <v>18.023</v>
      </c>
      <c r="N11" s="1883">
        <f>'Att 9b - 2017 True-up'!N11</f>
        <v>11.084</v>
      </c>
      <c r="O11" s="1883">
        <f>'Att 9b - 2017 True-up'!O11</f>
        <v>49.55</v>
      </c>
      <c r="P11" s="1883">
        <f>'Att 9b - 2017 True-up'!P11</f>
        <v>0</v>
      </c>
      <c r="Q11" s="1883">
        <f>'Att 9b - 2017 True-up'!Q11</f>
        <v>6.0000000000000001E-3</v>
      </c>
      <c r="R11" s="1883">
        <f>'Att 9b - 2017 True-up'!R11</f>
        <v>22.643999999999998</v>
      </c>
      <c r="S11" s="1883">
        <f>'Att 9b - 2017 True-up'!S11</f>
        <v>0</v>
      </c>
      <c r="T11" s="1883">
        <f>'Att 9b - 2017 True-up'!T11</f>
        <v>239.07400000000001</v>
      </c>
      <c r="U11" s="2578">
        <f>'Att 9b - 2017 True-up'!U11</f>
        <v>92</v>
      </c>
      <c r="V11" s="1884">
        <f t="shared" si="0"/>
        <v>496.43299999999999</v>
      </c>
      <c r="W11" s="1852"/>
      <c r="Z11" s="1843"/>
      <c r="AC11" s="1852"/>
      <c r="AD11" s="1886"/>
    </row>
    <row r="12" spans="1:32">
      <c r="B12" s="1854" t="s">
        <v>352</v>
      </c>
      <c r="C12" s="1960">
        <f>'Att 9b - 2017 True-up'!C12</f>
        <v>1</v>
      </c>
      <c r="D12" s="1960">
        <f>'Att 9b - 2017 True-up'!D12</f>
        <v>8</v>
      </c>
      <c r="E12" s="1887">
        <f>'Att 9b - 2017 True-up'!E12</f>
        <v>7714.2280000000001</v>
      </c>
      <c r="F12" s="1882">
        <f>'Att 9b - 2017 True-up'!F12</f>
        <v>10.561999999999999</v>
      </c>
      <c r="G12" s="1883">
        <f>'Att 9b - 2017 True-up'!G12</f>
        <v>3.2869999999999999</v>
      </c>
      <c r="H12" s="1883">
        <f>'Att 9b - 2017 True-up'!H12</f>
        <v>22.995999999999999</v>
      </c>
      <c r="I12" s="1883">
        <f>'Att 9b - 2017 True-up'!I12</f>
        <v>1.1950000000000001</v>
      </c>
      <c r="J12" s="1883">
        <f>'Att 9b - 2017 True-up'!J12</f>
        <v>0</v>
      </c>
      <c r="K12" s="1883">
        <f>'Att 9b - 2017 True-up'!K12</f>
        <v>0</v>
      </c>
      <c r="L12" s="1883">
        <f>'Att 9b - 2017 True-up'!L12</f>
        <v>19.018999999999998</v>
      </c>
      <c r="M12" s="1883">
        <f>'Att 9b - 2017 True-up'!M12</f>
        <v>14.356999999999999</v>
      </c>
      <c r="N12" s="1883">
        <f>'Att 9b - 2017 True-up'!N12</f>
        <v>9.625</v>
      </c>
      <c r="O12" s="1883">
        <f>'Att 9b - 2017 True-up'!O12</f>
        <v>42.85</v>
      </c>
      <c r="P12" s="1883">
        <f>'Att 9b - 2017 True-up'!P12</f>
        <v>0</v>
      </c>
      <c r="Q12" s="1883">
        <f>'Att 9b - 2017 True-up'!Q12</f>
        <v>0</v>
      </c>
      <c r="R12" s="1883">
        <f>'Att 9b - 2017 True-up'!R12</f>
        <v>24.721</v>
      </c>
      <c r="S12" s="1883">
        <f>'Att 9b - 2017 True-up'!S12</f>
        <v>0</v>
      </c>
      <c r="T12" s="1883">
        <f>'Att 9b - 2017 True-up'!T12</f>
        <v>247.49600000000001</v>
      </c>
      <c r="U12" s="2578">
        <f>'Att 9b - 2017 True-up'!U12</f>
        <v>78</v>
      </c>
      <c r="V12" s="1884">
        <f t="shared" si="0"/>
        <v>474.108</v>
      </c>
      <c r="W12" s="1852"/>
      <c r="Z12" s="1843"/>
      <c r="AC12" s="1852"/>
      <c r="AD12" s="1886"/>
    </row>
    <row r="13" spans="1:32">
      <c r="B13" s="1854" t="s">
        <v>143</v>
      </c>
      <c r="C13" s="1960">
        <f>'Att 9b - 2017 True-up'!C13</f>
        <v>3</v>
      </c>
      <c r="D13" s="1960">
        <f>'Att 9b - 2017 True-up'!D13</f>
        <v>8</v>
      </c>
      <c r="E13" s="1887">
        <f>'Att 9b - 2017 True-up'!E13</f>
        <v>7155.9219999999996</v>
      </c>
      <c r="F13" s="1882">
        <f>'Att 9b - 2017 True-up'!F13</f>
        <v>8.5090000000000003</v>
      </c>
      <c r="G13" s="1883">
        <f>'Att 9b - 2017 True-up'!G13</f>
        <v>3.2789999999999999</v>
      </c>
      <c r="H13" s="1883">
        <f>'Att 9b - 2017 True-up'!H13</f>
        <v>25.454000000000001</v>
      </c>
      <c r="I13" s="1883">
        <f>'Att 9b - 2017 True-up'!I13</f>
        <v>1.081</v>
      </c>
      <c r="J13" s="1883">
        <f>'Att 9b - 2017 True-up'!J13</f>
        <v>0</v>
      </c>
      <c r="K13" s="1883">
        <f>'Att 9b - 2017 True-up'!K13</f>
        <v>0</v>
      </c>
      <c r="L13" s="1883">
        <f>'Att 9b - 2017 True-up'!L13</f>
        <v>15.226000000000001</v>
      </c>
      <c r="M13" s="1883">
        <f>'Att 9b - 2017 True-up'!M13</f>
        <v>16.850000000000001</v>
      </c>
      <c r="N13" s="1883">
        <f>'Att 9b - 2017 True-up'!N13</f>
        <v>8.5370000000000008</v>
      </c>
      <c r="O13" s="1883">
        <f>'Att 9b - 2017 True-up'!O13</f>
        <v>38.06</v>
      </c>
      <c r="P13" s="1883">
        <f>'Att 9b - 2017 True-up'!P13</f>
        <v>0.28199999999999997</v>
      </c>
      <c r="Q13" s="1883">
        <f>'Att 9b - 2017 True-up'!Q13</f>
        <v>0</v>
      </c>
      <c r="R13" s="1883">
        <f>'Att 9b - 2017 True-up'!R13</f>
        <v>25.08</v>
      </c>
      <c r="S13" s="1883">
        <f>'Att 9b - 2017 True-up'!S13</f>
        <v>1.7050000000000001</v>
      </c>
      <c r="T13" s="1883">
        <f>'Att 9b - 2017 True-up'!T13</f>
        <v>178.97399999999999</v>
      </c>
      <c r="U13" s="2578">
        <f>'Att 9b - 2017 True-up'!U13</f>
        <v>34</v>
      </c>
      <c r="V13" s="1884">
        <f t="shared" si="0"/>
        <v>357.03700000000003</v>
      </c>
      <c r="W13" s="1852"/>
      <c r="Z13" s="1843"/>
      <c r="AC13" s="1852"/>
      <c r="AD13" s="1886"/>
    </row>
    <row r="14" spans="1:32">
      <c r="A14" s="1880"/>
      <c r="B14" s="1854" t="s">
        <v>144</v>
      </c>
      <c r="C14" s="1960">
        <f>'Att 9b - 2017 True-up'!C14</f>
        <v>30</v>
      </c>
      <c r="D14" s="1960">
        <f>'Att 9b - 2017 True-up'!D14</f>
        <v>17</v>
      </c>
      <c r="E14" s="1887">
        <f>'Att 9b - 2017 True-up'!E14</f>
        <v>8095.9179999999997</v>
      </c>
      <c r="F14" s="1882">
        <f>'Att 9b - 2017 True-up'!F14</f>
        <v>6.327</v>
      </c>
      <c r="G14" s="1883">
        <f>'Att 9b - 2017 True-up'!G14</f>
        <v>2.6480000000000001</v>
      </c>
      <c r="H14" s="1883">
        <f>'Att 9b - 2017 True-up'!H14</f>
        <v>11.532999999999999</v>
      </c>
      <c r="I14" s="1883">
        <f>'Att 9b - 2017 True-up'!I14</f>
        <v>0.32600000000000001</v>
      </c>
      <c r="J14" s="1883">
        <f>'Att 9b - 2017 True-up'!J14</f>
        <v>0</v>
      </c>
      <c r="K14" s="1883">
        <f>'Att 9b - 2017 True-up'!K14</f>
        <v>0</v>
      </c>
      <c r="L14" s="1883">
        <f>'Att 9b - 2017 True-up'!L14</f>
        <v>25.74</v>
      </c>
      <c r="M14" s="1883">
        <f>'Att 9b - 2017 True-up'!M14</f>
        <v>19.491</v>
      </c>
      <c r="N14" s="1883">
        <f>'Att 9b - 2017 True-up'!N14</f>
        <v>8.0440000000000005</v>
      </c>
      <c r="O14" s="1883">
        <f>'Att 9b - 2017 True-up'!O14</f>
        <v>35.229999999999997</v>
      </c>
      <c r="P14" s="1883">
        <f>'Att 9b - 2017 True-up'!P14</f>
        <v>0.55300000000000005</v>
      </c>
      <c r="Q14" s="1883">
        <f>'Att 9b - 2017 True-up'!Q14</f>
        <v>2.4950000000000001</v>
      </c>
      <c r="R14" s="1883">
        <f>'Att 9b - 2017 True-up'!R14</f>
        <v>26.6</v>
      </c>
      <c r="S14" s="1883">
        <f>'Att 9b - 2017 True-up'!S14</f>
        <v>2.403</v>
      </c>
      <c r="T14" s="1883">
        <f>'Att 9b - 2017 True-up'!T14</f>
        <v>123.224</v>
      </c>
      <c r="U14" s="2578">
        <f>'Att 9b - 2017 True-up'!U14</f>
        <v>57</v>
      </c>
      <c r="V14" s="1884">
        <f t="shared" si="0"/>
        <v>321.61399999999998</v>
      </c>
      <c r="W14" s="1852"/>
      <c r="Z14" s="1843"/>
      <c r="AC14" s="1852"/>
      <c r="AD14" s="1886"/>
    </row>
    <row r="15" spans="1:32">
      <c r="B15" s="1854" t="s">
        <v>151</v>
      </c>
      <c r="C15" s="1960">
        <f>'Att 9b - 2017 True-up'!C15</f>
        <v>26</v>
      </c>
      <c r="D15" s="1960">
        <f>'Att 9b - 2017 True-up'!D15</f>
        <v>17</v>
      </c>
      <c r="E15" s="1887">
        <f>'Att 9b - 2017 True-up'!E15</f>
        <v>9686.7669999999998</v>
      </c>
      <c r="F15" s="1882">
        <f>'Att 9b - 2017 True-up'!F15</f>
        <v>6.5910000000000002</v>
      </c>
      <c r="G15" s="1883">
        <f>'Att 9b - 2017 True-up'!G15</f>
        <v>3.4510000000000001</v>
      </c>
      <c r="H15" s="1883">
        <f>'Att 9b - 2017 True-up'!H15</f>
        <v>12.53</v>
      </c>
      <c r="I15" s="1883">
        <f>'Att 9b - 2017 True-up'!I15</f>
        <v>0.34499999999999997</v>
      </c>
      <c r="J15" s="1883">
        <f>'Att 9b - 2017 True-up'!J15</f>
        <v>0</v>
      </c>
      <c r="K15" s="1883">
        <f>'Att 9b - 2017 True-up'!K15</f>
        <v>0</v>
      </c>
      <c r="L15" s="1883">
        <f>'Att 9b - 2017 True-up'!L15</f>
        <v>24.09</v>
      </c>
      <c r="M15" s="1883">
        <f>'Att 9b - 2017 True-up'!M15</f>
        <v>22.186</v>
      </c>
      <c r="N15" s="1883">
        <f>'Att 9b - 2017 True-up'!N15</f>
        <v>9.4990000000000006</v>
      </c>
      <c r="O15" s="1883">
        <f>'Att 9b - 2017 True-up'!O15</f>
        <v>45.98</v>
      </c>
      <c r="P15" s="1883">
        <f>'Att 9b - 2017 True-up'!P15</f>
        <v>0.53900000000000003</v>
      </c>
      <c r="Q15" s="1883">
        <f>'Att 9b - 2017 True-up'!Q15</f>
        <v>3.335</v>
      </c>
      <c r="R15" s="1883">
        <f>'Att 9b - 2017 True-up'!R15</f>
        <v>27.423999999999999</v>
      </c>
      <c r="S15" s="1883">
        <f>'Att 9b - 2017 True-up'!S15</f>
        <v>0.13800000000000001</v>
      </c>
      <c r="T15" s="1883">
        <f>'Att 9b - 2017 True-up'!T15</f>
        <v>163.779</v>
      </c>
      <c r="U15" s="2578">
        <f>'Att 9b - 2017 True-up'!U15</f>
        <v>70</v>
      </c>
      <c r="V15" s="1884">
        <f t="shared" si="0"/>
        <v>389.887</v>
      </c>
      <c r="W15" s="1852"/>
      <c r="Z15" s="1843"/>
      <c r="AC15" s="1852"/>
      <c r="AD15" s="1886"/>
    </row>
    <row r="16" spans="1:32">
      <c r="B16" s="1854" t="s">
        <v>740</v>
      </c>
      <c r="C16" s="1960">
        <f>'Att 9b - 2017 True-up'!C16</f>
        <v>6</v>
      </c>
      <c r="D16" s="1960">
        <f>'Att 9b - 2017 True-up'!D16</f>
        <v>17</v>
      </c>
      <c r="E16" s="1887">
        <f>'Att 9b - 2017 True-up'!E16</f>
        <v>10210.223</v>
      </c>
      <c r="F16" s="1882">
        <f>'Att 9b - 2017 True-up'!F16</f>
        <v>6.5359999999999996</v>
      </c>
      <c r="G16" s="1883">
        <f>'Att 9b - 2017 True-up'!G16</f>
        <v>3.5939999999999999</v>
      </c>
      <c r="H16" s="1883">
        <f>'Att 9b - 2017 True-up'!H16</f>
        <v>13.946</v>
      </c>
      <c r="I16" s="1883">
        <f>'Att 9b - 2017 True-up'!I16</f>
        <v>0.38100000000000001</v>
      </c>
      <c r="J16" s="1883">
        <f>'Att 9b - 2017 True-up'!J16</f>
        <v>2.5999999999999999E-2</v>
      </c>
      <c r="K16" s="1883">
        <f>'Att 9b - 2017 True-up'!K16</f>
        <v>0</v>
      </c>
      <c r="L16" s="1883">
        <f>'Att 9b - 2017 True-up'!L16</f>
        <v>16.149000000000001</v>
      </c>
      <c r="M16" s="1883">
        <f>'Att 9b - 2017 True-up'!M16</f>
        <v>22.367999999999999</v>
      </c>
      <c r="N16" s="1883">
        <f>'Att 9b - 2017 True-up'!N16</f>
        <v>11.036</v>
      </c>
      <c r="O16" s="1883">
        <f>'Att 9b - 2017 True-up'!O16</f>
        <v>51.49</v>
      </c>
      <c r="P16" s="1883">
        <f>'Att 9b - 2017 True-up'!P16</f>
        <v>0.624</v>
      </c>
      <c r="Q16" s="1883">
        <f>'Att 9b - 2017 True-up'!Q16</f>
        <v>2.8889999999999998</v>
      </c>
      <c r="R16" s="1883">
        <f>'Att 9b - 2017 True-up'!R16</f>
        <v>28.28</v>
      </c>
      <c r="S16" s="1883">
        <f>'Att 9b - 2017 True-up'!S16</f>
        <v>0.151</v>
      </c>
      <c r="T16" s="1883">
        <f>'Att 9b - 2017 True-up'!T16</f>
        <v>177.96</v>
      </c>
      <c r="U16" s="2578">
        <f>'Att 9b - 2017 True-up'!U16</f>
        <v>87</v>
      </c>
      <c r="V16" s="1884">
        <f t="shared" si="0"/>
        <v>422.43000000000006</v>
      </c>
      <c r="W16" s="1852"/>
      <c r="Z16" s="1843"/>
      <c r="AC16" s="1852"/>
      <c r="AD16" s="1886"/>
    </row>
    <row r="17" spans="1:33">
      <c r="B17" s="1854" t="s">
        <v>153</v>
      </c>
      <c r="C17" s="1960">
        <f>'Att 9b - 2017 True-up'!C17</f>
        <v>1</v>
      </c>
      <c r="D17" s="1960">
        <f>'Att 9b - 2017 True-up'!D17</f>
        <v>17</v>
      </c>
      <c r="E17" s="1887">
        <f>'Att 9b - 2017 True-up'!E17</f>
        <v>10334.302</v>
      </c>
      <c r="F17" s="1882">
        <f>'Att 9b - 2017 True-up'!F17</f>
        <v>7.3419999999999996</v>
      </c>
      <c r="G17" s="1883">
        <f>'Att 9b - 2017 True-up'!G17</f>
        <v>3.5950000000000002</v>
      </c>
      <c r="H17" s="1883">
        <f>'Att 9b - 2017 True-up'!H17</f>
        <v>16.86</v>
      </c>
      <c r="I17" s="1883">
        <f>'Att 9b - 2017 True-up'!I17</f>
        <v>0.38500000000000001</v>
      </c>
      <c r="J17" s="1883">
        <f>'Att 9b - 2017 True-up'!J17</f>
        <v>0</v>
      </c>
      <c r="K17" s="1883">
        <f>'Att 9b - 2017 True-up'!K17</f>
        <v>0</v>
      </c>
      <c r="L17" s="1883">
        <f>'Att 9b - 2017 True-up'!L17</f>
        <v>15.379</v>
      </c>
      <c r="M17" s="1883">
        <f>'Att 9b - 2017 True-up'!M17</f>
        <v>29.838000000000001</v>
      </c>
      <c r="N17" s="1883">
        <f>'Att 9b - 2017 True-up'!N17</f>
        <v>4.5869999999999997</v>
      </c>
      <c r="O17" s="1883">
        <f>'Att 9b - 2017 True-up'!O17</f>
        <v>53.33</v>
      </c>
      <c r="P17" s="1883">
        <f>'Att 9b - 2017 True-up'!P17</f>
        <v>0.62</v>
      </c>
      <c r="Q17" s="1883">
        <f>'Att 9b - 2017 True-up'!Q17</f>
        <v>2.9980000000000002</v>
      </c>
      <c r="R17" s="1883">
        <f>'Att 9b - 2017 True-up'!R17</f>
        <v>28.460999999999999</v>
      </c>
      <c r="S17" s="1883">
        <f>'Att 9b - 2017 True-up'!S17</f>
        <v>0.16</v>
      </c>
      <c r="T17" s="1883">
        <f>'Att 9b - 2017 True-up'!T17</f>
        <v>157.28800000000001</v>
      </c>
      <c r="U17" s="2578">
        <f>'Att 9b - 2017 True-up'!U17</f>
        <v>85</v>
      </c>
      <c r="V17" s="1884">
        <f t="shared" si="0"/>
        <v>405.84299999999996</v>
      </c>
      <c r="W17" s="1852"/>
      <c r="Z17" s="1843"/>
      <c r="AC17" s="1852"/>
      <c r="AD17" s="1886"/>
    </row>
    <row r="18" spans="1:33">
      <c r="B18" s="1854" t="s">
        <v>739</v>
      </c>
      <c r="C18" s="1960">
        <f>'Att 9b - 2017 True-up'!C18</f>
        <v>5</v>
      </c>
      <c r="D18" s="1960">
        <f>'Att 9b - 2017 True-up'!D18</f>
        <v>17</v>
      </c>
      <c r="E18" s="1887">
        <f>'Att 9b - 2017 True-up'!E18</f>
        <v>9453.7139999999999</v>
      </c>
      <c r="F18" s="1882">
        <f>'Att 9b - 2017 True-up'!F18</f>
        <v>5.702</v>
      </c>
      <c r="G18" s="1883">
        <f>'Att 9b - 2017 True-up'!G18</f>
        <v>3.121</v>
      </c>
      <c r="H18" s="1883">
        <f>'Att 9b - 2017 True-up'!H18</f>
        <v>15.417</v>
      </c>
      <c r="I18" s="1883">
        <f>'Att 9b - 2017 True-up'!I18</f>
        <v>0.29099999999999998</v>
      </c>
      <c r="J18" s="1883">
        <f>'Att 9b - 2017 True-up'!J18</f>
        <v>0</v>
      </c>
      <c r="K18" s="1883">
        <f>'Att 9b - 2017 True-up'!K18</f>
        <v>0</v>
      </c>
      <c r="L18" s="1883">
        <f>'Att 9b - 2017 True-up'!L18</f>
        <v>13.59</v>
      </c>
      <c r="M18" s="1883">
        <f>'Att 9b - 2017 True-up'!M18</f>
        <v>25.641999999999999</v>
      </c>
      <c r="N18" s="1883">
        <f>'Att 9b - 2017 True-up'!N18</f>
        <v>8.9789999999999992</v>
      </c>
      <c r="O18" s="1883">
        <f>'Att 9b - 2017 True-up'!O18</f>
        <v>35.01</v>
      </c>
      <c r="P18" s="1883">
        <f>'Att 9b - 2017 True-up'!P18</f>
        <v>0.53900000000000003</v>
      </c>
      <c r="Q18" s="1883">
        <f>'Att 9b - 2017 True-up'!Q18</f>
        <v>2.64</v>
      </c>
      <c r="R18" s="1883">
        <f>'Att 9b - 2017 True-up'!R18</f>
        <v>28.442</v>
      </c>
      <c r="S18" s="1883">
        <f>'Att 9b - 2017 True-up'!S18</f>
        <v>0.13600000000000001</v>
      </c>
      <c r="T18" s="1883">
        <f>'Att 9b - 2017 True-up'!T18</f>
        <v>131.34</v>
      </c>
      <c r="U18" s="2578">
        <f>'Att 9b - 2017 True-up'!U18</f>
        <v>76</v>
      </c>
      <c r="V18" s="1884">
        <f t="shared" si="0"/>
        <v>346.84900000000005</v>
      </c>
      <c r="W18" s="1852"/>
      <c r="Z18" s="1843"/>
      <c r="AC18" s="1852"/>
      <c r="AD18" s="1886"/>
    </row>
    <row r="19" spans="1:33">
      <c r="B19" s="1854" t="s">
        <v>155</v>
      </c>
      <c r="C19" s="1960">
        <f>'Att 9b - 2017 True-up'!C19</f>
        <v>31</v>
      </c>
      <c r="D19" s="1960">
        <f>'Att 9b - 2017 True-up'!D19</f>
        <v>8</v>
      </c>
      <c r="E19" s="1887">
        <f>'Att 9b - 2017 True-up'!E19</f>
        <v>7292.7290000000003</v>
      </c>
      <c r="F19" s="1882">
        <f>'Att 9b - 2017 True-up'!F19</f>
        <v>6.9749999999999996</v>
      </c>
      <c r="G19" s="1883">
        <f>'Att 9b - 2017 True-up'!G19</f>
        <v>2.8330000000000002</v>
      </c>
      <c r="H19" s="1883">
        <f>'Att 9b - 2017 True-up'!H19</f>
        <v>22.198</v>
      </c>
      <c r="I19" s="1883">
        <f>'Att 9b - 2017 True-up'!I19</f>
        <v>0</v>
      </c>
      <c r="J19" s="1883">
        <f>'Att 9b - 2017 True-up'!J19</f>
        <v>0</v>
      </c>
      <c r="K19" s="1883">
        <f>'Att 9b - 2017 True-up'!K19</f>
        <v>8.9999999999999993E-3</v>
      </c>
      <c r="L19" s="1883">
        <f>'Att 9b - 2017 True-up'!L19</f>
        <v>15.798999999999999</v>
      </c>
      <c r="M19" s="1883">
        <f>'Att 9b - 2017 True-up'!M19</f>
        <v>19.114999999999998</v>
      </c>
      <c r="N19" s="1883">
        <f>'Att 9b - 2017 True-up'!N19</f>
        <v>9.6980000000000004</v>
      </c>
      <c r="O19" s="1883">
        <f>'Att 9b - 2017 True-up'!O19</f>
        <v>40.950000000000003</v>
      </c>
      <c r="P19" s="1883">
        <f>'Att 9b - 2017 True-up'!P19</f>
        <v>5.0000000000000001E-3</v>
      </c>
      <c r="Q19" s="1883">
        <f>'Att 9b - 2017 True-up'!Q19</f>
        <v>4.0000000000000001E-3</v>
      </c>
      <c r="R19" s="1883">
        <f>'Att 9b - 2017 True-up'!R19</f>
        <v>28.609000000000002</v>
      </c>
      <c r="S19" s="1883">
        <f>'Att 9b - 2017 True-up'!S19</f>
        <v>6.8000000000000005E-2</v>
      </c>
      <c r="T19" s="1883">
        <f>'Att 9b - 2017 True-up'!T19</f>
        <v>192.09800000000001</v>
      </c>
      <c r="U19" s="2578">
        <f>'Att 9b - 2017 True-up'!U19</f>
        <v>63</v>
      </c>
      <c r="V19" s="1884">
        <f t="shared" si="0"/>
        <v>401.36100000000005</v>
      </c>
      <c r="W19" s="1852"/>
      <c r="Z19" s="1843"/>
      <c r="AC19" s="1852"/>
      <c r="AD19" s="1886"/>
    </row>
    <row r="20" spans="1:33">
      <c r="B20" s="1854" t="s">
        <v>156</v>
      </c>
      <c r="C20" s="1960">
        <f>'Att 9b - 2017 True-up'!C20</f>
        <v>28</v>
      </c>
      <c r="D20" s="1960">
        <f>'Att 9b - 2017 True-up'!D20</f>
        <v>18</v>
      </c>
      <c r="E20" s="1887">
        <f>'Att 9b - 2017 True-up'!E20</f>
        <v>7623.1080000000002</v>
      </c>
      <c r="F20" s="1882">
        <f>'Att 9b - 2017 True-up'!F20</f>
        <v>5.9589999999999996</v>
      </c>
      <c r="G20" s="1883">
        <f>'Att 9b - 2017 True-up'!G20</f>
        <v>3.33</v>
      </c>
      <c r="H20" s="1883">
        <f>'Att 9b - 2017 True-up'!H20</f>
        <v>22.297999999999998</v>
      </c>
      <c r="I20" s="1883">
        <f>'Att 9b - 2017 True-up'!I20</f>
        <v>0.89</v>
      </c>
      <c r="J20" s="1883">
        <f>'Att 9b - 2017 True-up'!J20</f>
        <v>0</v>
      </c>
      <c r="K20" s="1883">
        <f>'Att 9b - 2017 True-up'!K20</f>
        <v>0.15500000000000003</v>
      </c>
      <c r="L20" s="1883">
        <f>'Att 9b - 2017 True-up'!L20</f>
        <v>12.189</v>
      </c>
      <c r="M20" s="1883">
        <f>'Att 9b - 2017 True-up'!M20</f>
        <v>13.743</v>
      </c>
      <c r="N20" s="1883">
        <f>'Att 9b - 2017 True-up'!N20</f>
        <v>9.173</v>
      </c>
      <c r="O20" s="1883">
        <f>'Att 9b - 2017 True-up'!O20</f>
        <v>40.909999999999997</v>
      </c>
      <c r="P20" s="1883">
        <f>'Att 9b - 2017 True-up'!P20</f>
        <v>5.0000000000000001E-3</v>
      </c>
      <c r="Q20" s="1883">
        <f>'Att 9b - 2017 True-up'!Q20</f>
        <v>0</v>
      </c>
      <c r="R20" s="1883">
        <f>'Att 9b - 2017 True-up'!R20</f>
        <v>28.469000000000001</v>
      </c>
      <c r="S20" s="1883">
        <f>'Att 9b - 2017 True-up'!S20</f>
        <v>9.7000000000000003E-2</v>
      </c>
      <c r="T20" s="1883">
        <f>'Att 9b - 2017 True-up'!T20</f>
        <v>185.46</v>
      </c>
      <c r="U20" s="2578">
        <f>'Att 9b - 2017 True-up'!U20</f>
        <v>82</v>
      </c>
      <c r="V20" s="1884">
        <f t="shared" si="0"/>
        <v>404.678</v>
      </c>
      <c r="W20" s="1852"/>
      <c r="Z20" s="1843"/>
      <c r="AC20" s="1852"/>
      <c r="AD20" s="1886"/>
    </row>
    <row r="21" spans="1:33" ht="16.5" thickBot="1">
      <c r="B21" s="1873" t="s">
        <v>157</v>
      </c>
      <c r="C21" s="1960">
        <f>'Att 9b - 2017 True-up'!C21</f>
        <v>21</v>
      </c>
      <c r="D21" s="1960">
        <f>'Att 9b - 2017 True-up'!D21</f>
        <v>18</v>
      </c>
      <c r="E21" s="1887">
        <f>'Att 9b - 2017 True-up'!E21</f>
        <v>8287.6170000000002</v>
      </c>
      <c r="F21" s="1889">
        <f>'Att 9b - 2017 True-up'!F21</f>
        <v>6.0759999999999996</v>
      </c>
      <c r="G21" s="1890">
        <f>'Att 9b - 2017 True-up'!G21</f>
        <v>3.298</v>
      </c>
      <c r="H21" s="1890">
        <f>'Att 9b - 2017 True-up'!H21</f>
        <v>27.535</v>
      </c>
      <c r="I21" s="1890">
        <f>'Att 9b - 2017 True-up'!I21</f>
        <v>1.165</v>
      </c>
      <c r="J21" s="1890">
        <f>'Att 9b - 2017 True-up'!J21</f>
        <v>0.20799999999999999</v>
      </c>
      <c r="K21" s="1890">
        <f>'Att 9b - 2017 True-up'!K21</f>
        <v>0.15300000000000002</v>
      </c>
      <c r="L21" s="1890">
        <f>'Att 9b - 2017 True-up'!L21</f>
        <v>15.773</v>
      </c>
      <c r="M21" s="1890">
        <f>'Att 9b - 2017 True-up'!M21</f>
        <v>17.395</v>
      </c>
      <c r="N21" s="1890">
        <f>'Att 9b - 2017 True-up'!N21</f>
        <v>10.468</v>
      </c>
      <c r="O21" s="1890">
        <f>'Att 9b - 2017 True-up'!O21</f>
        <v>46.59</v>
      </c>
      <c r="P21" s="1890">
        <f>'Att 9b - 2017 True-up'!P21</f>
        <v>5.0000000000000001E-3</v>
      </c>
      <c r="Q21" s="1890">
        <f>'Att 9b - 2017 True-up'!Q21</f>
        <v>8.0000000000000002E-3</v>
      </c>
      <c r="R21" s="1890">
        <f>'Att 9b - 2017 True-up'!R21</f>
        <v>28.72</v>
      </c>
      <c r="S21" s="1890">
        <f>'Att 9b - 2017 True-up'!S21</f>
        <v>9.6000000000000002E-2</v>
      </c>
      <c r="T21" s="1890">
        <f>'Att 9b - 2017 True-up'!T21</f>
        <v>248.23400000000001</v>
      </c>
      <c r="U21" s="2579">
        <f>'Att 9b - 2017 True-up'!U21</f>
        <v>97</v>
      </c>
      <c r="V21" s="1879">
        <f t="shared" si="0"/>
        <v>502.72400000000005</v>
      </c>
      <c r="W21" s="1852"/>
      <c r="Z21" s="1843"/>
      <c r="AC21" s="1852"/>
      <c r="AD21" s="1886"/>
    </row>
    <row r="22" spans="1:33" ht="16.5" thickBot="1">
      <c r="A22" s="1852"/>
      <c r="B22" s="1893" t="s">
        <v>282</v>
      </c>
      <c r="C22" s="1894"/>
      <c r="D22" s="1895"/>
      <c r="E22" s="1938">
        <f t="shared" ref="E22:U22" si="1">SUM(E10:E21)</f>
        <v>103212.927</v>
      </c>
      <c r="F22" s="1904">
        <f t="shared" si="1"/>
        <v>101.55199999999998</v>
      </c>
      <c r="G22" s="1903">
        <f t="shared" si="1"/>
        <v>39.015000000000001</v>
      </c>
      <c r="H22" s="1903">
        <f t="shared" si="1"/>
        <v>258.27300000000002</v>
      </c>
      <c r="I22" s="1903">
        <f t="shared" si="1"/>
        <v>8.9179999999999993</v>
      </c>
      <c r="J22" s="1903">
        <f t="shared" si="1"/>
        <v>1.0569999999999999</v>
      </c>
      <c r="K22" s="1903"/>
      <c r="L22" s="1903">
        <f t="shared" si="1"/>
        <v>210.042</v>
      </c>
      <c r="M22" s="1903">
        <f t="shared" si="1"/>
        <v>237.99099999999999</v>
      </c>
      <c r="N22" s="1903">
        <f t="shared" si="1"/>
        <v>112.23399999999999</v>
      </c>
      <c r="O22" s="1903">
        <f t="shared" si="1"/>
        <v>532.47</v>
      </c>
      <c r="P22" s="1903">
        <f t="shared" si="1"/>
        <v>3.1720000000000002</v>
      </c>
      <c r="Q22" s="1903">
        <f t="shared" si="1"/>
        <v>14.382999999999997</v>
      </c>
      <c r="R22" s="1903">
        <f t="shared" si="1"/>
        <v>318.97399999999993</v>
      </c>
      <c r="S22" s="1903">
        <f t="shared" si="1"/>
        <v>4.9540000000000006</v>
      </c>
      <c r="T22" s="1903">
        <f t="shared" si="1"/>
        <v>2391.6119999999996</v>
      </c>
      <c r="U22" s="1902">
        <f t="shared" si="1"/>
        <v>928</v>
      </c>
      <c r="V22" s="1879">
        <f t="shared" si="0"/>
        <v>5162.6469999999999</v>
      </c>
      <c r="W22" s="1852"/>
      <c r="Z22" s="1843"/>
      <c r="AC22" s="1852"/>
      <c r="AD22" s="1886"/>
      <c r="AG22" s="1898"/>
    </row>
    <row r="23" spans="1:33">
      <c r="C23" s="1851"/>
      <c r="E23" s="1852"/>
      <c r="F23" s="1852"/>
      <c r="G23" s="1852"/>
      <c r="H23" s="1852"/>
      <c r="I23" s="1852"/>
      <c r="J23" s="1852"/>
      <c r="K23" s="1852"/>
      <c r="L23" s="1852"/>
      <c r="M23" s="1852"/>
      <c r="N23" s="1852"/>
      <c r="O23" s="1852"/>
      <c r="P23" s="1852"/>
      <c r="Q23" s="1852"/>
      <c r="R23" s="1852"/>
      <c r="S23" s="1852"/>
      <c r="T23" s="1852"/>
      <c r="U23" s="1852"/>
      <c r="V23" s="1852"/>
      <c r="W23" s="1852"/>
      <c r="X23" s="1852"/>
      <c r="Y23" s="1852"/>
      <c r="AA23" s="1852"/>
      <c r="AB23" s="1852"/>
      <c r="AC23" s="1898"/>
    </row>
    <row r="24" spans="1:33">
      <c r="C24" s="1851"/>
      <c r="E24" s="1852"/>
      <c r="F24" s="1852"/>
      <c r="G24" s="1852"/>
      <c r="H24" s="1852"/>
      <c r="I24" s="1852"/>
      <c r="J24" s="1852"/>
      <c r="K24" s="1852"/>
      <c r="L24" s="1852"/>
      <c r="M24" s="1852"/>
      <c r="N24" s="1852"/>
      <c r="O24" s="1852"/>
      <c r="P24" s="1852"/>
      <c r="Q24" s="1852"/>
      <c r="R24" s="1852"/>
      <c r="S24" s="1852"/>
      <c r="T24" s="1852"/>
      <c r="U24" s="1852"/>
      <c r="V24" s="1852"/>
      <c r="W24" s="1852"/>
      <c r="X24" s="1852"/>
      <c r="Y24" s="1852"/>
      <c r="AA24" s="1852"/>
      <c r="AB24" s="1852"/>
      <c r="AC24" s="1898"/>
    </row>
    <row r="25" spans="1:33" ht="16.5" thickBot="1">
      <c r="C25" s="1851"/>
      <c r="E25" s="1852"/>
      <c r="F25" s="1852"/>
      <c r="G25" s="1852"/>
      <c r="H25" s="1852"/>
      <c r="I25" s="1852"/>
      <c r="J25" s="1852"/>
      <c r="K25" s="1852"/>
      <c r="L25" s="1852"/>
      <c r="M25" s="1852"/>
      <c r="N25" s="1852"/>
      <c r="O25" s="1852"/>
      <c r="P25" s="1852"/>
      <c r="Q25" s="1852"/>
      <c r="R25" s="1852"/>
      <c r="S25" s="1852"/>
      <c r="T25" s="1852"/>
      <c r="U25" s="1852"/>
      <c r="V25" s="1852"/>
      <c r="W25" s="1852"/>
      <c r="X25" s="1852"/>
      <c r="Y25" s="1852"/>
      <c r="AA25" s="1852"/>
      <c r="AB25" s="1852"/>
      <c r="AC25" s="1898"/>
    </row>
    <row r="26" spans="1:33" ht="16.5" thickBot="1">
      <c r="B26" s="1850"/>
      <c r="C26" s="1906"/>
      <c r="D26" s="1950"/>
      <c r="E26" s="2709" t="s">
        <v>810</v>
      </c>
      <c r="F26" s="2710"/>
      <c r="G26" s="2710"/>
      <c r="H26" s="2710"/>
      <c r="I26" s="2710"/>
      <c r="J26" s="2711"/>
    </row>
    <row r="27" spans="1:33" ht="16.5" thickBot="1">
      <c r="B27" s="1873" t="s">
        <v>328</v>
      </c>
      <c r="C27" s="1847"/>
      <c r="D27" s="1874"/>
      <c r="E27" s="1859" t="s">
        <v>797</v>
      </c>
      <c r="F27" s="1860" t="s">
        <v>796</v>
      </c>
      <c r="G27" s="1860" t="s">
        <v>795</v>
      </c>
      <c r="H27" s="1860" t="s">
        <v>794</v>
      </c>
      <c r="I27" s="1861"/>
      <c r="J27" s="1858" t="s">
        <v>793</v>
      </c>
    </row>
    <row r="28" spans="1:33" ht="16.5" customHeight="1">
      <c r="B28" s="1862" t="s">
        <v>749</v>
      </c>
      <c r="C28" s="1862"/>
      <c r="D28" s="1953"/>
      <c r="E28" s="1864" t="str">
        <f>'Att 9b - 2017 True-up'!X7</f>
        <v>UAMPS</v>
      </c>
      <c r="F28" s="1865" t="str">
        <f>'Att 9b - 2017 True-up'!Y7</f>
        <v>UMPA</v>
      </c>
      <c r="G28" s="1865" t="str">
        <f>'Att 9b - 2017 True-up'!Z7</f>
        <v>Deseret</v>
      </c>
      <c r="H28" s="1865" t="s">
        <v>784</v>
      </c>
      <c r="I28" s="1865" t="s">
        <v>954</v>
      </c>
      <c r="J28" s="1868"/>
    </row>
    <row r="29" spans="1:33">
      <c r="B29" s="1869" t="s">
        <v>468</v>
      </c>
      <c r="C29" s="1869"/>
      <c r="D29" s="1955"/>
      <c r="E29" s="1871" t="str">
        <f>'Att 9b - 2017 True-up'!X8</f>
        <v>OS</v>
      </c>
      <c r="F29" s="1867" t="str">
        <f>'Att 9b - 2017 True-up'!Y8</f>
        <v>OS</v>
      </c>
      <c r="G29" s="1867" t="str">
        <f>'Att 9b - 2017 True-up'!Z8</f>
        <v>OS</v>
      </c>
      <c r="H29" s="1867" t="str">
        <f>'Att 9b - 2017 True-up'!AA8</f>
        <v>OS</v>
      </c>
      <c r="I29" s="1867" t="s">
        <v>777</v>
      </c>
      <c r="J29" s="1868" t="s">
        <v>776</v>
      </c>
    </row>
    <row r="30" spans="1:33" ht="32.25" thickBot="1">
      <c r="B30" s="1873" t="s">
        <v>741</v>
      </c>
      <c r="C30" s="1958" t="s">
        <v>813</v>
      </c>
      <c r="D30" s="1958" t="s">
        <v>812</v>
      </c>
      <c r="E30" s="1876" t="str">
        <f>'Att 9b - 2017 True-up'!X9</f>
        <v>RS 297</v>
      </c>
      <c r="F30" s="1877" t="str">
        <f>'Att 9b - 2017 True-up'!Y9</f>
        <v>RS 637</v>
      </c>
      <c r="G30" s="1877" t="str">
        <f>'Att 9b - 2017 True-up'!Z9</f>
        <v>RS 280</v>
      </c>
      <c r="H30" s="1877" t="str">
        <f>'Att 9b - 2017 True-up'!AA9</f>
        <v>RS 262/RS 263</v>
      </c>
      <c r="I30" s="1877" t="s">
        <v>955</v>
      </c>
      <c r="J30" s="1879"/>
    </row>
    <row r="31" spans="1:33" ht="16.5" customHeight="1">
      <c r="B31" s="1854" t="s">
        <v>147</v>
      </c>
      <c r="C31" s="1969">
        <f t="shared" ref="C31:C42" si="2">C10</f>
        <v>6</v>
      </c>
      <c r="D31" s="1970">
        <f t="shared" ref="D31:D42" si="3">D10</f>
        <v>8</v>
      </c>
      <c r="E31" s="2587">
        <f>'Att 9b - 2017 True-up'!X10</f>
        <v>419.82699999999994</v>
      </c>
      <c r="F31" s="2588">
        <f>'Att 9b - 2017 True-up'!Y10</f>
        <v>75.090999999999994</v>
      </c>
      <c r="G31" s="2588">
        <f>'Att 9b - 2017 True-up'!Z10</f>
        <v>78.254000000000005</v>
      </c>
      <c r="H31" s="2588">
        <f>'Att 9b - 2017 True-up'!AA10</f>
        <v>339</v>
      </c>
      <c r="I31" s="2589"/>
      <c r="J31" s="1884">
        <f t="shared" ref="J31:J42" si="4">SUM(E31:I31)</f>
        <v>912.17199999999991</v>
      </c>
      <c r="R31" s="1940"/>
      <c r="T31" s="1941"/>
    </row>
    <row r="32" spans="1:33">
      <c r="B32" s="1854" t="s">
        <v>148</v>
      </c>
      <c r="C32" s="1969">
        <f t="shared" si="2"/>
        <v>1</v>
      </c>
      <c r="D32" s="1970">
        <f t="shared" si="3"/>
        <v>19</v>
      </c>
      <c r="E32" s="1885">
        <f>'Att 9b - 2017 True-up'!X11</f>
        <v>395.43799999999999</v>
      </c>
      <c r="F32" s="1881">
        <f>'Att 9b - 2017 True-up'!Y11</f>
        <v>76.281000000000006</v>
      </c>
      <c r="G32" s="1881">
        <f>'Att 9b - 2017 True-up'!Z11</f>
        <v>92.043000000000006</v>
      </c>
      <c r="H32" s="1881">
        <f>'Att 9b - 2017 True-up'!AA11</f>
        <v>306</v>
      </c>
      <c r="I32" s="1971"/>
      <c r="J32" s="1884">
        <f t="shared" si="4"/>
        <v>869.76199999999994</v>
      </c>
      <c r="R32" s="1940"/>
    </row>
    <row r="33" spans="2:18">
      <c r="B33" s="1854" t="s">
        <v>352</v>
      </c>
      <c r="C33" s="1969">
        <f t="shared" si="2"/>
        <v>1</v>
      </c>
      <c r="D33" s="1970">
        <f t="shared" si="3"/>
        <v>8</v>
      </c>
      <c r="E33" s="1885">
        <f>'Att 9b - 2017 True-up'!X12</f>
        <v>339.05599999999998</v>
      </c>
      <c r="F33" s="1881">
        <f>'Att 9b - 2017 True-up'!Y12</f>
        <v>79.444999999999993</v>
      </c>
      <c r="G33" s="1881">
        <f>'Att 9b - 2017 True-up'!Z12</f>
        <v>60.040999999999997</v>
      </c>
      <c r="H33" s="1881">
        <f>'Att 9b - 2017 True-up'!AA12</f>
        <v>306</v>
      </c>
      <c r="I33" s="1971"/>
      <c r="J33" s="1884">
        <f t="shared" si="4"/>
        <v>784.54199999999992</v>
      </c>
    </row>
    <row r="34" spans="2:18">
      <c r="B34" s="1854" t="s">
        <v>143</v>
      </c>
      <c r="C34" s="1969">
        <f t="shared" si="2"/>
        <v>3</v>
      </c>
      <c r="D34" s="1970">
        <f t="shared" si="3"/>
        <v>8</v>
      </c>
      <c r="E34" s="1885">
        <f>'Att 9b - 2017 True-up'!X13</f>
        <v>301.63799999999998</v>
      </c>
      <c r="F34" s="1881">
        <f>'Att 9b - 2017 True-up'!Y13</f>
        <v>33.027999999999999</v>
      </c>
      <c r="G34" s="1881">
        <f>'Att 9b - 2017 True-up'!Z13</f>
        <v>99.263999999999996</v>
      </c>
      <c r="H34" s="1881">
        <f>'Att 9b - 2017 True-up'!AA13</f>
        <v>320</v>
      </c>
      <c r="I34" s="1971"/>
      <c r="J34" s="1884">
        <f t="shared" si="4"/>
        <v>753.93000000000006</v>
      </c>
      <c r="R34" s="1898"/>
    </row>
    <row r="35" spans="2:18">
      <c r="B35" s="1854" t="s">
        <v>144</v>
      </c>
      <c r="C35" s="1969">
        <f t="shared" si="2"/>
        <v>30</v>
      </c>
      <c r="D35" s="1970">
        <f t="shared" si="3"/>
        <v>17</v>
      </c>
      <c r="E35" s="1885">
        <f>'Att 9b - 2017 True-up'!X14</f>
        <v>505.50900000000001</v>
      </c>
      <c r="F35" s="1881">
        <f>'Att 9b - 2017 True-up'!Y14</f>
        <v>89.504000000000005</v>
      </c>
      <c r="G35" s="1881">
        <f>'Att 9b - 2017 True-up'!Z14</f>
        <v>77.795000000000002</v>
      </c>
      <c r="H35" s="1881">
        <f>'Att 9b - 2017 True-up'!AA14</f>
        <v>339</v>
      </c>
      <c r="I35" s="1971"/>
      <c r="J35" s="1884">
        <f t="shared" si="4"/>
        <v>1011.808</v>
      </c>
      <c r="R35" s="1941"/>
    </row>
    <row r="36" spans="2:18">
      <c r="B36" s="1854" t="s">
        <v>151</v>
      </c>
      <c r="C36" s="1969">
        <f t="shared" si="2"/>
        <v>26</v>
      </c>
      <c r="D36" s="1970">
        <f t="shared" si="3"/>
        <v>17</v>
      </c>
      <c r="E36" s="1885">
        <f>'Att 9b - 2017 True-up'!X15</f>
        <v>698.13599999999997</v>
      </c>
      <c r="F36" s="1881">
        <f>'Att 9b - 2017 True-up'!Y15</f>
        <v>145.08099999999999</v>
      </c>
      <c r="G36" s="1881">
        <f>'Att 9b - 2017 True-up'!Z15</f>
        <v>121.61</v>
      </c>
      <c r="H36" s="1881">
        <f>'Att 9b - 2017 True-up'!AA15</f>
        <v>342</v>
      </c>
      <c r="I36" s="1971"/>
      <c r="J36" s="1884">
        <f t="shared" si="4"/>
        <v>1306.827</v>
      </c>
    </row>
    <row r="37" spans="2:18">
      <c r="B37" s="1854" t="s">
        <v>740</v>
      </c>
      <c r="C37" s="1969">
        <f t="shared" si="2"/>
        <v>6</v>
      </c>
      <c r="D37" s="1970">
        <f t="shared" si="3"/>
        <v>17</v>
      </c>
      <c r="E37" s="1885">
        <f>'Att 9b - 2017 True-up'!X16</f>
        <v>751.89600000000007</v>
      </c>
      <c r="F37" s="1881">
        <f>'Att 9b - 2017 True-up'!Y16</f>
        <v>173.04300000000001</v>
      </c>
      <c r="G37" s="1881">
        <f>'Att 9b - 2017 True-up'!Z16</f>
        <v>135.76499999999999</v>
      </c>
      <c r="H37" s="1881">
        <f>'Att 9b - 2017 True-up'!AA16</f>
        <v>346</v>
      </c>
      <c r="I37" s="1971"/>
      <c r="J37" s="1884">
        <f t="shared" si="4"/>
        <v>1406.7040000000002</v>
      </c>
    </row>
    <row r="38" spans="2:18">
      <c r="B38" s="1854" t="s">
        <v>153</v>
      </c>
      <c r="C38" s="1969">
        <f t="shared" si="2"/>
        <v>1</v>
      </c>
      <c r="D38" s="1970">
        <f t="shared" si="3"/>
        <v>17</v>
      </c>
      <c r="E38" s="1885">
        <f>'Att 9b - 2017 True-up'!X17</f>
        <v>769.75199999999995</v>
      </c>
      <c r="F38" s="1881">
        <f>'Att 9b - 2017 True-up'!Y17</f>
        <v>167.30500000000001</v>
      </c>
      <c r="G38" s="1881">
        <f>'Att 9b - 2017 True-up'!Z17</f>
        <v>128.107</v>
      </c>
      <c r="H38" s="1881">
        <f>'Att 9b - 2017 True-up'!AA17</f>
        <v>316</v>
      </c>
      <c r="I38" s="1971"/>
      <c r="J38" s="1884">
        <f t="shared" si="4"/>
        <v>1381.164</v>
      </c>
    </row>
    <row r="39" spans="2:18">
      <c r="B39" s="1854" t="s">
        <v>739</v>
      </c>
      <c r="C39" s="1969">
        <f t="shared" si="2"/>
        <v>5</v>
      </c>
      <c r="D39" s="1970">
        <f t="shared" si="3"/>
        <v>17</v>
      </c>
      <c r="E39" s="1885">
        <f>'Att 9b - 2017 True-up'!X18</f>
        <v>691.89400000000001</v>
      </c>
      <c r="F39" s="1881">
        <f>'Att 9b - 2017 True-up'!Y18</f>
        <v>184.46799999999999</v>
      </c>
      <c r="G39" s="1881">
        <f>'Att 9b - 2017 True-up'!Z18</f>
        <v>114.10899999999999</v>
      </c>
      <c r="H39" s="1881">
        <f>'Att 9b - 2017 True-up'!AA18</f>
        <v>328</v>
      </c>
      <c r="I39" s="1971"/>
      <c r="J39" s="1884">
        <f t="shared" si="4"/>
        <v>1318.471</v>
      </c>
    </row>
    <row r="40" spans="2:18">
      <c r="B40" s="1854" t="s">
        <v>155</v>
      </c>
      <c r="C40" s="1969">
        <f t="shared" si="2"/>
        <v>31</v>
      </c>
      <c r="D40" s="1970">
        <f t="shared" si="3"/>
        <v>8</v>
      </c>
      <c r="E40" s="1885">
        <f>'Att 9b - 2017 True-up'!X19</f>
        <v>373.03000000000003</v>
      </c>
      <c r="F40" s="1881">
        <f>'Att 9b - 2017 True-up'!Y19</f>
        <v>57.006999999999998</v>
      </c>
      <c r="G40" s="1881">
        <f>'Att 9b - 2017 True-up'!Z19</f>
        <v>40.515000000000001</v>
      </c>
      <c r="H40" s="1881">
        <f>'Att 9b - 2017 True-up'!AA19</f>
        <v>268</v>
      </c>
      <c r="I40" s="1971"/>
      <c r="J40" s="1884">
        <f t="shared" si="4"/>
        <v>738.55200000000002</v>
      </c>
    </row>
    <row r="41" spans="2:18">
      <c r="B41" s="1854" t="s">
        <v>156</v>
      </c>
      <c r="C41" s="1969">
        <f t="shared" si="2"/>
        <v>28</v>
      </c>
      <c r="D41" s="1970">
        <f t="shared" si="3"/>
        <v>18</v>
      </c>
      <c r="E41" s="1885">
        <f>'Att 9b - 2017 True-up'!X20</f>
        <v>362.029</v>
      </c>
      <c r="F41" s="1881">
        <f>'Att 9b - 2017 True-up'!Y20</f>
        <v>63.966000000000001</v>
      </c>
      <c r="G41" s="1881">
        <f>'Att 9b - 2017 True-up'!Z20</f>
        <v>71.822999999999993</v>
      </c>
      <c r="H41" s="1881">
        <f>'Att 9b - 2017 True-up'!AA20</f>
        <v>315</v>
      </c>
      <c r="I41" s="1971"/>
      <c r="J41" s="1884">
        <f t="shared" si="4"/>
        <v>812.81799999999998</v>
      </c>
    </row>
    <row r="42" spans="2:18" ht="16.5" thickBot="1">
      <c r="B42" s="1873" t="s">
        <v>157</v>
      </c>
      <c r="C42" s="2350">
        <f t="shared" si="2"/>
        <v>21</v>
      </c>
      <c r="D42" s="2351">
        <f t="shared" si="3"/>
        <v>18</v>
      </c>
      <c r="E42" s="1891">
        <f>'Att 9b - 2017 True-up'!X21</f>
        <v>433.92700000000002</v>
      </c>
      <c r="F42" s="1888">
        <f>'Att 9b - 2017 True-up'!Y21</f>
        <v>69.290999999999997</v>
      </c>
      <c r="G42" s="1888">
        <f>'Att 9b - 2017 True-up'!Z21</f>
        <v>61.643999999999998</v>
      </c>
      <c r="H42" s="1888">
        <f>'Att 9b - 2017 True-up'!AA21</f>
        <v>314</v>
      </c>
      <c r="I42" s="1892"/>
      <c r="J42" s="1879">
        <f t="shared" si="4"/>
        <v>878.86199999999997</v>
      </c>
    </row>
    <row r="43" spans="2:18" ht="16.5" thickBot="1">
      <c r="B43" s="1893" t="s">
        <v>282</v>
      </c>
      <c r="C43" s="1894"/>
      <c r="D43" s="1895"/>
      <c r="E43" s="1897">
        <f t="shared" ref="E43:J43" si="5">SUM(E31:E42)</f>
        <v>6042.1319999999996</v>
      </c>
      <c r="F43" s="1896">
        <f t="shared" si="5"/>
        <v>1213.5099999999998</v>
      </c>
      <c r="G43" s="1896">
        <f t="shared" si="5"/>
        <v>1080.97</v>
      </c>
      <c r="H43" s="1896">
        <f t="shared" si="5"/>
        <v>3839</v>
      </c>
      <c r="I43" s="1896">
        <f t="shared" si="5"/>
        <v>0</v>
      </c>
      <c r="J43" s="1879">
        <f t="shared" si="5"/>
        <v>12175.611999999999</v>
      </c>
    </row>
  </sheetData>
  <mergeCells count="4">
    <mergeCell ref="E26:J26"/>
    <mergeCell ref="B1:S1"/>
    <mergeCell ref="B2:S2"/>
    <mergeCell ref="E5:U5"/>
  </mergeCells>
  <pageMargins left="0.7" right="0.7" top="0.75" bottom="0.75" header="0.3" footer="0.3"/>
  <pageSetup scale="5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AB43"/>
  <sheetViews>
    <sheetView zoomScaleNormal="100" workbookViewId="0"/>
  </sheetViews>
  <sheetFormatPr defaultRowHeight="15"/>
  <cols>
    <col min="1" max="1" width="4.7109375" style="1962" customWidth="1"/>
    <col min="2" max="2" width="14.28515625" style="1962" customWidth="1"/>
    <col min="3" max="4" width="6" style="1962" customWidth="1"/>
    <col min="5" max="7" width="11.5703125" style="1946" customWidth="1"/>
    <col min="8" max="8" width="13.28515625" style="1946" customWidth="1"/>
    <col min="9" max="18" width="11.5703125" style="1946" customWidth="1"/>
    <col min="19" max="19" width="11.5703125" style="1967" customWidth="1"/>
    <col min="20" max="20" width="11.5703125" style="1946" customWidth="1"/>
    <col min="21" max="21" width="10.5703125" style="1946" bestFit="1" customWidth="1"/>
    <col min="22" max="22" width="9.5703125" style="1946" bestFit="1" customWidth="1"/>
    <col min="23" max="23" width="10.5703125" style="1946" bestFit="1" customWidth="1"/>
    <col min="24" max="24" width="11.5703125" style="1946" bestFit="1" customWidth="1"/>
    <col min="25" max="25" width="15.28515625" style="1946" bestFit="1" customWidth="1"/>
    <col min="26" max="26" width="12.5703125" style="1962" bestFit="1" customWidth="1"/>
    <col min="27" max="16384" width="9.140625" style="1962"/>
  </cols>
  <sheetData>
    <row r="1" spans="2:28" ht="16.5" customHeight="1">
      <c r="B1" s="1942" t="s">
        <v>365</v>
      </c>
      <c r="C1" s="1943"/>
      <c r="D1" s="1942"/>
      <c r="E1" s="1944"/>
      <c r="F1" s="1944"/>
      <c r="G1" s="1944"/>
      <c r="H1" s="1944"/>
      <c r="I1" s="1944"/>
      <c r="J1" s="1944"/>
      <c r="K1" s="1944"/>
      <c r="L1" s="1944"/>
      <c r="M1" s="1944"/>
      <c r="N1" s="1944"/>
      <c r="O1" s="1944"/>
      <c r="P1" s="1944"/>
      <c r="Q1" s="1944"/>
      <c r="R1" s="1944"/>
      <c r="S1" s="1945"/>
      <c r="T1" s="1944"/>
    </row>
    <row r="2" spans="2:28" ht="16.5" customHeight="1">
      <c r="B2" s="1942" t="s">
        <v>1947</v>
      </c>
      <c r="C2" s="1942"/>
      <c r="D2" s="1942"/>
      <c r="E2" s="1944"/>
      <c r="F2" s="1944"/>
      <c r="G2" s="1944"/>
      <c r="H2" s="1944"/>
      <c r="I2" s="1944"/>
      <c r="J2" s="1944"/>
      <c r="K2" s="1944"/>
      <c r="L2" s="1944"/>
      <c r="M2" s="1944"/>
      <c r="N2" s="1944"/>
      <c r="O2" s="1947"/>
      <c r="P2" s="1944"/>
      <c r="Q2" s="1944"/>
      <c r="R2" s="1944"/>
      <c r="S2" s="1945"/>
      <c r="T2" s="1944"/>
    </row>
    <row r="3" spans="2:28" ht="16.5" customHeight="1">
      <c r="B3" s="437"/>
      <c r="C3" s="437"/>
      <c r="D3" s="437"/>
      <c r="E3" s="437"/>
      <c r="F3" s="437"/>
      <c r="G3" s="437"/>
      <c r="H3" s="437"/>
      <c r="I3" s="437"/>
      <c r="J3" s="437"/>
      <c r="K3" s="1948">
        <v>2016</v>
      </c>
      <c r="L3" s="436"/>
      <c r="N3" s="437"/>
      <c r="O3" s="832"/>
      <c r="P3" s="437"/>
      <c r="Q3" s="437"/>
      <c r="R3" s="437"/>
      <c r="S3" s="437"/>
      <c r="T3" s="437"/>
    </row>
    <row r="4" spans="2:28" ht="16.5" customHeight="1" thickBot="1">
      <c r="B4" s="1843"/>
      <c r="C4" s="1843"/>
      <c r="D4" s="1843"/>
      <c r="E4" s="1949"/>
      <c r="F4" s="1949"/>
      <c r="G4" s="1949"/>
      <c r="H4" s="1949"/>
      <c r="I4" s="1949"/>
      <c r="J4" s="1949"/>
      <c r="K4" s="1949"/>
      <c r="L4" s="1949"/>
      <c r="M4" s="1949"/>
      <c r="N4" s="1949"/>
      <c r="O4" s="1949"/>
      <c r="P4" s="1949"/>
      <c r="Q4" s="1949"/>
      <c r="R4" s="1949"/>
      <c r="S4" s="1940"/>
      <c r="T4" s="1949"/>
    </row>
    <row r="5" spans="2:28" ht="16.5" customHeight="1" thickBot="1">
      <c r="B5" s="1850"/>
      <c r="C5" s="1906"/>
      <c r="D5" s="1950"/>
      <c r="E5" s="2721" t="s">
        <v>811</v>
      </c>
      <c r="F5" s="2722"/>
      <c r="G5" s="2722"/>
      <c r="H5" s="2722"/>
      <c r="I5" s="2722"/>
      <c r="J5" s="2722"/>
      <c r="K5" s="2722"/>
      <c r="L5" s="2722"/>
      <c r="M5" s="2722"/>
      <c r="N5" s="2722"/>
      <c r="O5" s="2722"/>
      <c r="P5" s="2722"/>
      <c r="Q5" s="2722"/>
      <c r="R5" s="2722"/>
      <c r="S5" s="2723"/>
      <c r="T5" s="1949"/>
    </row>
    <row r="6" spans="2:28" ht="16.5" customHeight="1" thickBot="1">
      <c r="B6" s="1873" t="s">
        <v>328</v>
      </c>
      <c r="C6" s="1847"/>
      <c r="D6" s="1874"/>
      <c r="E6" s="1951" t="s">
        <v>359</v>
      </c>
      <c r="F6" s="1859" t="s">
        <v>809</v>
      </c>
      <c r="G6" s="1860" t="s">
        <v>808</v>
      </c>
      <c r="H6" s="1860" t="s">
        <v>807</v>
      </c>
      <c r="I6" s="1860" t="s">
        <v>806</v>
      </c>
      <c r="J6" s="1860" t="s">
        <v>805</v>
      </c>
      <c r="K6" s="1860"/>
      <c r="L6" s="1860" t="s">
        <v>804</v>
      </c>
      <c r="M6" s="1860" t="s">
        <v>803</v>
      </c>
      <c r="N6" s="1860" t="s">
        <v>802</v>
      </c>
      <c r="O6" s="1860" t="s">
        <v>801</v>
      </c>
      <c r="P6" s="1860" t="s">
        <v>800</v>
      </c>
      <c r="Q6" s="1860" t="s">
        <v>799</v>
      </c>
      <c r="R6" s="1860" t="s">
        <v>798</v>
      </c>
      <c r="S6" s="1860" t="s">
        <v>1653</v>
      </c>
      <c r="T6" s="1860" t="s">
        <v>1868</v>
      </c>
      <c r="U6" s="1860" t="s">
        <v>1869</v>
      </c>
      <c r="V6" s="1952" t="s">
        <v>397</v>
      </c>
      <c r="W6" s="1949"/>
      <c r="Z6" s="1946"/>
      <c r="AA6" s="1946"/>
      <c r="AB6" s="1946"/>
    </row>
    <row r="7" spans="2:28" ht="47.25" customHeight="1">
      <c r="B7" s="1953" t="s">
        <v>749</v>
      </c>
      <c r="C7" s="1862"/>
      <c r="D7" s="1862"/>
      <c r="E7" s="1954" t="s">
        <v>365</v>
      </c>
      <c r="F7" s="1864" t="s">
        <v>792</v>
      </c>
      <c r="G7" s="1865" t="s">
        <v>791</v>
      </c>
      <c r="H7" s="1865" t="s">
        <v>1855</v>
      </c>
      <c r="I7" s="1865" t="s">
        <v>790</v>
      </c>
      <c r="J7" s="1865" t="s">
        <v>789</v>
      </c>
      <c r="K7" s="1865"/>
      <c r="L7" s="1865" t="s">
        <v>788</v>
      </c>
      <c r="M7" s="1865" t="s">
        <v>2107</v>
      </c>
      <c r="N7" s="1865" t="s">
        <v>787</v>
      </c>
      <c r="O7" s="1865" t="s">
        <v>786</v>
      </c>
      <c r="P7" s="1865" t="s">
        <v>785</v>
      </c>
      <c r="Q7" s="1865" t="s">
        <v>784</v>
      </c>
      <c r="R7" s="1865" t="s">
        <v>2110</v>
      </c>
      <c r="S7" s="1865" t="s">
        <v>1870</v>
      </c>
      <c r="T7" s="1865" t="s">
        <v>2000</v>
      </c>
      <c r="U7" s="1865" t="s">
        <v>1872</v>
      </c>
      <c r="V7" s="1866"/>
      <c r="W7" s="1949"/>
      <c r="Z7" s="1946"/>
      <c r="AA7" s="1946"/>
      <c r="AB7" s="1946"/>
    </row>
    <row r="8" spans="2:28" ht="16.5" customHeight="1">
      <c r="B8" s="1955" t="s">
        <v>468</v>
      </c>
      <c r="C8" s="1869"/>
      <c r="D8" s="1869"/>
      <c r="E8" s="1956" t="s">
        <v>780</v>
      </c>
      <c r="F8" s="1871" t="s">
        <v>779</v>
      </c>
      <c r="G8" s="1867" t="s">
        <v>779</v>
      </c>
      <c r="H8" s="1867" t="s">
        <v>779</v>
      </c>
      <c r="I8" s="1867" t="s">
        <v>779</v>
      </c>
      <c r="J8" s="1867" t="s">
        <v>779</v>
      </c>
      <c r="K8" s="1867"/>
      <c r="L8" s="1867" t="s">
        <v>779</v>
      </c>
      <c r="M8" s="1867" t="s">
        <v>779</v>
      </c>
      <c r="N8" s="1867" t="s">
        <v>779</v>
      </c>
      <c r="O8" s="1867" t="s">
        <v>779</v>
      </c>
      <c r="P8" s="1867" t="s">
        <v>779</v>
      </c>
      <c r="Q8" s="1867" t="s">
        <v>779</v>
      </c>
      <c r="R8" s="1867" t="s">
        <v>779</v>
      </c>
      <c r="S8" s="1867" t="s">
        <v>779</v>
      </c>
      <c r="T8" s="1867" t="s">
        <v>779</v>
      </c>
      <c r="U8" s="1867" t="s">
        <v>779</v>
      </c>
      <c r="V8" s="1872" t="s">
        <v>778</v>
      </c>
      <c r="W8" s="1949"/>
      <c r="Z8" s="1946"/>
      <c r="AA8" s="1946"/>
      <c r="AB8" s="1946"/>
    </row>
    <row r="9" spans="2:28" ht="15.75" customHeight="1" thickBot="1">
      <c r="B9" s="1957" t="s">
        <v>741</v>
      </c>
      <c r="C9" s="1958" t="s">
        <v>813</v>
      </c>
      <c r="D9" s="1958" t="s">
        <v>812</v>
      </c>
      <c r="E9" s="1875">
        <v>0</v>
      </c>
      <c r="F9" s="1876" t="s">
        <v>774</v>
      </c>
      <c r="G9" s="1877" t="s">
        <v>773</v>
      </c>
      <c r="H9" s="1877" t="s">
        <v>2109</v>
      </c>
      <c r="I9" s="1877" t="s">
        <v>772</v>
      </c>
      <c r="J9" s="1877" t="s">
        <v>771</v>
      </c>
      <c r="K9" s="1877"/>
      <c r="L9" s="1877" t="s">
        <v>770</v>
      </c>
      <c r="M9" s="1877" t="s">
        <v>769</v>
      </c>
      <c r="N9" s="1877" t="s">
        <v>768</v>
      </c>
      <c r="O9" s="1877" t="s">
        <v>767</v>
      </c>
      <c r="P9" s="1877" t="s">
        <v>766</v>
      </c>
      <c r="Q9" s="1877" t="s">
        <v>765</v>
      </c>
      <c r="R9" s="1877" t="s">
        <v>1568</v>
      </c>
      <c r="S9" s="1877" t="s">
        <v>1857</v>
      </c>
      <c r="T9" s="1877" t="s">
        <v>1873</v>
      </c>
      <c r="U9" s="1877" t="s">
        <v>1874</v>
      </c>
      <c r="V9" s="1878"/>
      <c r="W9" s="1949"/>
      <c r="Z9" s="1946"/>
      <c r="AA9" s="1946"/>
      <c r="AB9" s="1946"/>
    </row>
    <row r="10" spans="2:28" ht="15.75">
      <c r="B10" s="1959" t="s">
        <v>147</v>
      </c>
      <c r="C10" s="1960">
        <v>4</v>
      </c>
      <c r="D10" s="1960">
        <v>18</v>
      </c>
      <c r="E10" s="1885">
        <v>8342.3140000000003</v>
      </c>
      <c r="F10" s="2575">
        <v>5.5380000000000003</v>
      </c>
      <c r="G10" s="2576">
        <v>3.1659999999999999</v>
      </c>
      <c r="H10" s="2576">
        <v>26.829000000000001</v>
      </c>
      <c r="I10" s="2576">
        <v>1.1679999999999999</v>
      </c>
      <c r="J10" s="2576">
        <v>0.32100000000000001</v>
      </c>
      <c r="K10" s="2576">
        <v>0</v>
      </c>
      <c r="L10" s="2576">
        <v>14.698</v>
      </c>
      <c r="M10" s="2576">
        <v>19.190000000000001</v>
      </c>
      <c r="N10" s="2576">
        <v>10.041</v>
      </c>
      <c r="O10" s="2576">
        <v>45.56</v>
      </c>
      <c r="P10" s="2576">
        <v>4.0000000000000001E-3</v>
      </c>
      <c r="Q10" s="2576">
        <v>4.3204000000000003E-3</v>
      </c>
      <c r="R10" s="2576">
        <v>11.911</v>
      </c>
      <c r="S10" s="2576">
        <v>2.4990000000000001</v>
      </c>
      <c r="T10" s="2576">
        <v>0</v>
      </c>
      <c r="U10" s="2577">
        <v>0</v>
      </c>
      <c r="V10" s="1884">
        <f>SUM(F10:U10)</f>
        <v>140.92932039999999</v>
      </c>
      <c r="W10" s="1949"/>
      <c r="Z10" s="1946"/>
      <c r="AA10" s="1946"/>
      <c r="AB10" s="1946"/>
    </row>
    <row r="11" spans="2:28" ht="15.75">
      <c r="B11" s="1959" t="s">
        <v>148</v>
      </c>
      <c r="C11" s="1960">
        <v>2</v>
      </c>
      <c r="D11" s="1960">
        <v>8</v>
      </c>
      <c r="E11" s="1885">
        <v>8068.2169999999996</v>
      </c>
      <c r="F11" s="1882">
        <v>5.6509999999999998</v>
      </c>
      <c r="G11" s="1883">
        <v>3.3260000000000001</v>
      </c>
      <c r="H11" s="1883">
        <v>27.082000000000001</v>
      </c>
      <c r="I11" s="1883">
        <v>1.139</v>
      </c>
      <c r="J11" s="1883">
        <v>0.373</v>
      </c>
      <c r="K11" s="1883">
        <v>0</v>
      </c>
      <c r="L11" s="1883">
        <v>15.929</v>
      </c>
      <c r="M11" s="1883">
        <v>19.739000000000001</v>
      </c>
      <c r="N11" s="1883">
        <v>10.353</v>
      </c>
      <c r="O11" s="1883">
        <v>42.75</v>
      </c>
      <c r="P11" s="1883">
        <v>4.0000000000000001E-3</v>
      </c>
      <c r="Q11" s="1883">
        <v>4.3204000000000003E-3</v>
      </c>
      <c r="R11" s="1883">
        <v>12.327</v>
      </c>
      <c r="S11" s="1883">
        <v>1.645</v>
      </c>
      <c r="T11" s="1883">
        <v>0</v>
      </c>
      <c r="U11" s="2578">
        <v>0</v>
      </c>
      <c r="V11" s="1884">
        <f t="shared" ref="V11:V21" si="0">SUM(F11:U11)</f>
        <v>140.32232040000002</v>
      </c>
      <c r="W11" s="1949"/>
      <c r="Z11" s="1946"/>
      <c r="AA11" s="1946"/>
      <c r="AB11" s="1946"/>
    </row>
    <row r="12" spans="2:28" ht="15.75">
      <c r="B12" s="1959" t="s">
        <v>352</v>
      </c>
      <c r="C12" s="1960">
        <v>29</v>
      </c>
      <c r="D12" s="1960">
        <v>8</v>
      </c>
      <c r="E12" s="1885">
        <v>7200.2870000000003</v>
      </c>
      <c r="F12" s="1882">
        <v>5.5049999999999999</v>
      </c>
      <c r="G12" s="1883">
        <v>2.9670000000000001</v>
      </c>
      <c r="H12" s="1883">
        <v>26.44</v>
      </c>
      <c r="I12" s="1883">
        <v>0.95</v>
      </c>
      <c r="J12" s="1883">
        <v>0.36499999999999999</v>
      </c>
      <c r="K12" s="1883">
        <v>0</v>
      </c>
      <c r="L12" s="1883">
        <v>11.134</v>
      </c>
      <c r="M12" s="1883">
        <v>18.12</v>
      </c>
      <c r="N12" s="1883">
        <v>8.7929999999999993</v>
      </c>
      <c r="O12" s="1883">
        <v>38.020000000000003</v>
      </c>
      <c r="P12" s="1883">
        <v>0.28100000000000003</v>
      </c>
      <c r="Q12" s="1883">
        <v>1.0809999999999998E-2</v>
      </c>
      <c r="R12" s="1883">
        <v>13.256</v>
      </c>
      <c r="S12" s="1883">
        <v>1.609</v>
      </c>
      <c r="T12" s="1883">
        <v>0</v>
      </c>
      <c r="U12" s="2578">
        <v>0</v>
      </c>
      <c r="V12" s="1884">
        <f t="shared" si="0"/>
        <v>127.45081000000002</v>
      </c>
      <c r="W12" s="1949"/>
      <c r="Z12" s="1946"/>
      <c r="AA12" s="1946"/>
      <c r="AB12" s="1946"/>
    </row>
    <row r="13" spans="2:28" ht="15.75">
      <c r="B13" s="1959" t="s">
        <v>143</v>
      </c>
      <c r="C13" s="1960">
        <v>14</v>
      </c>
      <c r="D13" s="1960">
        <v>10</v>
      </c>
      <c r="E13" s="1885">
        <v>6811.817</v>
      </c>
      <c r="F13" s="1882">
        <v>5.5449999999999999</v>
      </c>
      <c r="G13" s="1883">
        <v>3.0939999999999999</v>
      </c>
      <c r="H13" s="1883">
        <v>16.899999999999999</v>
      </c>
      <c r="I13" s="1883">
        <v>0.6</v>
      </c>
      <c r="J13" s="1883">
        <v>0.41599999999999998</v>
      </c>
      <c r="K13" s="1883">
        <v>0</v>
      </c>
      <c r="L13" s="1883">
        <v>8.1259999999999994</v>
      </c>
      <c r="M13" s="1883">
        <v>17.675999999999998</v>
      </c>
      <c r="N13" s="1883">
        <v>7.782</v>
      </c>
      <c r="O13" s="1883">
        <v>31.4</v>
      </c>
      <c r="P13" s="1883">
        <v>0.30399999999999999</v>
      </c>
      <c r="Q13" s="1883">
        <v>1.4181713</v>
      </c>
      <c r="R13" s="1883">
        <v>13.669</v>
      </c>
      <c r="S13" s="1883">
        <v>1.5149999999999999</v>
      </c>
      <c r="T13" s="1883">
        <v>0</v>
      </c>
      <c r="U13" s="2578">
        <v>0</v>
      </c>
      <c r="V13" s="1884">
        <f t="shared" si="0"/>
        <v>108.44517129999998</v>
      </c>
      <c r="W13" s="1949"/>
      <c r="Z13" s="1946"/>
      <c r="AA13" s="1946"/>
      <c r="AB13" s="1946"/>
    </row>
    <row r="14" spans="2:28" ht="15.75">
      <c r="B14" s="1959" t="s">
        <v>144</v>
      </c>
      <c r="C14" s="1960">
        <v>31</v>
      </c>
      <c r="D14" s="1960">
        <v>17</v>
      </c>
      <c r="E14" s="1885">
        <v>7462.7209999999995</v>
      </c>
      <c r="F14" s="1882">
        <v>4.8860000000000001</v>
      </c>
      <c r="G14" s="1883">
        <v>3.2040000000000002</v>
      </c>
      <c r="H14" s="1883">
        <v>12.877000000000001</v>
      </c>
      <c r="I14" s="1883">
        <v>0.28799999999999998</v>
      </c>
      <c r="J14" s="1883">
        <v>0</v>
      </c>
      <c r="K14" s="1883">
        <v>0</v>
      </c>
      <c r="L14" s="1883">
        <v>8.66</v>
      </c>
      <c r="M14" s="1883">
        <v>21.117999999999999</v>
      </c>
      <c r="N14" s="1883">
        <v>8.8610000000000007</v>
      </c>
      <c r="O14" s="1883">
        <v>30.88</v>
      </c>
      <c r="P14" s="1883">
        <v>0.52600000000000002</v>
      </c>
      <c r="Q14" s="1883">
        <v>2.2433677000000003</v>
      </c>
      <c r="R14" s="1883">
        <v>15.923</v>
      </c>
      <c r="S14" s="1883">
        <v>1.468</v>
      </c>
      <c r="T14" s="1883">
        <v>0</v>
      </c>
      <c r="U14" s="2578">
        <v>0</v>
      </c>
      <c r="V14" s="1884">
        <f t="shared" si="0"/>
        <v>110.93436770000001</v>
      </c>
      <c r="W14" s="1949"/>
      <c r="Z14" s="1946"/>
      <c r="AA14" s="1946"/>
      <c r="AB14" s="1946"/>
    </row>
    <row r="15" spans="2:28" ht="15.75">
      <c r="B15" s="1959" t="s">
        <v>151</v>
      </c>
      <c r="C15" s="1960">
        <v>28</v>
      </c>
      <c r="D15" s="1960">
        <v>16</v>
      </c>
      <c r="E15" s="1885">
        <v>9880.5779999999995</v>
      </c>
      <c r="F15" s="1882">
        <v>5.95</v>
      </c>
      <c r="G15" s="1883">
        <v>3.5960000000000001</v>
      </c>
      <c r="H15" s="1883">
        <v>7.2050000000000001</v>
      </c>
      <c r="I15" s="1883">
        <v>0.379</v>
      </c>
      <c r="J15" s="1883">
        <v>0.28599999999999998</v>
      </c>
      <c r="K15" s="1883">
        <v>0</v>
      </c>
      <c r="L15" s="1883">
        <v>14.956</v>
      </c>
      <c r="M15" s="1883">
        <v>23.449000000000002</v>
      </c>
      <c r="N15" s="1883">
        <v>10.634</v>
      </c>
      <c r="O15" s="1883">
        <v>48.83</v>
      </c>
      <c r="P15" s="1883">
        <v>0.62</v>
      </c>
      <c r="Q15" s="1883">
        <v>3.0177994000000004</v>
      </c>
      <c r="R15" s="1883">
        <v>17.071000000000002</v>
      </c>
      <c r="S15" s="1883">
        <v>1.5029999999999999</v>
      </c>
      <c r="T15" s="1883">
        <v>0</v>
      </c>
      <c r="U15" s="2578">
        <v>0</v>
      </c>
      <c r="V15" s="1884">
        <f t="shared" si="0"/>
        <v>137.49679939999999</v>
      </c>
      <c r="W15" s="1949"/>
      <c r="Z15" s="1946"/>
      <c r="AA15" s="1946"/>
      <c r="AB15" s="1946"/>
    </row>
    <row r="16" spans="2:28" ht="15.75">
      <c r="B16" s="1959" t="s">
        <v>740</v>
      </c>
      <c r="C16" s="1960">
        <v>28</v>
      </c>
      <c r="D16" s="1960">
        <v>17</v>
      </c>
      <c r="E16" s="1885">
        <v>10139.189</v>
      </c>
      <c r="F16" s="1882">
        <v>6.7569999999999997</v>
      </c>
      <c r="G16" s="1883">
        <v>3.7250000000000001</v>
      </c>
      <c r="H16" s="1883">
        <v>11.683999999999999</v>
      </c>
      <c r="I16" s="1883">
        <v>0.51800000000000002</v>
      </c>
      <c r="J16" s="1883">
        <v>7.8E-2</v>
      </c>
      <c r="K16" s="1883">
        <v>0</v>
      </c>
      <c r="L16" s="1883">
        <v>13.877000000000001</v>
      </c>
      <c r="M16" s="1883">
        <v>30.661999999999999</v>
      </c>
      <c r="N16" s="1883">
        <v>10.273999999999999</v>
      </c>
      <c r="O16" s="1883">
        <v>49.44</v>
      </c>
      <c r="P16" s="1883">
        <v>0.61299999999999999</v>
      </c>
      <c r="Q16" s="1883">
        <v>3.1290500000000003</v>
      </c>
      <c r="R16" s="1883">
        <v>17.363</v>
      </c>
      <c r="S16" s="1883">
        <v>1.6519999999999999</v>
      </c>
      <c r="T16" s="1883">
        <v>180.29900000000001</v>
      </c>
      <c r="U16" s="2578">
        <v>68</v>
      </c>
      <c r="V16" s="1884">
        <f t="shared" si="0"/>
        <v>398.07105000000001</v>
      </c>
      <c r="W16" s="1949"/>
      <c r="Z16" s="1946"/>
      <c r="AA16" s="1946"/>
      <c r="AB16" s="1946"/>
    </row>
    <row r="17" spans="2:28" ht="15.75">
      <c r="B17" s="1959" t="s">
        <v>153</v>
      </c>
      <c r="C17" s="1960">
        <v>16</v>
      </c>
      <c r="D17" s="1960">
        <v>17</v>
      </c>
      <c r="E17" s="1885">
        <v>9680.7360000000008</v>
      </c>
      <c r="F17" s="1882">
        <v>7.0709999999999997</v>
      </c>
      <c r="G17" s="1883">
        <v>3.573</v>
      </c>
      <c r="H17" s="1883">
        <v>9.3879999999999999</v>
      </c>
      <c r="I17" s="1883">
        <v>0.36</v>
      </c>
      <c r="J17" s="1883">
        <v>7.8E-2</v>
      </c>
      <c r="K17" s="1883">
        <v>0</v>
      </c>
      <c r="L17" s="1883">
        <v>13.384</v>
      </c>
      <c r="M17" s="1883">
        <v>29.236999999999998</v>
      </c>
      <c r="N17" s="1883">
        <v>10.491</v>
      </c>
      <c r="O17" s="1883">
        <v>54.61</v>
      </c>
      <c r="P17" s="1883">
        <v>0.55400000000000005</v>
      </c>
      <c r="Q17" s="1883">
        <v>3.0761250000000002</v>
      </c>
      <c r="R17" s="1883">
        <v>18.231999999999999</v>
      </c>
      <c r="S17" s="1883">
        <v>1.625</v>
      </c>
      <c r="T17" s="1883">
        <v>158.40100000000001</v>
      </c>
      <c r="U17" s="2578">
        <v>64</v>
      </c>
      <c r="V17" s="1884">
        <f t="shared" si="0"/>
        <v>374.08012500000001</v>
      </c>
      <c r="W17" s="1949"/>
      <c r="Z17" s="1946"/>
      <c r="AA17" s="1946"/>
      <c r="AB17" s="1946"/>
    </row>
    <row r="18" spans="2:28" ht="15.75">
      <c r="B18" s="1959" t="s">
        <v>739</v>
      </c>
      <c r="C18" s="1960">
        <v>1</v>
      </c>
      <c r="D18" s="1960">
        <v>15</v>
      </c>
      <c r="E18" s="1885">
        <v>8511.6129999999994</v>
      </c>
      <c r="F18" s="1882">
        <v>5.7809999999999997</v>
      </c>
      <c r="G18" s="1883">
        <v>2.8250000000000002</v>
      </c>
      <c r="H18" s="1883">
        <v>7.4059999999999997</v>
      </c>
      <c r="I18" s="1883">
        <v>0.32</v>
      </c>
      <c r="J18" s="1883">
        <v>0</v>
      </c>
      <c r="K18" s="1883">
        <v>0</v>
      </c>
      <c r="L18" s="1883">
        <v>16.536000000000001</v>
      </c>
      <c r="M18" s="1883">
        <v>24.527000000000001</v>
      </c>
      <c r="N18" s="1883">
        <v>10.558999999999999</v>
      </c>
      <c r="O18" s="1883">
        <v>49.74</v>
      </c>
      <c r="P18" s="1883">
        <v>0.54500000000000004</v>
      </c>
      <c r="Q18" s="1883">
        <v>2.9562339999999998</v>
      </c>
      <c r="R18" s="1883">
        <v>17.373000000000001</v>
      </c>
      <c r="S18" s="1883">
        <v>1.375</v>
      </c>
      <c r="T18" s="1883">
        <v>138.32</v>
      </c>
      <c r="U18" s="2578">
        <v>54</v>
      </c>
      <c r="V18" s="1884">
        <f t="shared" si="0"/>
        <v>332.26323400000001</v>
      </c>
      <c r="W18" s="1949"/>
      <c r="Z18" s="1946"/>
      <c r="AA18" s="1946"/>
      <c r="AB18" s="1946"/>
    </row>
    <row r="19" spans="2:28" ht="15.75">
      <c r="B19" s="1959" t="s">
        <v>155</v>
      </c>
      <c r="C19" s="1960">
        <v>19</v>
      </c>
      <c r="D19" s="1960">
        <v>8</v>
      </c>
      <c r="E19" s="1885">
        <v>6971.1459999999997</v>
      </c>
      <c r="F19" s="1882">
        <v>5.468</v>
      </c>
      <c r="G19" s="1883">
        <v>2.9460000000000002</v>
      </c>
      <c r="H19" s="1883">
        <v>17.056999999999999</v>
      </c>
      <c r="I19" s="1883">
        <v>0</v>
      </c>
      <c r="J19" s="1883">
        <v>5.1999999999999998E-2</v>
      </c>
      <c r="K19" s="1883">
        <v>0</v>
      </c>
      <c r="L19" s="1883">
        <v>13.132999999999999</v>
      </c>
      <c r="M19" s="1883">
        <v>20.419</v>
      </c>
      <c r="N19" s="1883">
        <v>8.5370000000000008</v>
      </c>
      <c r="O19" s="1883">
        <v>36.270000000000003</v>
      </c>
      <c r="P19" s="1883">
        <v>0.25700000000000001</v>
      </c>
      <c r="Q19" s="1883">
        <v>6.0000000000000001E-3</v>
      </c>
      <c r="R19" s="1883">
        <v>18.524000000000001</v>
      </c>
      <c r="S19" s="1883">
        <v>0.39900000000000002</v>
      </c>
      <c r="T19" s="1883">
        <v>170.34899999999999</v>
      </c>
      <c r="U19" s="2578">
        <v>67</v>
      </c>
      <c r="V19" s="1884">
        <f t="shared" si="0"/>
        <v>360.41700000000003</v>
      </c>
      <c r="W19" s="1949"/>
      <c r="Z19" s="1946"/>
      <c r="AA19" s="1946"/>
      <c r="AB19" s="1946"/>
    </row>
    <row r="20" spans="2:28" ht="15.75">
      <c r="B20" s="1959" t="s">
        <v>156</v>
      </c>
      <c r="C20" s="1960">
        <v>30</v>
      </c>
      <c r="D20" s="1960">
        <v>18</v>
      </c>
      <c r="E20" s="1885">
        <v>7858.2510000000002</v>
      </c>
      <c r="F20" s="1882">
        <v>5.4480000000000004</v>
      </c>
      <c r="G20" s="1883">
        <v>3.1030000000000002</v>
      </c>
      <c r="H20" s="1883">
        <v>22.96</v>
      </c>
      <c r="I20" s="1883">
        <v>1.1319999999999999</v>
      </c>
      <c r="J20" s="1883">
        <v>0</v>
      </c>
      <c r="K20" s="1883">
        <v>0</v>
      </c>
      <c r="L20" s="1883">
        <v>15.87</v>
      </c>
      <c r="M20" s="1883">
        <v>20.748999999999999</v>
      </c>
      <c r="N20" s="1883">
        <v>9.6790000000000003</v>
      </c>
      <c r="O20" s="1883">
        <v>43.34</v>
      </c>
      <c r="P20" s="1883">
        <v>0</v>
      </c>
      <c r="Q20" s="1883">
        <v>5.0000000000000001E-3</v>
      </c>
      <c r="R20" s="1883">
        <v>19.376999999999999</v>
      </c>
      <c r="S20" s="1883">
        <v>2.2989999999999999</v>
      </c>
      <c r="T20" s="1883">
        <v>217.12</v>
      </c>
      <c r="U20" s="2578">
        <v>82</v>
      </c>
      <c r="V20" s="1884">
        <f t="shared" si="0"/>
        <v>443.08199999999999</v>
      </c>
      <c r="W20" s="1949"/>
      <c r="Z20" s="1946"/>
      <c r="AA20" s="1946"/>
      <c r="AB20" s="1946"/>
    </row>
    <row r="21" spans="2:28" ht="16.5" thickBot="1">
      <c r="B21" s="1959" t="s">
        <v>157</v>
      </c>
      <c r="C21" s="1960">
        <v>19</v>
      </c>
      <c r="D21" s="1960">
        <v>18</v>
      </c>
      <c r="E21" s="1885">
        <v>8664.7759999999998</v>
      </c>
      <c r="F21" s="1889">
        <v>6.2220000000000004</v>
      </c>
      <c r="G21" s="1890">
        <v>3.1059999999999999</v>
      </c>
      <c r="H21" s="1890">
        <v>29.777000000000001</v>
      </c>
      <c r="I21" s="1890">
        <v>1.04</v>
      </c>
      <c r="J21" s="1890">
        <v>0</v>
      </c>
      <c r="K21" s="1890">
        <v>0</v>
      </c>
      <c r="L21" s="1890">
        <v>19.966000000000001</v>
      </c>
      <c r="M21" s="1890">
        <v>19.152999999999999</v>
      </c>
      <c r="N21" s="1890">
        <v>10.891999999999999</v>
      </c>
      <c r="O21" s="1890">
        <v>53.03</v>
      </c>
      <c r="P21" s="1890">
        <v>0</v>
      </c>
      <c r="Q21" s="1890">
        <v>5.0000000000000001E-3</v>
      </c>
      <c r="R21" s="1890">
        <v>19.882000000000001</v>
      </c>
      <c r="S21" s="1890">
        <v>2.2210000000000001</v>
      </c>
      <c r="T21" s="1890">
        <v>289.49700000000001</v>
      </c>
      <c r="U21" s="2579">
        <v>95</v>
      </c>
      <c r="V21" s="1884">
        <f t="shared" si="0"/>
        <v>549.79100000000005</v>
      </c>
      <c r="W21" s="1949"/>
      <c r="Z21" s="1946"/>
      <c r="AA21" s="1946"/>
      <c r="AB21" s="1946"/>
    </row>
    <row r="22" spans="2:28" ht="16.5" thickBot="1">
      <c r="B22" s="1963" t="s">
        <v>282</v>
      </c>
      <c r="C22" s="1964"/>
      <c r="D22" s="1965"/>
      <c r="E22" s="1938">
        <f t="shared" ref="E22:U22" si="1">SUM(E10:E21)</f>
        <v>99591.64499999999</v>
      </c>
      <c r="F22" s="1897">
        <f t="shared" si="1"/>
        <v>69.821999999999989</v>
      </c>
      <c r="G22" s="1896">
        <f t="shared" si="1"/>
        <v>38.631000000000007</v>
      </c>
      <c r="H22" s="1896">
        <f t="shared" si="1"/>
        <v>215.60500000000002</v>
      </c>
      <c r="I22" s="1896">
        <f t="shared" si="1"/>
        <v>7.8939999999999992</v>
      </c>
      <c r="J22" s="1896">
        <f t="shared" si="1"/>
        <v>1.9690000000000001</v>
      </c>
      <c r="K22" s="1896"/>
      <c r="L22" s="1896">
        <f t="shared" si="1"/>
        <v>166.26900000000001</v>
      </c>
      <c r="M22" s="1896">
        <f t="shared" si="1"/>
        <v>264.03900000000004</v>
      </c>
      <c r="N22" s="1896">
        <f t="shared" si="1"/>
        <v>116.896</v>
      </c>
      <c r="O22" s="1896">
        <f t="shared" si="1"/>
        <v>523.87</v>
      </c>
      <c r="P22" s="1896">
        <f t="shared" si="1"/>
        <v>3.7079999999999997</v>
      </c>
      <c r="Q22" s="1896">
        <f t="shared" si="1"/>
        <v>15.876198200000003</v>
      </c>
      <c r="R22" s="1896">
        <f t="shared" si="1"/>
        <v>194.90800000000002</v>
      </c>
      <c r="S22" s="1896">
        <f t="shared" si="1"/>
        <v>19.809999999999999</v>
      </c>
      <c r="T22" s="1896">
        <f t="shared" si="1"/>
        <v>1153.9860000000001</v>
      </c>
      <c r="U22" s="1896">
        <f t="shared" si="1"/>
        <v>430</v>
      </c>
      <c r="V22" s="1938">
        <f>SUM(F22:U22)</f>
        <v>3223.2831981999998</v>
      </c>
      <c r="W22" s="1966"/>
      <c r="Z22" s="1946"/>
      <c r="AA22" s="1946"/>
      <c r="AB22" s="1946"/>
    </row>
    <row r="25" spans="2:28" ht="15.75" thickBot="1">
      <c r="T25" s="1968"/>
    </row>
    <row r="26" spans="2:28" ht="16.5" thickBot="1">
      <c r="B26" s="1850"/>
      <c r="C26" s="1906"/>
      <c r="D26" s="1950"/>
      <c r="E26" s="2709" t="s">
        <v>810</v>
      </c>
      <c r="F26" s="2710"/>
      <c r="G26" s="2710"/>
      <c r="H26" s="2710"/>
      <c r="I26" s="2710"/>
      <c r="J26" s="2711"/>
      <c r="T26" s="1968"/>
    </row>
    <row r="27" spans="2:28" ht="16.5" thickBot="1">
      <c r="B27" s="1873" t="s">
        <v>328</v>
      </c>
      <c r="C27" s="1847"/>
      <c r="D27" s="1874"/>
      <c r="E27" s="1859" t="s">
        <v>797</v>
      </c>
      <c r="F27" s="1860" t="s">
        <v>796</v>
      </c>
      <c r="G27" s="1860" t="s">
        <v>795</v>
      </c>
      <c r="H27" s="1860" t="s">
        <v>794</v>
      </c>
      <c r="I27" s="1861"/>
      <c r="J27" s="1858" t="s">
        <v>793</v>
      </c>
    </row>
    <row r="28" spans="2:28" ht="47.25" customHeight="1">
      <c r="B28" s="1953" t="s">
        <v>749</v>
      </c>
      <c r="C28" s="1862"/>
      <c r="D28" s="1862"/>
      <c r="E28" s="1864" t="s">
        <v>783</v>
      </c>
      <c r="F28" s="1865" t="s">
        <v>782</v>
      </c>
      <c r="G28" s="1865" t="s">
        <v>781</v>
      </c>
      <c r="H28" s="1865" t="s">
        <v>1720</v>
      </c>
      <c r="I28" s="1865" t="s">
        <v>954</v>
      </c>
      <c r="J28" s="1952"/>
    </row>
    <row r="29" spans="2:28" ht="15.75">
      <c r="B29" s="1955" t="s">
        <v>468</v>
      </c>
      <c r="C29" s="1869"/>
      <c r="D29" s="1869"/>
      <c r="E29" s="1871" t="s">
        <v>777</v>
      </c>
      <c r="F29" s="1867" t="s">
        <v>777</v>
      </c>
      <c r="G29" s="1867" t="s">
        <v>777</v>
      </c>
      <c r="H29" s="1867" t="s">
        <v>777</v>
      </c>
      <c r="I29" s="1867" t="s">
        <v>777</v>
      </c>
      <c r="J29" s="1868" t="s">
        <v>776</v>
      </c>
    </row>
    <row r="30" spans="2:28" ht="16.5" customHeight="1" thickBot="1">
      <c r="B30" s="1957" t="s">
        <v>741</v>
      </c>
      <c r="C30" s="1958" t="s">
        <v>813</v>
      </c>
      <c r="D30" s="1958" t="s">
        <v>812</v>
      </c>
      <c r="E30" s="1876" t="s">
        <v>764</v>
      </c>
      <c r="F30" s="1877" t="s">
        <v>763</v>
      </c>
      <c r="G30" s="1877" t="s">
        <v>762</v>
      </c>
      <c r="H30" s="1877" t="s">
        <v>1867</v>
      </c>
      <c r="I30" s="1877" t="s">
        <v>955</v>
      </c>
      <c r="J30" s="1879"/>
    </row>
    <row r="31" spans="2:28" ht="15.75">
      <c r="B31" s="1959" t="s">
        <v>147</v>
      </c>
      <c r="C31" s="1969">
        <f t="shared" ref="C31:D42" si="2">C10</f>
        <v>4</v>
      </c>
      <c r="D31" s="1970">
        <f t="shared" si="2"/>
        <v>18</v>
      </c>
      <c r="E31" s="2587">
        <v>413.01100000000002</v>
      </c>
      <c r="F31" s="2588">
        <v>84.668000000000006</v>
      </c>
      <c r="G31" s="2588">
        <v>64.978999999999999</v>
      </c>
      <c r="H31" s="2588">
        <v>349</v>
      </c>
      <c r="I31" s="1881">
        <v>0</v>
      </c>
      <c r="J31" s="1884">
        <f t="shared" ref="J31:J42" si="3">SUM(E31:I31)</f>
        <v>911.65800000000002</v>
      </c>
    </row>
    <row r="32" spans="2:28" ht="15.75">
      <c r="B32" s="1959" t="s">
        <v>148</v>
      </c>
      <c r="C32" s="1969">
        <f t="shared" si="2"/>
        <v>2</v>
      </c>
      <c r="D32" s="1970">
        <f t="shared" si="2"/>
        <v>8</v>
      </c>
      <c r="E32" s="1885">
        <v>386.81799999999998</v>
      </c>
      <c r="F32" s="1881">
        <v>66.914000000000001</v>
      </c>
      <c r="G32" s="1881">
        <v>87.924999999999997</v>
      </c>
      <c r="H32" s="1881">
        <v>350</v>
      </c>
      <c r="I32" s="1881">
        <v>0</v>
      </c>
      <c r="J32" s="1884">
        <f t="shared" si="3"/>
        <v>891.65699999999993</v>
      </c>
      <c r="L32" s="436"/>
      <c r="M32" s="436"/>
      <c r="N32" s="436"/>
      <c r="O32" s="321"/>
      <c r="P32" s="321"/>
      <c r="Q32" s="321"/>
      <c r="R32" s="321"/>
      <c r="S32" s="321"/>
      <c r="T32" s="321"/>
      <c r="U32" s="321"/>
      <c r="V32" s="321"/>
      <c r="W32" s="321"/>
      <c r="X32" s="321"/>
      <c r="Y32" s="321"/>
      <c r="Z32" s="321"/>
    </row>
    <row r="33" spans="2:26" ht="15.75">
      <c r="B33" s="1959" t="s">
        <v>352</v>
      </c>
      <c r="C33" s="1969">
        <f t="shared" si="2"/>
        <v>29</v>
      </c>
      <c r="D33" s="1970">
        <f t="shared" si="2"/>
        <v>8</v>
      </c>
      <c r="E33" s="1885">
        <v>331.16399999999999</v>
      </c>
      <c r="F33" s="1881">
        <v>76.995000000000005</v>
      </c>
      <c r="G33" s="1881">
        <v>95.296000000000006</v>
      </c>
      <c r="H33" s="1881">
        <v>257</v>
      </c>
      <c r="I33" s="1881">
        <v>0</v>
      </c>
      <c r="J33" s="1884">
        <f t="shared" si="3"/>
        <v>760.45499999999993</v>
      </c>
      <c r="M33" s="436"/>
      <c r="N33" s="436"/>
      <c r="O33" s="321"/>
      <c r="P33" s="321"/>
      <c r="Q33" s="321"/>
      <c r="R33" s="321"/>
      <c r="S33" s="321"/>
      <c r="T33" s="321"/>
      <c r="U33" s="321"/>
      <c r="V33" s="321"/>
      <c r="W33" s="321"/>
      <c r="X33" s="321"/>
      <c r="Y33" s="321"/>
      <c r="Z33" s="321"/>
    </row>
    <row r="34" spans="2:26" ht="15.75">
      <c r="B34" s="1959" t="s">
        <v>143</v>
      </c>
      <c r="C34" s="1969">
        <f t="shared" si="2"/>
        <v>14</v>
      </c>
      <c r="D34" s="1970">
        <f t="shared" si="2"/>
        <v>10</v>
      </c>
      <c r="E34" s="1885">
        <v>360.83600000000001</v>
      </c>
      <c r="F34" s="1881">
        <v>77.381</v>
      </c>
      <c r="G34" s="1881">
        <v>113.496</v>
      </c>
      <c r="H34" s="1881">
        <v>246</v>
      </c>
      <c r="I34" s="1881">
        <v>0</v>
      </c>
      <c r="J34" s="1884">
        <f t="shared" si="3"/>
        <v>797.71299999999997</v>
      </c>
    </row>
    <row r="35" spans="2:26" ht="15.75">
      <c r="B35" s="1959" t="s">
        <v>144</v>
      </c>
      <c r="C35" s="1969">
        <f t="shared" si="2"/>
        <v>31</v>
      </c>
      <c r="D35" s="1970">
        <f t="shared" si="2"/>
        <v>17</v>
      </c>
      <c r="E35" s="1885">
        <v>456.851</v>
      </c>
      <c r="F35" s="1881">
        <v>56.256999999999998</v>
      </c>
      <c r="G35" s="1881">
        <v>127.43300000000001</v>
      </c>
      <c r="H35" s="1881">
        <v>286</v>
      </c>
      <c r="I35" s="1881">
        <v>0</v>
      </c>
      <c r="J35" s="1884">
        <f t="shared" si="3"/>
        <v>926.54099999999994</v>
      </c>
    </row>
    <row r="36" spans="2:26" ht="15.75">
      <c r="B36" s="1959" t="s">
        <v>151</v>
      </c>
      <c r="C36" s="1969">
        <f t="shared" si="2"/>
        <v>28</v>
      </c>
      <c r="D36" s="1970">
        <f t="shared" si="2"/>
        <v>16</v>
      </c>
      <c r="E36" s="1885">
        <v>697.27499999999998</v>
      </c>
      <c r="F36" s="1881">
        <v>125.938</v>
      </c>
      <c r="G36" s="1881">
        <v>98.903999999999996</v>
      </c>
      <c r="H36" s="1881">
        <v>307</v>
      </c>
      <c r="I36" s="1881">
        <v>0</v>
      </c>
      <c r="J36" s="1884">
        <f t="shared" si="3"/>
        <v>1229.117</v>
      </c>
    </row>
    <row r="37" spans="2:26" ht="15.75">
      <c r="B37" s="1959" t="s">
        <v>740</v>
      </c>
      <c r="C37" s="1969">
        <f t="shared" si="2"/>
        <v>28</v>
      </c>
      <c r="D37" s="1970">
        <f t="shared" si="2"/>
        <v>17</v>
      </c>
      <c r="E37" s="1885">
        <v>783.94</v>
      </c>
      <c r="F37" s="1881">
        <v>173.46899999999999</v>
      </c>
      <c r="G37" s="1881">
        <v>114.768</v>
      </c>
      <c r="H37" s="1881">
        <v>320</v>
      </c>
      <c r="I37" s="1881">
        <v>0</v>
      </c>
      <c r="J37" s="1884">
        <f t="shared" si="3"/>
        <v>1392.1770000000001</v>
      </c>
    </row>
    <row r="38" spans="2:26" ht="15.75">
      <c r="B38" s="1959" t="s">
        <v>153</v>
      </c>
      <c r="C38" s="1969">
        <f t="shared" si="2"/>
        <v>16</v>
      </c>
      <c r="D38" s="1970">
        <f t="shared" si="2"/>
        <v>17</v>
      </c>
      <c r="E38" s="1885">
        <v>741.70699999999999</v>
      </c>
      <c r="F38" s="1881">
        <v>150.643</v>
      </c>
      <c r="G38" s="1881">
        <v>111.21</v>
      </c>
      <c r="H38" s="1881">
        <v>335</v>
      </c>
      <c r="I38" s="1881">
        <v>0</v>
      </c>
      <c r="J38" s="1884">
        <f t="shared" si="3"/>
        <v>1338.56</v>
      </c>
    </row>
    <row r="39" spans="2:26" ht="15.75">
      <c r="B39" s="1959" t="s">
        <v>739</v>
      </c>
      <c r="C39" s="1969">
        <f t="shared" si="2"/>
        <v>1</v>
      </c>
      <c r="D39" s="1970">
        <f t="shared" si="2"/>
        <v>15</v>
      </c>
      <c r="E39" s="1885">
        <v>643.58600000000001</v>
      </c>
      <c r="F39" s="1881">
        <v>110.747</v>
      </c>
      <c r="G39" s="1881">
        <v>93.991</v>
      </c>
      <c r="H39" s="1881">
        <v>271</v>
      </c>
      <c r="I39" s="1881">
        <v>0</v>
      </c>
      <c r="J39" s="1884">
        <f t="shared" si="3"/>
        <v>1119.3240000000001</v>
      </c>
    </row>
    <row r="40" spans="2:26" ht="15.75">
      <c r="B40" s="1959" t="s">
        <v>155</v>
      </c>
      <c r="C40" s="1969">
        <f t="shared" si="2"/>
        <v>19</v>
      </c>
      <c r="D40" s="1970">
        <f t="shared" si="2"/>
        <v>8</v>
      </c>
      <c r="E40" s="1885">
        <v>339.221</v>
      </c>
      <c r="F40" s="1881">
        <v>60.686</v>
      </c>
      <c r="G40" s="1881">
        <v>66.94</v>
      </c>
      <c r="H40" s="1881">
        <v>231</v>
      </c>
      <c r="I40" s="1881">
        <v>0</v>
      </c>
      <c r="J40" s="1884">
        <f t="shared" si="3"/>
        <v>697.84699999999998</v>
      </c>
    </row>
    <row r="41" spans="2:26" ht="15.75">
      <c r="B41" s="1959" t="s">
        <v>156</v>
      </c>
      <c r="C41" s="1969">
        <f t="shared" si="2"/>
        <v>30</v>
      </c>
      <c r="D41" s="1970">
        <f t="shared" si="2"/>
        <v>18</v>
      </c>
      <c r="E41" s="1885">
        <v>382.42599999999999</v>
      </c>
      <c r="F41" s="1881">
        <v>85.816000000000003</v>
      </c>
      <c r="G41" s="1881">
        <v>72.200999999999993</v>
      </c>
      <c r="H41" s="1881">
        <v>336</v>
      </c>
      <c r="I41" s="1881">
        <v>0</v>
      </c>
      <c r="J41" s="1884">
        <f t="shared" si="3"/>
        <v>876.44299999999998</v>
      </c>
    </row>
    <row r="42" spans="2:26" ht="16.5" thickBot="1">
      <c r="B42" s="1959" t="s">
        <v>157</v>
      </c>
      <c r="C42" s="1969">
        <f t="shared" si="2"/>
        <v>19</v>
      </c>
      <c r="D42" s="1970">
        <f t="shared" si="2"/>
        <v>18</v>
      </c>
      <c r="E42" s="1885">
        <v>444.71800000000002</v>
      </c>
      <c r="F42" s="1881">
        <v>85.772000000000006</v>
      </c>
      <c r="G42" s="1881">
        <v>49.453000000000003</v>
      </c>
      <c r="H42" s="1881">
        <v>317</v>
      </c>
      <c r="I42" s="1971">
        <v>0</v>
      </c>
      <c r="J42" s="1884">
        <f t="shared" si="3"/>
        <v>896.94299999999998</v>
      </c>
    </row>
    <row r="43" spans="2:26" ht="16.5" thickBot="1">
      <c r="B43" s="1963" t="s">
        <v>282</v>
      </c>
      <c r="C43" s="1964"/>
      <c r="D43" s="1965"/>
      <c r="E43" s="1904">
        <f t="shared" ref="E43:J43" si="4">SUM(E31:E42)</f>
        <v>5981.5529999999999</v>
      </c>
      <c r="F43" s="1903">
        <f t="shared" si="4"/>
        <v>1155.2859999999998</v>
      </c>
      <c r="G43" s="1903">
        <f t="shared" si="4"/>
        <v>1096.596</v>
      </c>
      <c r="H43" s="1903">
        <f t="shared" si="4"/>
        <v>3605</v>
      </c>
      <c r="I43" s="1903">
        <f t="shared" si="4"/>
        <v>0</v>
      </c>
      <c r="J43" s="1938">
        <f t="shared" si="4"/>
        <v>11838.434999999999</v>
      </c>
    </row>
  </sheetData>
  <mergeCells count="2">
    <mergeCell ref="E5:S5"/>
    <mergeCell ref="E26:J26"/>
  </mergeCells>
  <pageMargins left="0.7" right="0.7" top="0.75" bottom="0.75" header="0.3" footer="0.3"/>
  <pageSetup scale="5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O53"/>
  <sheetViews>
    <sheetView zoomScaleNormal="100" workbookViewId="0"/>
  </sheetViews>
  <sheetFormatPr defaultRowHeight="15.75"/>
  <cols>
    <col min="1" max="1" width="4.7109375" style="1843" customWidth="1"/>
    <col min="2" max="2" width="14.28515625" style="1843" customWidth="1"/>
    <col min="3" max="4" width="6" style="1843" customWidth="1"/>
    <col min="5" max="7" width="11.5703125" style="1843" customWidth="1"/>
    <col min="8" max="8" width="12.85546875" style="1843" customWidth="1"/>
    <col min="9" max="20" width="11.5703125" style="1843" customWidth="1"/>
    <col min="21" max="22" width="9.85546875" style="1843" bestFit="1" customWidth="1"/>
    <col min="23" max="23" width="8.7109375" style="1843" bestFit="1" customWidth="1"/>
    <col min="24" max="24" width="9.42578125" style="1843" customWidth="1"/>
    <col min="25" max="25" width="16.7109375" style="1843" customWidth="1"/>
    <col min="26" max="26" width="9.42578125" style="1843" bestFit="1" customWidth="1"/>
    <col min="27" max="27" width="11.85546875" style="1843" bestFit="1" customWidth="1"/>
    <col min="28" max="28" width="7.140625" style="1852" bestFit="1" customWidth="1"/>
    <col min="29" max="29" width="14" style="1843" customWidth="1"/>
    <col min="30" max="30" width="4.28515625" style="1843" customWidth="1"/>
    <col min="31" max="16384" width="9.140625" style="1843"/>
  </cols>
  <sheetData>
    <row r="1" spans="1:41" ht="16.5" customHeight="1">
      <c r="A1" s="1839"/>
      <c r="B1" s="1942" t="s">
        <v>365</v>
      </c>
      <c r="C1" s="1943"/>
      <c r="D1" s="1942"/>
      <c r="E1" s="1944"/>
      <c r="F1" s="1944"/>
      <c r="G1" s="1944"/>
      <c r="H1" s="1944"/>
      <c r="I1" s="1944"/>
      <c r="J1" s="1944"/>
      <c r="K1" s="1944"/>
      <c r="L1" s="1944"/>
      <c r="M1" s="1944"/>
      <c r="N1" s="1944"/>
      <c r="O1" s="1944"/>
      <c r="P1" s="1944"/>
      <c r="Q1" s="1944"/>
      <c r="R1" s="1944"/>
      <c r="S1" s="1944"/>
      <c r="T1" s="1945"/>
      <c r="U1" s="1944"/>
      <c r="V1" s="436"/>
      <c r="W1" s="436"/>
      <c r="X1" s="436"/>
      <c r="Y1" s="436"/>
      <c r="Z1" s="436"/>
      <c r="AA1" s="436"/>
      <c r="AB1" s="436"/>
      <c r="AC1" s="436"/>
      <c r="AD1" s="436"/>
      <c r="AE1" s="436"/>
      <c r="AF1" s="436"/>
      <c r="AG1" s="436"/>
      <c r="AH1" s="436"/>
      <c r="AI1" s="436"/>
      <c r="AJ1" s="436"/>
      <c r="AK1" s="436"/>
      <c r="AL1" s="436"/>
      <c r="AM1" s="436"/>
      <c r="AN1" s="436"/>
      <c r="AO1" s="436"/>
    </row>
    <row r="2" spans="1:41" ht="16.5" customHeight="1">
      <c r="A2" s="1844"/>
      <c r="B2" s="1942" t="s">
        <v>1948</v>
      </c>
      <c r="C2" s="1942"/>
      <c r="D2" s="1942"/>
      <c r="E2" s="1944"/>
      <c r="F2" s="1944"/>
      <c r="G2" s="1944"/>
      <c r="H2" s="1944"/>
      <c r="I2" s="1944"/>
      <c r="J2" s="1944"/>
      <c r="K2" s="1944"/>
      <c r="L2" s="1944"/>
      <c r="M2" s="1944"/>
      <c r="N2" s="1944"/>
      <c r="O2" s="1947"/>
      <c r="P2" s="1947"/>
      <c r="Q2" s="1944"/>
      <c r="R2" s="1944"/>
      <c r="S2" s="1944"/>
      <c r="T2" s="1945"/>
      <c r="U2" s="1944"/>
      <c r="V2" s="436"/>
      <c r="W2" s="436"/>
      <c r="X2" s="436"/>
      <c r="Y2" s="436"/>
      <c r="Z2" s="436"/>
      <c r="AA2" s="436"/>
      <c r="AB2" s="436"/>
      <c r="AC2" s="436"/>
      <c r="AD2" s="436"/>
      <c r="AE2" s="436"/>
      <c r="AF2" s="436"/>
      <c r="AG2" s="436"/>
      <c r="AH2" s="436"/>
      <c r="AI2" s="436"/>
      <c r="AJ2" s="436"/>
      <c r="AK2" s="436"/>
      <c r="AL2" s="436"/>
      <c r="AM2" s="436"/>
      <c r="AN2" s="436"/>
      <c r="AO2" s="436"/>
    </row>
    <row r="3" spans="1:41" ht="16.5" customHeight="1">
      <c r="A3" s="1839"/>
      <c r="B3" s="437"/>
      <c r="C3" s="437"/>
      <c r="D3" s="437"/>
      <c r="E3" s="437"/>
      <c r="F3" s="437"/>
      <c r="G3" s="437"/>
      <c r="H3" s="437"/>
      <c r="I3" s="437"/>
      <c r="J3" s="437"/>
      <c r="K3" s="1948">
        <v>2015</v>
      </c>
      <c r="L3" s="436"/>
      <c r="M3" s="1946"/>
      <c r="N3" s="437"/>
      <c r="O3" s="832"/>
      <c r="P3" s="832"/>
      <c r="Q3" s="437"/>
      <c r="R3" s="437"/>
      <c r="S3" s="437"/>
      <c r="T3" s="437"/>
      <c r="U3" s="437"/>
      <c r="V3" s="436"/>
      <c r="W3" s="436"/>
      <c r="X3" s="436"/>
      <c r="Y3" s="436"/>
      <c r="Z3" s="436"/>
      <c r="AA3" s="436"/>
      <c r="AB3" s="436"/>
      <c r="AC3" s="436"/>
      <c r="AD3" s="436"/>
      <c r="AE3" s="436"/>
      <c r="AF3" s="436"/>
      <c r="AG3" s="436"/>
      <c r="AH3" s="436"/>
      <c r="AI3" s="436"/>
      <c r="AJ3" s="436"/>
      <c r="AK3" s="436"/>
      <c r="AL3" s="436"/>
      <c r="AM3" s="436"/>
      <c r="AN3" s="436"/>
      <c r="AO3" s="436"/>
    </row>
    <row r="4" spans="1:41" ht="16.5" customHeight="1" thickBot="1">
      <c r="C4" s="1847"/>
      <c r="D4" s="1847"/>
      <c r="V4" s="436"/>
      <c r="W4" s="436"/>
      <c r="X4" s="436"/>
      <c r="Y4" s="436"/>
      <c r="Z4" s="436"/>
      <c r="AA4" s="436"/>
      <c r="AB4" s="436"/>
      <c r="AC4" s="436"/>
      <c r="AD4" s="436"/>
      <c r="AE4" s="436"/>
      <c r="AF4" s="436"/>
      <c r="AG4" s="436"/>
      <c r="AH4" s="436"/>
      <c r="AI4" s="436"/>
      <c r="AJ4" s="436"/>
      <c r="AK4" s="436"/>
      <c r="AL4" s="436"/>
      <c r="AM4" s="436"/>
      <c r="AN4" s="436"/>
      <c r="AO4" s="436"/>
    </row>
    <row r="5" spans="1:41" ht="16.5" customHeight="1" thickBot="1">
      <c r="B5" s="1850"/>
      <c r="C5" s="1851"/>
      <c r="D5" s="1851"/>
      <c r="E5" s="2709" t="s">
        <v>811</v>
      </c>
      <c r="F5" s="2710"/>
      <c r="G5" s="2710"/>
      <c r="H5" s="2710"/>
      <c r="I5" s="2710"/>
      <c r="J5" s="2710"/>
      <c r="K5" s="2710"/>
      <c r="L5" s="2710"/>
      <c r="M5" s="2710"/>
      <c r="N5" s="2710"/>
      <c r="O5" s="2710"/>
      <c r="P5" s="2710"/>
      <c r="Q5" s="2710"/>
      <c r="R5" s="2710"/>
      <c r="S5" s="2711"/>
      <c r="U5" s="1852"/>
      <c r="V5" s="436"/>
      <c r="W5" s="436"/>
      <c r="X5" s="436"/>
      <c r="Y5" s="436"/>
      <c r="Z5" s="436"/>
      <c r="AA5" s="436"/>
      <c r="AB5" s="436"/>
      <c r="AC5" s="436"/>
      <c r="AD5" s="436"/>
      <c r="AE5" s="436"/>
      <c r="AF5" s="436"/>
      <c r="AG5" s="436"/>
      <c r="AH5" s="436"/>
      <c r="AI5" s="436"/>
      <c r="AJ5" s="436"/>
      <c r="AK5" s="436"/>
      <c r="AL5" s="436"/>
      <c r="AM5" s="436"/>
      <c r="AN5" s="436"/>
      <c r="AO5" s="436"/>
    </row>
    <row r="6" spans="1:41" ht="16.5" customHeight="1" thickBot="1">
      <c r="B6" s="1854" t="s">
        <v>328</v>
      </c>
      <c r="C6" s="1851"/>
      <c r="D6" s="1851"/>
      <c r="E6" s="1855"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60" t="s">
        <v>1653</v>
      </c>
      <c r="T6" s="1860" t="s">
        <v>1868</v>
      </c>
      <c r="U6" s="1860" t="s">
        <v>1869</v>
      </c>
      <c r="V6" s="1858" t="s">
        <v>397</v>
      </c>
      <c r="AB6" s="1843"/>
      <c r="AD6" s="1853"/>
      <c r="AE6" s="1852"/>
      <c r="AF6" s="1852"/>
    </row>
    <row r="7" spans="1:41" ht="47.25" customHeight="1">
      <c r="B7" s="1862" t="s">
        <v>749</v>
      </c>
      <c r="C7" s="1862"/>
      <c r="D7" s="1953"/>
      <c r="E7" s="1863" t="s">
        <v>365</v>
      </c>
      <c r="F7" s="1864" t="s">
        <v>792</v>
      </c>
      <c r="G7" s="1865" t="s">
        <v>791</v>
      </c>
      <c r="H7" s="1865" t="s">
        <v>1855</v>
      </c>
      <c r="I7" s="1865" t="s">
        <v>790</v>
      </c>
      <c r="J7" s="1865" t="s">
        <v>789</v>
      </c>
      <c r="K7" s="1865"/>
      <c r="L7" s="1865" t="s">
        <v>788</v>
      </c>
      <c r="M7" s="1865" t="s">
        <v>2107</v>
      </c>
      <c r="N7" s="1865" t="s">
        <v>787</v>
      </c>
      <c r="O7" s="1865" t="s">
        <v>786</v>
      </c>
      <c r="P7" s="1865" t="s">
        <v>785</v>
      </c>
      <c r="Q7" s="1865" t="s">
        <v>784</v>
      </c>
      <c r="R7" s="1865" t="s">
        <v>2108</v>
      </c>
      <c r="S7" s="1865" t="s">
        <v>1870</v>
      </c>
      <c r="T7" s="1865"/>
      <c r="U7" s="1865"/>
      <c r="V7" s="1866"/>
      <c r="AB7" s="1843"/>
      <c r="AD7" s="1853"/>
      <c r="AE7" s="1852"/>
      <c r="AF7" s="1852"/>
    </row>
    <row r="8" spans="1:41" ht="15.75" customHeight="1">
      <c r="B8" s="1869" t="s">
        <v>468</v>
      </c>
      <c r="C8" s="1869"/>
      <c r="D8" s="1955"/>
      <c r="E8" s="1870" t="s">
        <v>780</v>
      </c>
      <c r="F8" s="1871" t="s">
        <v>779</v>
      </c>
      <c r="G8" s="1867" t="s">
        <v>779</v>
      </c>
      <c r="H8" s="1867" t="s">
        <v>779</v>
      </c>
      <c r="I8" s="1867" t="s">
        <v>779</v>
      </c>
      <c r="J8" s="1867" t="s">
        <v>779</v>
      </c>
      <c r="K8" s="1867"/>
      <c r="L8" s="1867" t="s">
        <v>779</v>
      </c>
      <c r="M8" s="1867" t="s">
        <v>779</v>
      </c>
      <c r="N8" s="1867" t="s">
        <v>779</v>
      </c>
      <c r="O8" s="1867" t="s">
        <v>779</v>
      </c>
      <c r="P8" s="1867" t="s">
        <v>779</v>
      </c>
      <c r="Q8" s="1867" t="s">
        <v>779</v>
      </c>
      <c r="R8" s="1867" t="s">
        <v>779</v>
      </c>
      <c r="S8" s="1867" t="s">
        <v>779</v>
      </c>
      <c r="T8" s="1867"/>
      <c r="U8" s="1867"/>
      <c r="V8" s="1872" t="s">
        <v>778</v>
      </c>
      <c r="W8" s="1852"/>
      <c r="AB8" s="1843"/>
      <c r="AD8" s="1852"/>
    </row>
    <row r="9" spans="1:41" ht="16.5" customHeight="1" thickBot="1">
      <c r="B9" s="1873" t="s">
        <v>741</v>
      </c>
      <c r="C9" s="1958" t="s">
        <v>813</v>
      </c>
      <c r="D9" s="1958" t="s">
        <v>812</v>
      </c>
      <c r="E9" s="1875">
        <v>0</v>
      </c>
      <c r="F9" s="1876" t="s">
        <v>774</v>
      </c>
      <c r="G9" s="1877" t="s">
        <v>773</v>
      </c>
      <c r="H9" s="1877" t="s">
        <v>2109</v>
      </c>
      <c r="I9" s="1877" t="s">
        <v>772</v>
      </c>
      <c r="J9" s="1877" t="s">
        <v>771</v>
      </c>
      <c r="K9" s="1877"/>
      <c r="L9" s="1877" t="s">
        <v>770</v>
      </c>
      <c r="M9" s="1877" t="s">
        <v>769</v>
      </c>
      <c r="N9" s="1877" t="s">
        <v>768</v>
      </c>
      <c r="O9" s="1877" t="s">
        <v>767</v>
      </c>
      <c r="P9" s="1877" t="s">
        <v>766</v>
      </c>
      <c r="Q9" s="1877" t="s">
        <v>765</v>
      </c>
      <c r="R9" s="1877" t="s">
        <v>1568</v>
      </c>
      <c r="S9" s="1877" t="s">
        <v>1857</v>
      </c>
      <c r="T9" s="1877"/>
      <c r="U9" s="1877"/>
      <c r="V9" s="1878"/>
      <c r="W9" s="1852"/>
      <c r="AB9" s="1843"/>
      <c r="AD9" s="1852"/>
    </row>
    <row r="10" spans="1:41">
      <c r="B10" s="1854" t="s">
        <v>147</v>
      </c>
      <c r="C10" s="2638">
        <v>2</v>
      </c>
      <c r="D10" s="2639">
        <v>18</v>
      </c>
      <c r="E10" s="1881">
        <v>8308.6720000000005</v>
      </c>
      <c r="F10" s="2575">
        <v>4.5449999999999999</v>
      </c>
      <c r="G10" s="2576">
        <v>3.3580000000000001</v>
      </c>
      <c r="H10" s="2576">
        <v>25.207999999999998</v>
      </c>
      <c r="I10" s="2576">
        <v>1.4039999999999999</v>
      </c>
      <c r="J10" s="2576">
        <v>0.34599999999999997</v>
      </c>
      <c r="K10" s="2576">
        <v>0</v>
      </c>
      <c r="L10" s="2576">
        <v>25.824000000000002</v>
      </c>
      <c r="M10" s="2576">
        <v>16.471</v>
      </c>
      <c r="N10" s="2576">
        <v>0.29299999999999998</v>
      </c>
      <c r="O10" s="2576">
        <v>43.89</v>
      </c>
      <c r="P10" s="2576">
        <v>5.0000000000000001E-3</v>
      </c>
      <c r="Q10" s="2576">
        <v>2E-3</v>
      </c>
      <c r="R10" s="2576">
        <v>5.141</v>
      </c>
      <c r="S10" s="2576">
        <v>3.0710000000000002</v>
      </c>
      <c r="T10" s="2576">
        <v>0</v>
      </c>
      <c r="U10" s="2577">
        <v>0</v>
      </c>
      <c r="V10" s="1884">
        <f>SUM(F10:U10)</f>
        <v>129.55800000000002</v>
      </c>
      <c r="W10" s="1852"/>
      <c r="AB10" s="1843"/>
      <c r="AD10" s="1886"/>
    </row>
    <row r="11" spans="1:41">
      <c r="B11" s="1854" t="s">
        <v>148</v>
      </c>
      <c r="C11" s="1960">
        <v>23</v>
      </c>
      <c r="D11" s="1961">
        <v>8</v>
      </c>
      <c r="E11" s="1881">
        <v>8038.3180000000002</v>
      </c>
      <c r="F11" s="1882">
        <v>5.8070000000000004</v>
      </c>
      <c r="G11" s="1883">
        <v>3.173</v>
      </c>
      <c r="H11" s="1883">
        <v>26.384</v>
      </c>
      <c r="I11" s="1883">
        <v>1.167</v>
      </c>
      <c r="J11" s="1883">
        <v>0.34599999999999997</v>
      </c>
      <c r="K11" s="1883">
        <v>0</v>
      </c>
      <c r="L11" s="1883">
        <v>45.856000000000002</v>
      </c>
      <c r="M11" s="1883">
        <v>15.177</v>
      </c>
      <c r="N11" s="1883">
        <v>0.38200000000000001</v>
      </c>
      <c r="O11" s="1883">
        <v>47.78</v>
      </c>
      <c r="P11" s="1883">
        <v>5.0000000000000001E-3</v>
      </c>
      <c r="Q11" s="1883">
        <v>1E-3</v>
      </c>
      <c r="R11" s="1883">
        <v>11.627000000000001</v>
      </c>
      <c r="S11" s="1883">
        <v>2.8639999999999999</v>
      </c>
      <c r="T11" s="1883">
        <v>0</v>
      </c>
      <c r="U11" s="2578">
        <v>0</v>
      </c>
      <c r="V11" s="1884">
        <f t="shared" ref="V11:V21" si="0">SUM(F11:U11)</f>
        <v>160.56900000000002</v>
      </c>
      <c r="W11" s="1852"/>
      <c r="AB11" s="1843"/>
      <c r="AD11" s="1886"/>
    </row>
    <row r="12" spans="1:41">
      <c r="B12" s="1854" t="s">
        <v>352</v>
      </c>
      <c r="C12" s="1960">
        <v>4</v>
      </c>
      <c r="D12" s="1961">
        <v>8</v>
      </c>
      <c r="E12" s="1881">
        <v>7837</v>
      </c>
      <c r="F12" s="1882">
        <v>6.1159999999999997</v>
      </c>
      <c r="G12" s="1883">
        <v>3.0129999999999999</v>
      </c>
      <c r="H12" s="1883">
        <v>27.314</v>
      </c>
      <c r="I12" s="1883">
        <v>1.19</v>
      </c>
      <c r="J12" s="1883">
        <v>0.34599999999999997</v>
      </c>
      <c r="K12" s="1883">
        <v>0</v>
      </c>
      <c r="L12" s="1883">
        <v>27.593</v>
      </c>
      <c r="M12" s="1883">
        <v>14.991</v>
      </c>
      <c r="N12" s="1883">
        <v>1.0309999999999999</v>
      </c>
      <c r="O12" s="1883">
        <v>47.76</v>
      </c>
      <c r="P12" s="1883">
        <v>5.0000000000000001E-3</v>
      </c>
      <c r="Q12" s="1883">
        <v>0</v>
      </c>
      <c r="R12" s="1883">
        <v>6.383</v>
      </c>
      <c r="S12" s="1883">
        <v>2.76</v>
      </c>
      <c r="T12" s="1883">
        <v>0</v>
      </c>
      <c r="U12" s="2578">
        <v>0</v>
      </c>
      <c r="V12" s="1884">
        <f t="shared" si="0"/>
        <v>138.50199999999998</v>
      </c>
      <c r="W12" s="1852"/>
      <c r="AB12" s="1843"/>
      <c r="AD12" s="1886"/>
    </row>
    <row r="13" spans="1:41">
      <c r="B13" s="1854" t="s">
        <v>143</v>
      </c>
      <c r="C13" s="1960">
        <v>15</v>
      </c>
      <c r="D13" s="1961">
        <v>8</v>
      </c>
      <c r="E13" s="1881">
        <v>7417.098</v>
      </c>
      <c r="F13" s="1882">
        <v>5.069</v>
      </c>
      <c r="G13" s="1883">
        <v>3.1909999999999998</v>
      </c>
      <c r="H13" s="1883">
        <v>24.542999999999999</v>
      </c>
      <c r="I13" s="1883">
        <v>0.73399999999999999</v>
      </c>
      <c r="J13" s="1883">
        <v>0</v>
      </c>
      <c r="K13" s="1883">
        <v>0</v>
      </c>
      <c r="L13" s="1883">
        <v>24.305</v>
      </c>
      <c r="M13" s="1883">
        <v>16.850999999999999</v>
      </c>
      <c r="N13" s="1883">
        <v>0.25700000000000001</v>
      </c>
      <c r="O13" s="1883">
        <v>36.270000000000003</v>
      </c>
      <c r="P13" s="1883">
        <v>0.17100000000000001</v>
      </c>
      <c r="Q13" s="1883">
        <v>1.6679999999999999</v>
      </c>
      <c r="R13" s="1883">
        <v>7.7629999999999999</v>
      </c>
      <c r="S13" s="1883">
        <v>0.54</v>
      </c>
      <c r="T13" s="1883">
        <v>0</v>
      </c>
      <c r="U13" s="2578">
        <v>0</v>
      </c>
      <c r="V13" s="1884">
        <f t="shared" si="0"/>
        <v>121.36200000000002</v>
      </c>
      <c r="W13" s="1852"/>
      <c r="AB13" s="1843"/>
      <c r="AD13" s="1886"/>
    </row>
    <row r="14" spans="1:41">
      <c r="A14" s="1880"/>
      <c r="B14" s="1854" t="s">
        <v>144</v>
      </c>
      <c r="C14" s="1960">
        <v>31</v>
      </c>
      <c r="D14" s="1961">
        <v>18</v>
      </c>
      <c r="E14" s="1881">
        <v>7490.848</v>
      </c>
      <c r="F14" s="1882">
        <v>4.0579999999999998</v>
      </c>
      <c r="G14" s="1883">
        <v>3.2</v>
      </c>
      <c r="H14" s="1883">
        <v>12.801</v>
      </c>
      <c r="I14" s="1883">
        <v>0.27700000000000002</v>
      </c>
      <c r="J14" s="1883">
        <v>0.42399999999999999</v>
      </c>
      <c r="K14" s="1883">
        <v>0</v>
      </c>
      <c r="L14" s="1883">
        <v>16.385999999999999</v>
      </c>
      <c r="M14" s="1883">
        <v>18.623000000000001</v>
      </c>
      <c r="N14" s="1883">
        <v>0.247</v>
      </c>
      <c r="O14" s="1883">
        <v>33.729999999999997</v>
      </c>
      <c r="P14" s="1883">
        <v>0.34200000000000003</v>
      </c>
      <c r="Q14" s="1883">
        <v>0.71499999999999997</v>
      </c>
      <c r="R14" s="1883">
        <v>7.694</v>
      </c>
      <c r="S14" s="1883">
        <v>2.1640000000000001</v>
      </c>
      <c r="T14" s="1883">
        <v>0</v>
      </c>
      <c r="U14" s="2578">
        <v>0</v>
      </c>
      <c r="V14" s="1884">
        <f t="shared" si="0"/>
        <v>100.66100000000002</v>
      </c>
      <c r="W14" s="1852"/>
      <c r="AB14" s="1843"/>
      <c r="AD14" s="1886"/>
    </row>
    <row r="15" spans="1:41">
      <c r="B15" s="1854" t="s">
        <v>151</v>
      </c>
      <c r="C15" s="1960">
        <v>29</v>
      </c>
      <c r="D15" s="1961">
        <v>16</v>
      </c>
      <c r="E15" s="1881">
        <v>10618.344999999999</v>
      </c>
      <c r="F15" s="1882">
        <v>5.3979999999999997</v>
      </c>
      <c r="G15" s="1883">
        <v>3.4239999999999999</v>
      </c>
      <c r="H15" s="1883">
        <v>13.75</v>
      </c>
      <c r="I15" s="1883">
        <v>0.36699999999999999</v>
      </c>
      <c r="J15" s="1883">
        <v>0.28599999999999998</v>
      </c>
      <c r="K15" s="1883">
        <v>0</v>
      </c>
      <c r="L15" s="1883">
        <v>39.664999999999999</v>
      </c>
      <c r="M15" s="1883">
        <v>21.957999999999998</v>
      </c>
      <c r="N15" s="1883">
        <v>0.23200000000000001</v>
      </c>
      <c r="O15" s="1883">
        <v>57.49</v>
      </c>
      <c r="P15" s="1883">
        <v>0.17799999999999999</v>
      </c>
      <c r="Q15" s="1883">
        <v>3.4740000000000002</v>
      </c>
      <c r="R15" s="1883">
        <v>8.5909999999999993</v>
      </c>
      <c r="S15" s="1883">
        <v>4.0019999999999998</v>
      </c>
      <c r="T15" s="1883">
        <v>0</v>
      </c>
      <c r="U15" s="2578">
        <v>0</v>
      </c>
      <c r="V15" s="1884">
        <f t="shared" si="0"/>
        <v>158.815</v>
      </c>
      <c r="W15" s="1852"/>
      <c r="AB15" s="1843"/>
      <c r="AD15" s="1886"/>
    </row>
    <row r="16" spans="1:41">
      <c r="B16" s="1854" t="s">
        <v>740</v>
      </c>
      <c r="C16" s="1960">
        <v>2</v>
      </c>
      <c r="D16" s="1961">
        <v>16</v>
      </c>
      <c r="E16" s="1881">
        <v>10480.882</v>
      </c>
      <c r="F16" s="1882">
        <v>5.0709999999999997</v>
      </c>
      <c r="G16" s="1883">
        <v>3.7280000000000002</v>
      </c>
      <c r="H16" s="1883">
        <v>15.643000000000001</v>
      </c>
      <c r="I16" s="1883">
        <v>0.38</v>
      </c>
      <c r="J16" s="1883">
        <v>2.5999999999999999E-2</v>
      </c>
      <c r="K16" s="1883">
        <v>0</v>
      </c>
      <c r="L16" s="1883">
        <v>32.115000000000002</v>
      </c>
      <c r="M16" s="1883">
        <v>22.428000000000001</v>
      </c>
      <c r="N16" s="1883">
        <v>0.20799999999999999</v>
      </c>
      <c r="O16" s="1883">
        <v>48.63</v>
      </c>
      <c r="P16" s="1883">
        <v>0.61299999999999999</v>
      </c>
      <c r="Q16" s="1883">
        <v>3.2810000000000001</v>
      </c>
      <c r="R16" s="1883">
        <v>8.5570000000000004</v>
      </c>
      <c r="S16" s="1883">
        <v>3.03</v>
      </c>
      <c r="T16" s="1883">
        <v>0</v>
      </c>
      <c r="U16" s="2578">
        <v>0</v>
      </c>
      <c r="V16" s="1884">
        <f t="shared" si="0"/>
        <v>143.71</v>
      </c>
      <c r="W16" s="1852"/>
      <c r="AB16" s="1843"/>
      <c r="AD16" s="1886"/>
    </row>
    <row r="17" spans="1:33">
      <c r="B17" s="1854" t="s">
        <v>153</v>
      </c>
      <c r="C17" s="1960">
        <v>13</v>
      </c>
      <c r="D17" s="1961">
        <v>16</v>
      </c>
      <c r="E17" s="1881">
        <v>9603.4359999999997</v>
      </c>
      <c r="F17" s="1882">
        <v>6.6630000000000003</v>
      </c>
      <c r="G17" s="1883">
        <v>3.1110000000000002</v>
      </c>
      <c r="H17" s="1883">
        <v>12.595000000000001</v>
      </c>
      <c r="I17" s="1883">
        <v>0.34300000000000003</v>
      </c>
      <c r="J17" s="1883">
        <v>0.251</v>
      </c>
      <c r="K17" s="1883">
        <v>0</v>
      </c>
      <c r="L17" s="1883">
        <v>29.085000000000001</v>
      </c>
      <c r="M17" s="1883">
        <v>20.791</v>
      </c>
      <c r="N17" s="1883">
        <v>0.23899999999999999</v>
      </c>
      <c r="O17" s="1883">
        <v>57.19</v>
      </c>
      <c r="P17" s="1883">
        <v>0.621</v>
      </c>
      <c r="Q17" s="1883">
        <v>3.024</v>
      </c>
      <c r="R17" s="1883">
        <v>9.2119999999999997</v>
      </c>
      <c r="S17" s="1883">
        <v>2.907</v>
      </c>
      <c r="T17" s="1883">
        <v>0</v>
      </c>
      <c r="U17" s="2578">
        <v>0</v>
      </c>
      <c r="V17" s="1884">
        <f t="shared" si="0"/>
        <v>146.03200000000001</v>
      </c>
      <c r="W17" s="1852"/>
      <c r="AB17" s="1843"/>
      <c r="AD17" s="1886"/>
    </row>
    <row r="18" spans="1:33">
      <c r="B18" s="1854" t="s">
        <v>739</v>
      </c>
      <c r="C18" s="1960">
        <v>1</v>
      </c>
      <c r="D18" s="1961">
        <v>16</v>
      </c>
      <c r="E18" s="1881">
        <v>8712.0159999999996</v>
      </c>
      <c r="F18" s="1882">
        <v>6.4249999999999998</v>
      </c>
      <c r="G18" s="1883">
        <v>2.847</v>
      </c>
      <c r="H18" s="1883">
        <v>10.065</v>
      </c>
      <c r="I18" s="1883">
        <v>0.31900000000000001</v>
      </c>
      <c r="J18" s="1883">
        <v>0</v>
      </c>
      <c r="K18" s="1883">
        <v>0</v>
      </c>
      <c r="L18" s="1883">
        <v>24.678000000000001</v>
      </c>
      <c r="M18" s="1883">
        <v>20.329999999999998</v>
      </c>
      <c r="N18" s="1883">
        <v>0.20399999999999999</v>
      </c>
      <c r="O18" s="1883">
        <v>50.72</v>
      </c>
      <c r="P18" s="1883">
        <v>0.50800000000000001</v>
      </c>
      <c r="Q18" s="1883">
        <v>2.7189999999999999</v>
      </c>
      <c r="R18" s="1883">
        <v>9.3849999999999998</v>
      </c>
      <c r="S18" s="1883">
        <v>2.65</v>
      </c>
      <c r="T18" s="1883">
        <v>0</v>
      </c>
      <c r="U18" s="2578">
        <v>0</v>
      </c>
      <c r="V18" s="1884">
        <f t="shared" si="0"/>
        <v>130.85</v>
      </c>
      <c r="W18" s="1852"/>
      <c r="AB18" s="1843"/>
      <c r="AD18" s="1886"/>
    </row>
    <row r="19" spans="1:33">
      <c r="B19" s="1854" t="s">
        <v>155</v>
      </c>
      <c r="C19" s="1960">
        <v>1</v>
      </c>
      <c r="D19" s="1961">
        <v>17</v>
      </c>
      <c r="E19" s="1881">
        <v>7823.7619999999997</v>
      </c>
      <c r="F19" s="1882">
        <v>4.8949999999999996</v>
      </c>
      <c r="G19" s="1883">
        <v>2.7869999999999999</v>
      </c>
      <c r="H19" s="1883">
        <v>10.167</v>
      </c>
      <c r="I19" s="1883">
        <v>0.27700000000000002</v>
      </c>
      <c r="J19" s="1883">
        <v>0.42399999999999999</v>
      </c>
      <c r="K19" s="1883">
        <v>0</v>
      </c>
      <c r="L19" s="1883">
        <v>16.858000000000001</v>
      </c>
      <c r="M19" s="1883">
        <v>19.352</v>
      </c>
      <c r="N19" s="1883">
        <v>0.66800000000000004</v>
      </c>
      <c r="O19" s="1883">
        <v>32.1</v>
      </c>
      <c r="P19" s="1883">
        <v>0.26500000000000001</v>
      </c>
      <c r="Q19" s="1883">
        <v>1.9830000000000001</v>
      </c>
      <c r="R19" s="1883">
        <v>10.426</v>
      </c>
      <c r="S19" s="1883">
        <v>2.496</v>
      </c>
      <c r="T19" s="1883">
        <v>0</v>
      </c>
      <c r="U19" s="2578">
        <v>0</v>
      </c>
      <c r="V19" s="1884">
        <f t="shared" si="0"/>
        <v>102.69800000000001</v>
      </c>
      <c r="W19" s="1852"/>
      <c r="AB19" s="1843"/>
      <c r="AD19" s="1886"/>
    </row>
    <row r="20" spans="1:33">
      <c r="B20" s="1854" t="s">
        <v>156</v>
      </c>
      <c r="C20" s="1960">
        <v>30</v>
      </c>
      <c r="D20" s="1961">
        <v>18</v>
      </c>
      <c r="E20" s="1881">
        <v>8549.6419999999998</v>
      </c>
      <c r="F20" s="1882">
        <v>5.49</v>
      </c>
      <c r="G20" s="1883">
        <v>2.9830000000000001</v>
      </c>
      <c r="H20" s="1883">
        <v>26.513000000000002</v>
      </c>
      <c r="I20" s="1883">
        <v>1.0489999999999999</v>
      </c>
      <c r="J20" s="1883">
        <v>0.35499999999999998</v>
      </c>
      <c r="K20" s="1883">
        <v>0</v>
      </c>
      <c r="L20" s="1883">
        <v>26.914000000000001</v>
      </c>
      <c r="M20" s="1883">
        <v>17.739000000000001</v>
      </c>
      <c r="N20" s="1883">
        <v>0.28199999999999997</v>
      </c>
      <c r="O20" s="1883">
        <v>46.65</v>
      </c>
      <c r="P20" s="1883">
        <v>5.0000000000000001E-3</v>
      </c>
      <c r="Q20" s="1883">
        <v>4.0000000000000001E-3</v>
      </c>
      <c r="R20" s="1883">
        <v>11.603999999999999</v>
      </c>
      <c r="S20" s="1883">
        <v>2.2989999999999999</v>
      </c>
      <c r="T20" s="1883">
        <v>0</v>
      </c>
      <c r="U20" s="2578">
        <v>0</v>
      </c>
      <c r="V20" s="1884">
        <f t="shared" si="0"/>
        <v>141.887</v>
      </c>
      <c r="W20" s="1852"/>
      <c r="AB20" s="1843"/>
      <c r="AD20" s="1886"/>
    </row>
    <row r="21" spans="1:33" ht="16.5" thickBot="1">
      <c r="B21" s="1873" t="s">
        <v>157</v>
      </c>
      <c r="C21" s="1972">
        <v>28</v>
      </c>
      <c r="D21" s="1973">
        <v>18</v>
      </c>
      <c r="E21" s="1881">
        <v>8289.6980000000003</v>
      </c>
      <c r="F21" s="1889">
        <v>5.4260000000000002</v>
      </c>
      <c r="G21" s="1890">
        <v>3.274</v>
      </c>
      <c r="H21" s="1890">
        <v>25.344000000000001</v>
      </c>
      <c r="I21" s="1890">
        <v>1.486</v>
      </c>
      <c r="J21" s="1890">
        <v>0.33800000000000002</v>
      </c>
      <c r="K21" s="1890">
        <v>0</v>
      </c>
      <c r="L21" s="1890">
        <v>29.545000000000002</v>
      </c>
      <c r="M21" s="1890">
        <v>15.5</v>
      </c>
      <c r="N21" s="1890">
        <v>0.25700000000000001</v>
      </c>
      <c r="O21" s="1890">
        <v>44.74</v>
      </c>
      <c r="P21" s="1890">
        <v>4.0000000000000001E-3</v>
      </c>
      <c r="Q21" s="1890">
        <v>5.0000000000000001E-3</v>
      </c>
      <c r="R21" s="1890">
        <v>11.779</v>
      </c>
      <c r="S21" s="1890">
        <v>2.4009999999999998</v>
      </c>
      <c r="T21" s="1890">
        <v>0</v>
      </c>
      <c r="U21" s="2579">
        <v>0</v>
      </c>
      <c r="V21" s="1884">
        <f t="shared" si="0"/>
        <v>140.09900000000002</v>
      </c>
      <c r="W21" s="1852"/>
      <c r="AB21" s="1843"/>
      <c r="AD21" s="1886"/>
    </row>
    <row r="22" spans="1:33" ht="16.5" thickBot="1">
      <c r="A22" s="1852"/>
      <c r="B22" s="1893" t="s">
        <v>282</v>
      </c>
      <c r="C22" s="1894"/>
      <c r="D22" s="1895"/>
      <c r="E22" s="1938">
        <f t="shared" ref="E22:S22" si="1">SUM(E10:E21)</f>
        <v>103169.717</v>
      </c>
      <c r="F22" s="1897">
        <f t="shared" si="1"/>
        <v>64.962999999999994</v>
      </c>
      <c r="G22" s="1896">
        <f t="shared" si="1"/>
        <v>38.088999999999999</v>
      </c>
      <c r="H22" s="1896">
        <f t="shared" si="1"/>
        <v>230.327</v>
      </c>
      <c r="I22" s="1896">
        <f t="shared" si="1"/>
        <v>8.9930000000000003</v>
      </c>
      <c r="J22" s="1896">
        <f t="shared" si="1"/>
        <v>3.1419999999999999</v>
      </c>
      <c r="K22" s="1896"/>
      <c r="L22" s="1896">
        <f t="shared" si="1"/>
        <v>338.82400000000001</v>
      </c>
      <c r="M22" s="1896">
        <f t="shared" si="1"/>
        <v>220.21100000000001</v>
      </c>
      <c r="N22" s="1896">
        <f t="shared" si="1"/>
        <v>4.3</v>
      </c>
      <c r="O22" s="1896">
        <f t="shared" si="1"/>
        <v>546.95000000000005</v>
      </c>
      <c r="P22" s="1896">
        <f t="shared" si="1"/>
        <v>2.722</v>
      </c>
      <c r="Q22" s="1896">
        <f t="shared" si="1"/>
        <v>16.875999999999998</v>
      </c>
      <c r="R22" s="1896">
        <f t="shared" si="1"/>
        <v>108.16200000000001</v>
      </c>
      <c r="S22" s="1896">
        <f t="shared" si="1"/>
        <v>31.183999999999997</v>
      </c>
      <c r="T22" s="1896"/>
      <c r="U22" s="1896"/>
      <c r="V22" s="1938">
        <f>SUM(F22:S22)</f>
        <v>1614.7429999999999</v>
      </c>
      <c r="W22" s="1852"/>
      <c r="AB22" s="1843"/>
      <c r="AD22" s="1886"/>
      <c r="AG22" s="1898"/>
    </row>
    <row r="23" spans="1:33">
      <c r="A23" s="1852"/>
      <c r="B23" s="1974"/>
      <c r="C23" s="1974"/>
      <c r="D23" s="1974"/>
      <c r="E23" s="1886"/>
      <c r="F23" s="1905"/>
      <c r="G23" s="1886"/>
      <c r="H23" s="1886"/>
      <c r="I23" s="1886"/>
      <c r="J23" s="1886"/>
      <c r="K23" s="1886"/>
      <c r="L23" s="1886"/>
      <c r="M23" s="1886"/>
      <c r="N23" s="1886"/>
      <c r="O23" s="1886"/>
      <c r="P23" s="1886"/>
      <c r="Q23" s="1886"/>
      <c r="R23" s="1886"/>
      <c r="S23" s="1886"/>
      <c r="T23" s="1905"/>
      <c r="U23" s="1852"/>
      <c r="V23" s="1886"/>
      <c r="W23" s="1886"/>
      <c r="X23" s="1886"/>
      <c r="Y23" s="1886"/>
      <c r="Z23" s="1886"/>
      <c r="AA23" s="1905"/>
      <c r="AB23" s="1905"/>
    </row>
    <row r="24" spans="1:33">
      <c r="A24" s="1852"/>
      <c r="B24" s="1974"/>
      <c r="C24" s="1974"/>
      <c r="D24" s="1974"/>
      <c r="E24" s="1886"/>
      <c r="F24" s="1905"/>
      <c r="G24" s="1886"/>
      <c r="H24" s="1886"/>
      <c r="I24" s="1886"/>
      <c r="J24" s="1886"/>
      <c r="K24" s="1886"/>
      <c r="L24" s="1886"/>
      <c r="M24" s="1886"/>
      <c r="N24" s="1886"/>
      <c r="O24" s="1886"/>
      <c r="P24" s="1886"/>
      <c r="Q24" s="1886"/>
      <c r="R24" s="1886"/>
      <c r="S24" s="1886"/>
      <c r="T24" s="1905"/>
      <c r="U24" s="1852"/>
      <c r="V24" s="1886"/>
      <c r="W24" s="1886"/>
      <c r="X24" s="1886"/>
      <c r="Y24" s="1886"/>
      <c r="Z24" s="1886"/>
      <c r="AA24" s="1905"/>
      <c r="AB24" s="1905"/>
    </row>
    <row r="25" spans="1:33" ht="16.5" thickBot="1">
      <c r="A25" s="1852"/>
      <c r="B25" s="1974"/>
      <c r="C25" s="1974"/>
      <c r="D25" s="1974"/>
      <c r="E25" s="1886"/>
      <c r="F25" s="1905"/>
      <c r="G25" s="1886"/>
      <c r="H25" s="1886"/>
      <c r="I25" s="1886"/>
      <c r="J25" s="1886"/>
      <c r="K25" s="1886"/>
      <c r="L25" s="1886"/>
      <c r="M25" s="1886"/>
      <c r="N25" s="1886"/>
      <c r="O25" s="1886"/>
      <c r="P25" s="1886"/>
      <c r="Q25" s="1886"/>
      <c r="R25" s="1886"/>
      <c r="S25" s="1886"/>
      <c r="T25" s="1905"/>
      <c r="U25" s="1852"/>
      <c r="V25" s="1886"/>
      <c r="W25" s="1886"/>
      <c r="X25" s="1886"/>
      <c r="Y25" s="1886"/>
      <c r="Z25" s="1886"/>
      <c r="AA25" s="1905"/>
      <c r="AB25" s="1905"/>
    </row>
    <row r="26" spans="1:33" ht="16.5" thickBot="1">
      <c r="A26" s="1852"/>
      <c r="B26" s="1850"/>
      <c r="C26" s="1906"/>
      <c r="D26" s="1950"/>
      <c r="E26" s="2709" t="s">
        <v>810</v>
      </c>
      <c r="F26" s="2710"/>
      <c r="G26" s="2710"/>
      <c r="H26" s="2710"/>
      <c r="I26" s="2710"/>
      <c r="J26" s="2711"/>
      <c r="K26" s="1886"/>
      <c r="L26" s="1886"/>
      <c r="M26" s="1886"/>
      <c r="N26" s="1886"/>
      <c r="O26" s="1886"/>
      <c r="P26" s="1886"/>
      <c r="Q26" s="1886"/>
      <c r="R26" s="1886"/>
      <c r="S26" s="1886"/>
      <c r="T26" s="1905"/>
      <c r="U26" s="1852"/>
      <c r="V26" s="1886"/>
      <c r="W26" s="1886"/>
      <c r="X26" s="1886"/>
      <c r="Y26" s="1886"/>
      <c r="Z26" s="1886"/>
      <c r="AA26" s="1905"/>
      <c r="AB26" s="1905"/>
    </row>
    <row r="27" spans="1:33" ht="16.5" thickBot="1">
      <c r="A27" s="1852"/>
      <c r="B27" s="1873" t="s">
        <v>328</v>
      </c>
      <c r="C27" s="1847"/>
      <c r="D27" s="1874"/>
      <c r="E27" s="1859" t="s">
        <v>797</v>
      </c>
      <c r="F27" s="1860" t="s">
        <v>796</v>
      </c>
      <c r="G27" s="1860" t="s">
        <v>795</v>
      </c>
      <c r="H27" s="1860" t="s">
        <v>794</v>
      </c>
      <c r="I27" s="1861"/>
      <c r="J27" s="1858" t="s">
        <v>793</v>
      </c>
      <c r="K27" s="1886"/>
      <c r="L27" s="1886"/>
      <c r="M27" s="1886"/>
      <c r="N27" s="1886"/>
      <c r="O27" s="1886"/>
      <c r="P27" s="1886"/>
      <c r="Q27" s="1886"/>
      <c r="R27" s="1886"/>
      <c r="S27" s="1886"/>
      <c r="T27" s="1905"/>
      <c r="U27" s="1852"/>
      <c r="V27" s="1886"/>
      <c r="W27" s="1886"/>
      <c r="X27" s="1886"/>
      <c r="Y27" s="1886"/>
      <c r="Z27" s="1886"/>
      <c r="AA27" s="1905"/>
      <c r="AB27" s="1905"/>
    </row>
    <row r="28" spans="1:33" ht="47.25">
      <c r="A28" s="1852"/>
      <c r="B28" s="1953" t="s">
        <v>749</v>
      </c>
      <c r="C28" s="1862"/>
      <c r="D28" s="1862"/>
      <c r="E28" s="1864" t="s">
        <v>783</v>
      </c>
      <c r="F28" s="1865" t="s">
        <v>782</v>
      </c>
      <c r="G28" s="1865" t="s">
        <v>781</v>
      </c>
      <c r="H28" s="1865" t="s">
        <v>1720</v>
      </c>
      <c r="I28" s="1865"/>
      <c r="J28" s="1868"/>
      <c r="K28" s="1886"/>
      <c r="L28" s="1886"/>
      <c r="M28" s="1886"/>
      <c r="N28" s="1886"/>
      <c r="O28" s="1886"/>
      <c r="P28" s="1886"/>
      <c r="Q28" s="1886"/>
      <c r="R28" s="1886"/>
      <c r="S28" s="1886"/>
      <c r="T28" s="1905"/>
      <c r="U28" s="1852"/>
      <c r="V28" s="1886"/>
      <c r="W28" s="1886"/>
      <c r="X28" s="1886"/>
      <c r="Y28" s="1886"/>
      <c r="Z28" s="1886"/>
      <c r="AA28" s="1905"/>
      <c r="AB28" s="1905"/>
    </row>
    <row r="29" spans="1:33">
      <c r="A29" s="1852"/>
      <c r="B29" s="1955" t="s">
        <v>468</v>
      </c>
      <c r="C29" s="1869"/>
      <c r="D29" s="1869"/>
      <c r="E29" s="1871" t="s">
        <v>777</v>
      </c>
      <c r="F29" s="1867" t="s">
        <v>777</v>
      </c>
      <c r="G29" s="1867" t="s">
        <v>777</v>
      </c>
      <c r="H29" s="1867" t="s">
        <v>777</v>
      </c>
      <c r="I29" s="1867"/>
      <c r="J29" s="1868" t="s">
        <v>776</v>
      </c>
      <c r="K29" s="1886"/>
      <c r="L29" s="1886"/>
      <c r="M29" s="1886"/>
      <c r="N29" s="1886"/>
      <c r="O29" s="1886"/>
      <c r="P29" s="1886"/>
      <c r="Q29" s="1886"/>
      <c r="R29" s="1886"/>
      <c r="S29" s="1886"/>
      <c r="T29" s="1905"/>
      <c r="U29" s="1852"/>
      <c r="V29" s="1886"/>
      <c r="W29" s="1886"/>
      <c r="X29" s="1886"/>
      <c r="Y29" s="1886"/>
      <c r="Z29" s="1886"/>
      <c r="AA29" s="1905"/>
      <c r="AB29" s="1905"/>
    </row>
    <row r="30" spans="1:33" ht="16.5" customHeight="1" thickBot="1">
      <c r="A30" s="1852"/>
      <c r="B30" s="1957" t="s">
        <v>741</v>
      </c>
      <c r="C30" s="1958" t="s">
        <v>813</v>
      </c>
      <c r="D30" s="1958" t="s">
        <v>812</v>
      </c>
      <c r="E30" s="1876" t="s">
        <v>764</v>
      </c>
      <c r="F30" s="1877" t="s">
        <v>763</v>
      </c>
      <c r="G30" s="1877" t="s">
        <v>762</v>
      </c>
      <c r="H30" s="1877" t="s">
        <v>2426</v>
      </c>
      <c r="I30" s="1877"/>
      <c r="J30" s="1879"/>
      <c r="K30" s="1886"/>
      <c r="L30" s="1886"/>
      <c r="M30" s="1886"/>
      <c r="N30" s="1886"/>
      <c r="O30" s="1886"/>
      <c r="P30" s="1886"/>
      <c r="Q30" s="1886"/>
      <c r="R30" s="1886"/>
      <c r="S30" s="1886"/>
      <c r="T30" s="1905"/>
      <c r="U30" s="1852"/>
      <c r="V30" s="1886"/>
      <c r="W30" s="1886"/>
      <c r="X30" s="1886"/>
      <c r="Y30" s="1886"/>
      <c r="Z30" s="1886"/>
      <c r="AA30" s="1905"/>
      <c r="AB30" s="1905"/>
    </row>
    <row r="31" spans="1:33">
      <c r="A31" s="1852"/>
      <c r="B31" s="1959" t="s">
        <v>147</v>
      </c>
      <c r="C31" s="1969">
        <f t="shared" ref="C31:D42" si="2">C10</f>
        <v>2</v>
      </c>
      <c r="D31" s="1970">
        <f t="shared" si="2"/>
        <v>18</v>
      </c>
      <c r="E31" s="2587">
        <v>377.42599999999999</v>
      </c>
      <c r="F31" s="2588">
        <v>92.850999999999999</v>
      </c>
      <c r="G31" s="2588">
        <v>79.233999999999995</v>
      </c>
      <c r="H31" s="2588">
        <v>338</v>
      </c>
      <c r="I31" s="2589"/>
      <c r="J31" s="1884">
        <f t="shared" ref="J31:J42" si="3">SUM(E31:I31)</f>
        <v>887.51099999999997</v>
      </c>
      <c r="K31" s="1886"/>
      <c r="L31" s="1886"/>
      <c r="M31" s="1886"/>
      <c r="N31" s="1886"/>
      <c r="O31" s="1886"/>
      <c r="P31" s="1886"/>
      <c r="Q31" s="1886"/>
      <c r="R31" s="1886"/>
      <c r="S31" s="1886"/>
      <c r="T31" s="1905"/>
      <c r="U31" s="1852"/>
      <c r="V31" s="1886"/>
      <c r="W31" s="1886"/>
      <c r="X31" s="1886"/>
      <c r="Y31" s="1886"/>
      <c r="Z31" s="1886"/>
      <c r="AA31" s="1905"/>
      <c r="AB31" s="1905"/>
    </row>
    <row r="32" spans="1:33">
      <c r="A32" s="1852"/>
      <c r="B32" s="1959" t="s">
        <v>148</v>
      </c>
      <c r="C32" s="1969">
        <f t="shared" si="2"/>
        <v>23</v>
      </c>
      <c r="D32" s="1970">
        <f t="shared" si="2"/>
        <v>8</v>
      </c>
      <c r="E32" s="1885">
        <v>325.55700000000002</v>
      </c>
      <c r="F32" s="1881">
        <v>73.662999999999997</v>
      </c>
      <c r="G32" s="1881">
        <v>76.718000000000004</v>
      </c>
      <c r="H32" s="1881">
        <v>252</v>
      </c>
      <c r="I32" s="1971"/>
      <c r="J32" s="1884">
        <f t="shared" si="3"/>
        <v>727.9380000000001</v>
      </c>
      <c r="K32" s="1886"/>
      <c r="L32" s="1886"/>
      <c r="M32" s="1886"/>
      <c r="N32" s="1886"/>
      <c r="O32" s="1886"/>
      <c r="P32" s="1886"/>
      <c r="Q32" s="1886"/>
      <c r="R32" s="1886"/>
      <c r="S32" s="1886"/>
      <c r="T32" s="1905"/>
      <c r="U32" s="1852"/>
      <c r="V32" s="1886"/>
      <c r="W32" s="1886"/>
      <c r="X32" s="1886"/>
      <c r="Y32" s="1886"/>
      <c r="Z32" s="1886"/>
      <c r="AA32" s="1905"/>
      <c r="AB32" s="1905"/>
    </row>
    <row r="33" spans="1:28">
      <c r="A33" s="1852"/>
      <c r="B33" s="1959" t="s">
        <v>352</v>
      </c>
      <c r="C33" s="1969">
        <f t="shared" si="2"/>
        <v>4</v>
      </c>
      <c r="D33" s="1970">
        <f t="shared" si="2"/>
        <v>8</v>
      </c>
      <c r="E33" s="1885">
        <v>358.38499999999999</v>
      </c>
      <c r="F33" s="1881">
        <v>64.653000000000006</v>
      </c>
      <c r="G33" s="1881">
        <v>67.653000000000006</v>
      </c>
      <c r="H33" s="1881">
        <v>267</v>
      </c>
      <c r="I33" s="1971"/>
      <c r="J33" s="1884">
        <f t="shared" si="3"/>
        <v>757.69100000000003</v>
      </c>
      <c r="K33" s="1886"/>
      <c r="L33" s="1886"/>
      <c r="M33" s="1886"/>
      <c r="N33" s="1886"/>
      <c r="O33" s="1886"/>
      <c r="P33" s="1886"/>
      <c r="Q33" s="1886"/>
      <c r="R33" s="1886"/>
      <c r="S33" s="1886"/>
      <c r="T33" s="1905"/>
      <c r="U33" s="1852"/>
      <c r="V33" s="1886"/>
      <c r="W33" s="1886"/>
      <c r="X33" s="1886"/>
      <c r="Y33" s="1886"/>
      <c r="Z33" s="1886"/>
      <c r="AA33" s="1905"/>
      <c r="AB33" s="1905"/>
    </row>
    <row r="34" spans="1:28">
      <c r="A34" s="1852"/>
      <c r="B34" s="1959" t="s">
        <v>143</v>
      </c>
      <c r="C34" s="1969">
        <f t="shared" si="2"/>
        <v>15</v>
      </c>
      <c r="D34" s="1970">
        <f t="shared" si="2"/>
        <v>8</v>
      </c>
      <c r="E34" s="1885">
        <v>365.40800000000002</v>
      </c>
      <c r="F34" s="1881">
        <v>39.247999999999998</v>
      </c>
      <c r="G34" s="1881">
        <v>89.186999999999998</v>
      </c>
      <c r="H34" s="1881">
        <v>209</v>
      </c>
      <c r="I34" s="1971"/>
      <c r="J34" s="1884">
        <f t="shared" si="3"/>
        <v>702.84300000000007</v>
      </c>
      <c r="K34" s="1886"/>
      <c r="L34" s="1886"/>
      <c r="M34" s="1886"/>
      <c r="N34" s="1886"/>
      <c r="O34" s="1886"/>
      <c r="P34" s="1886"/>
      <c r="Q34" s="1886"/>
      <c r="R34" s="1886"/>
      <c r="S34" s="1886"/>
      <c r="T34" s="1905"/>
      <c r="U34" s="1852"/>
      <c r="V34" s="1886"/>
      <c r="W34" s="1886"/>
      <c r="X34" s="1886"/>
      <c r="Y34" s="1886"/>
      <c r="Z34" s="1886"/>
      <c r="AA34" s="1905"/>
      <c r="AB34" s="1905"/>
    </row>
    <row r="35" spans="1:28">
      <c r="A35" s="1852"/>
      <c r="B35" s="1959" t="s">
        <v>144</v>
      </c>
      <c r="C35" s="1969">
        <f t="shared" si="2"/>
        <v>31</v>
      </c>
      <c r="D35" s="1970">
        <f t="shared" si="2"/>
        <v>18</v>
      </c>
      <c r="E35" s="1885">
        <v>394.19199999999995</v>
      </c>
      <c r="F35" s="1881">
        <v>77.587999999999994</v>
      </c>
      <c r="G35" s="1881">
        <v>98.71</v>
      </c>
      <c r="H35" s="1881">
        <v>282</v>
      </c>
      <c r="I35" s="1971"/>
      <c r="J35" s="1884">
        <f t="shared" si="3"/>
        <v>852.49</v>
      </c>
      <c r="K35" s="1886"/>
      <c r="L35" s="1886"/>
      <c r="M35" s="1886"/>
      <c r="N35" s="1886"/>
      <c r="O35" s="1886"/>
      <c r="P35" s="1886"/>
      <c r="Q35" s="1886"/>
      <c r="R35" s="1886"/>
      <c r="S35" s="1886"/>
      <c r="T35" s="1905"/>
      <c r="U35" s="1852"/>
      <c r="V35" s="1886"/>
      <c r="W35" s="1886"/>
      <c r="X35" s="1886"/>
      <c r="Y35" s="1886"/>
      <c r="Z35" s="1886"/>
      <c r="AA35" s="1905"/>
      <c r="AB35" s="1905"/>
    </row>
    <row r="36" spans="1:28">
      <c r="A36" s="1852"/>
      <c r="B36" s="1959" t="s">
        <v>151</v>
      </c>
      <c r="C36" s="1969">
        <f t="shared" si="2"/>
        <v>29</v>
      </c>
      <c r="D36" s="1970">
        <f t="shared" si="2"/>
        <v>16</v>
      </c>
      <c r="E36" s="1885">
        <v>786.76800000000003</v>
      </c>
      <c r="F36" s="1881">
        <v>171.80799999999999</v>
      </c>
      <c r="G36" s="1881">
        <v>170.30199999999999</v>
      </c>
      <c r="H36" s="1881">
        <v>321</v>
      </c>
      <c r="I36" s="1971"/>
      <c r="J36" s="1884">
        <f t="shared" si="3"/>
        <v>1449.8779999999999</v>
      </c>
      <c r="K36" s="1886"/>
      <c r="L36" s="1886"/>
      <c r="M36" s="1886"/>
      <c r="N36" s="1886"/>
      <c r="O36" s="1886"/>
      <c r="P36" s="1886"/>
      <c r="Q36" s="1886"/>
      <c r="R36" s="1886"/>
      <c r="S36" s="1886"/>
      <c r="T36" s="1905"/>
      <c r="U36" s="1852"/>
      <c r="V36" s="1886"/>
      <c r="W36" s="1886"/>
      <c r="X36" s="1886"/>
      <c r="Y36" s="1886"/>
      <c r="Z36" s="1886"/>
      <c r="AA36" s="1905"/>
      <c r="AB36" s="1905"/>
    </row>
    <row r="37" spans="1:28">
      <c r="A37" s="1852"/>
      <c r="B37" s="1959" t="s">
        <v>740</v>
      </c>
      <c r="C37" s="1969">
        <f t="shared" si="2"/>
        <v>2</v>
      </c>
      <c r="D37" s="1970">
        <f t="shared" si="2"/>
        <v>16</v>
      </c>
      <c r="E37" s="1885">
        <v>768.21800000000007</v>
      </c>
      <c r="F37" s="1881">
        <v>176.172</v>
      </c>
      <c r="G37" s="1881">
        <v>145.518</v>
      </c>
      <c r="H37" s="1881">
        <v>283</v>
      </c>
      <c r="I37" s="1971"/>
      <c r="J37" s="1884">
        <f t="shared" si="3"/>
        <v>1372.9080000000001</v>
      </c>
      <c r="K37" s="1886"/>
      <c r="L37" s="1886"/>
      <c r="M37" s="1886"/>
      <c r="N37" s="1886"/>
      <c r="O37" s="1886"/>
      <c r="P37" s="1886"/>
      <c r="Q37" s="1886"/>
      <c r="R37" s="1886"/>
      <c r="S37" s="1886"/>
      <c r="T37" s="1905"/>
      <c r="U37" s="1852"/>
      <c r="V37" s="1886"/>
      <c r="W37" s="1886"/>
      <c r="X37" s="1886"/>
      <c r="Y37" s="1886"/>
      <c r="Z37" s="1886"/>
      <c r="AA37" s="1905"/>
      <c r="AB37" s="1905"/>
    </row>
    <row r="38" spans="1:28">
      <c r="A38" s="1852"/>
      <c r="B38" s="1959" t="s">
        <v>153</v>
      </c>
      <c r="C38" s="1969">
        <f t="shared" si="2"/>
        <v>13</v>
      </c>
      <c r="D38" s="1970">
        <f t="shared" si="2"/>
        <v>16</v>
      </c>
      <c r="E38" s="1885">
        <v>696.63300000000004</v>
      </c>
      <c r="F38" s="1881">
        <v>143.78200000000001</v>
      </c>
      <c r="G38" s="1881">
        <v>138.87200000000001</v>
      </c>
      <c r="H38" s="1881">
        <v>344</v>
      </c>
      <c r="I38" s="1971"/>
      <c r="J38" s="1884">
        <f t="shared" si="3"/>
        <v>1323.287</v>
      </c>
      <c r="K38" s="1886"/>
      <c r="L38" s="1886"/>
      <c r="M38" s="1886"/>
      <c r="N38" s="1886"/>
      <c r="O38" s="1886"/>
      <c r="P38" s="1886"/>
      <c r="Q38" s="1886"/>
      <c r="R38" s="1886"/>
      <c r="S38" s="1886"/>
      <c r="T38" s="1905"/>
      <c r="U38" s="1852"/>
      <c r="V38" s="1886"/>
      <c r="W38" s="1886"/>
      <c r="X38" s="1886"/>
      <c r="Y38" s="1886"/>
      <c r="Z38" s="1886"/>
      <c r="AA38" s="1905"/>
      <c r="AB38" s="1905"/>
    </row>
    <row r="39" spans="1:28">
      <c r="A39" s="1852"/>
      <c r="B39" s="1959" t="s">
        <v>739</v>
      </c>
      <c r="C39" s="1969">
        <f t="shared" si="2"/>
        <v>1</v>
      </c>
      <c r="D39" s="1970">
        <f t="shared" si="2"/>
        <v>16</v>
      </c>
      <c r="E39" s="1885">
        <v>677.42699999999991</v>
      </c>
      <c r="F39" s="1881">
        <v>127.816</v>
      </c>
      <c r="G39" s="1881">
        <v>133.792</v>
      </c>
      <c r="H39" s="1881">
        <v>311</v>
      </c>
      <c r="I39" s="1971"/>
      <c r="J39" s="1884">
        <f t="shared" si="3"/>
        <v>1250.0349999999999</v>
      </c>
      <c r="K39" s="1886"/>
      <c r="L39" s="1886"/>
      <c r="M39" s="1886"/>
      <c r="N39" s="1886"/>
      <c r="O39" s="1886"/>
      <c r="P39" s="1886"/>
      <c r="Q39" s="1886"/>
      <c r="R39" s="1886"/>
      <c r="S39" s="1886"/>
      <c r="T39" s="1905"/>
      <c r="U39" s="1852"/>
      <c r="V39" s="1886"/>
      <c r="W39" s="1886"/>
      <c r="X39" s="1886"/>
      <c r="Y39" s="1886"/>
      <c r="Z39" s="1886"/>
      <c r="AA39" s="1905"/>
      <c r="AB39" s="1905"/>
    </row>
    <row r="40" spans="1:28">
      <c r="A40" s="1852"/>
      <c r="B40" s="1959" t="s">
        <v>155</v>
      </c>
      <c r="C40" s="1969">
        <f t="shared" si="2"/>
        <v>1</v>
      </c>
      <c r="D40" s="1970">
        <f t="shared" si="2"/>
        <v>17</v>
      </c>
      <c r="E40" s="1885">
        <v>536.90499999999997</v>
      </c>
      <c r="F40" s="1881">
        <v>118.527</v>
      </c>
      <c r="G40" s="1881">
        <v>101.43</v>
      </c>
      <c r="H40" s="1881">
        <v>308</v>
      </c>
      <c r="I40" s="1971"/>
      <c r="J40" s="1884">
        <f t="shared" si="3"/>
        <v>1064.8620000000001</v>
      </c>
      <c r="K40" s="1886"/>
      <c r="L40" s="1886"/>
      <c r="M40" s="1886"/>
      <c r="N40" s="1886"/>
      <c r="O40" s="1886"/>
      <c r="P40" s="1886"/>
      <c r="Q40" s="1886"/>
      <c r="R40" s="1886"/>
      <c r="S40" s="1886"/>
      <c r="T40" s="1905"/>
      <c r="U40" s="1852"/>
      <c r="V40" s="1886"/>
      <c r="W40" s="1886"/>
      <c r="X40" s="1886"/>
      <c r="Y40" s="1886"/>
      <c r="Z40" s="1886"/>
      <c r="AA40" s="1905"/>
      <c r="AB40" s="1905"/>
    </row>
    <row r="41" spans="1:28">
      <c r="A41" s="1852"/>
      <c r="B41" s="1959" t="s">
        <v>156</v>
      </c>
      <c r="C41" s="1969">
        <f t="shared" si="2"/>
        <v>30</v>
      </c>
      <c r="D41" s="1970">
        <f t="shared" si="2"/>
        <v>18</v>
      </c>
      <c r="E41" s="1885">
        <v>417.387</v>
      </c>
      <c r="F41" s="1881">
        <v>78.304000000000002</v>
      </c>
      <c r="G41" s="1881">
        <v>71.97</v>
      </c>
      <c r="H41" s="1881">
        <v>254</v>
      </c>
      <c r="I41" s="1971"/>
      <c r="J41" s="1884">
        <f t="shared" si="3"/>
        <v>821.66100000000006</v>
      </c>
      <c r="K41" s="1886"/>
      <c r="L41" s="1886"/>
      <c r="M41" s="1886"/>
      <c r="N41" s="1886"/>
      <c r="O41" s="1886"/>
      <c r="P41" s="1886"/>
      <c r="Q41" s="1886"/>
      <c r="R41" s="1886"/>
      <c r="S41" s="1886"/>
      <c r="T41" s="1905"/>
      <c r="U41" s="1852"/>
      <c r="V41" s="1886"/>
      <c r="W41" s="1886"/>
      <c r="X41" s="1886"/>
      <c r="Y41" s="1886"/>
      <c r="Z41" s="1886"/>
      <c r="AA41" s="1905"/>
      <c r="AB41" s="1905"/>
    </row>
    <row r="42" spans="1:28" ht="16.5" thickBot="1">
      <c r="A42" s="1852"/>
      <c r="B42" s="1959" t="s">
        <v>157</v>
      </c>
      <c r="C42" s="1969">
        <f t="shared" si="2"/>
        <v>28</v>
      </c>
      <c r="D42" s="1970">
        <f t="shared" si="2"/>
        <v>18</v>
      </c>
      <c r="E42" s="1891">
        <v>442.03399999999999</v>
      </c>
      <c r="F42" s="1888">
        <v>81.307000000000002</v>
      </c>
      <c r="G42" s="1888">
        <v>101.485</v>
      </c>
      <c r="H42" s="1888">
        <v>294</v>
      </c>
      <c r="I42" s="1892"/>
      <c r="J42" s="1879">
        <f t="shared" si="3"/>
        <v>918.82600000000002</v>
      </c>
      <c r="K42" s="1886"/>
      <c r="L42" s="1886"/>
      <c r="M42" s="1886"/>
      <c r="N42" s="1886"/>
      <c r="O42" s="1886"/>
      <c r="P42" s="1886"/>
      <c r="Q42" s="1886"/>
      <c r="R42" s="1886"/>
      <c r="S42" s="1886"/>
      <c r="T42" s="1905"/>
      <c r="U42" s="1852"/>
      <c r="V42" s="1886"/>
      <c r="W42" s="1886"/>
      <c r="X42" s="1886"/>
      <c r="Y42" s="1886"/>
      <c r="Z42" s="1886"/>
      <c r="AA42" s="1905"/>
      <c r="AB42" s="1905"/>
    </row>
    <row r="43" spans="1:28" ht="16.5" thickBot="1">
      <c r="A43" s="1852"/>
      <c r="B43" s="1963" t="s">
        <v>282</v>
      </c>
      <c r="C43" s="1964"/>
      <c r="D43" s="1965"/>
      <c r="E43" s="1897">
        <f t="shared" ref="E43:J43" si="4">SUM(E31:E42)</f>
        <v>6146.3399999999983</v>
      </c>
      <c r="F43" s="1896">
        <f t="shared" si="4"/>
        <v>1245.7190000000003</v>
      </c>
      <c r="G43" s="1896">
        <f t="shared" si="4"/>
        <v>1274.8709999999999</v>
      </c>
      <c r="H43" s="1896">
        <f t="shared" si="4"/>
        <v>3463</v>
      </c>
      <c r="I43" s="1896">
        <f t="shared" si="4"/>
        <v>0</v>
      </c>
      <c r="J43" s="1879">
        <f t="shared" si="4"/>
        <v>12129.93</v>
      </c>
      <c r="K43" s="1886"/>
      <c r="L43" s="1886"/>
      <c r="M43" s="1886"/>
      <c r="N43" s="1886"/>
      <c r="O43" s="1886"/>
      <c r="P43" s="1886"/>
      <c r="Q43" s="1886"/>
      <c r="R43" s="1886"/>
      <c r="S43" s="1886"/>
      <c r="T43" s="1905"/>
      <c r="U43" s="1852"/>
      <c r="V43" s="1886"/>
      <c r="W43" s="1886"/>
      <c r="X43" s="1886"/>
      <c r="Y43" s="1886"/>
      <c r="Z43" s="1886"/>
      <c r="AA43" s="1905"/>
      <c r="AB43" s="1905"/>
    </row>
    <row r="49" spans="20:22">
      <c r="T49" s="1940"/>
      <c r="V49" s="1941"/>
    </row>
    <row r="50" spans="20:22">
      <c r="T50" s="1940"/>
    </row>
    <row r="52" spans="20:22">
      <c r="T52" s="1898"/>
    </row>
    <row r="53" spans="20:22">
      <c r="T53" s="1941"/>
    </row>
  </sheetData>
  <mergeCells count="2">
    <mergeCell ref="E26:J26"/>
    <mergeCell ref="E5:S5"/>
  </mergeCells>
  <pageMargins left="0.7" right="0.7" top="0.75" bottom="0.75" header="0.3" footer="0.3"/>
  <pageSetup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workbookViewId="0"/>
  </sheetViews>
  <sheetFormatPr defaultRowHeight="15.75"/>
  <cols>
    <col min="1" max="1" width="4.7109375" style="1843" customWidth="1"/>
    <col min="2" max="2" width="14.28515625" style="1843" customWidth="1"/>
    <col min="3" max="4" width="6" style="1843" customWidth="1"/>
    <col min="5" max="24" width="11.28515625" style="1843" customWidth="1"/>
    <col min="25" max="25" width="9.140625" style="1843" bestFit="1" customWidth="1"/>
    <col min="26" max="26" width="12.28515625" style="1852" customWidth="1"/>
    <col min="27" max="27" width="9.7109375" style="1843" customWidth="1"/>
    <col min="28" max="30" width="11.85546875" style="1843" customWidth="1"/>
    <col min="31" max="31" width="1.5703125" style="1843" customWidth="1"/>
    <col min="32" max="16384" width="9.140625" style="1843"/>
  </cols>
  <sheetData>
    <row r="1" spans="1:32" ht="16.5" customHeight="1">
      <c r="A1" s="1839"/>
      <c r="B1" s="1840" t="s">
        <v>365</v>
      </c>
      <c r="C1" s="1841"/>
      <c r="D1" s="1841"/>
      <c r="E1" s="1841"/>
      <c r="F1" s="1841"/>
      <c r="G1" s="1841"/>
      <c r="H1" s="1841"/>
      <c r="I1" s="1842"/>
      <c r="J1" s="1842"/>
      <c r="K1" s="1842"/>
      <c r="L1" s="1842"/>
      <c r="M1" s="1842"/>
      <c r="N1" s="1842"/>
      <c r="O1" s="1842"/>
      <c r="P1" s="1842"/>
      <c r="Q1" s="1842"/>
      <c r="R1" s="1842"/>
      <c r="S1" s="1842"/>
      <c r="T1" s="1842"/>
      <c r="U1" s="1842"/>
      <c r="V1" s="1842"/>
      <c r="W1" s="1842"/>
      <c r="X1" s="1842"/>
      <c r="Y1" s="1842"/>
      <c r="Z1" s="1841"/>
      <c r="AA1" s="1842"/>
      <c r="AB1" s="1842"/>
    </row>
    <row r="2" spans="1:32" ht="16.5" customHeight="1">
      <c r="A2" s="1844"/>
      <c r="B2" s="1840" t="s">
        <v>1010</v>
      </c>
      <c r="C2" s="1840"/>
      <c r="D2" s="1840"/>
      <c r="E2" s="1561"/>
      <c r="F2" s="1561"/>
      <c r="G2" s="1561"/>
      <c r="H2" s="1561"/>
      <c r="I2" s="1561"/>
      <c r="J2" s="1845"/>
      <c r="K2" s="1842"/>
      <c r="L2" s="1842"/>
      <c r="M2" s="1842"/>
      <c r="N2" s="1842"/>
      <c r="O2" s="1842"/>
      <c r="P2" s="1842"/>
      <c r="Q2" s="1842"/>
      <c r="R2" s="1842"/>
      <c r="S2" s="1842"/>
      <c r="T2" s="1842"/>
      <c r="U2" s="1842"/>
      <c r="V2" s="1842"/>
      <c r="W2" s="1842"/>
      <c r="X2" s="1842"/>
      <c r="Y2" s="1842"/>
      <c r="Z2" s="1841"/>
      <c r="AA2" s="1842"/>
      <c r="AB2" s="1842"/>
    </row>
    <row r="3" spans="1:32" ht="16.5" customHeight="1">
      <c r="A3" s="1839"/>
      <c r="B3" s="2349"/>
      <c r="C3" s="1840"/>
      <c r="D3" s="1840"/>
      <c r="E3" s="1561"/>
      <c r="F3" s="1561"/>
      <c r="G3" s="1561"/>
      <c r="H3" s="1561"/>
      <c r="I3" s="1561"/>
      <c r="J3" s="1845"/>
      <c r="K3" s="1842"/>
      <c r="L3" s="1842"/>
      <c r="M3" s="1842"/>
      <c r="N3" s="1975">
        <v>2017</v>
      </c>
      <c r="O3" s="1842"/>
      <c r="P3" s="1842"/>
      <c r="Q3" s="1842"/>
      <c r="R3" s="1842"/>
      <c r="S3" s="1842"/>
      <c r="T3" s="1852"/>
      <c r="U3" s="1842"/>
      <c r="V3" s="1842"/>
      <c r="W3" s="1842"/>
      <c r="X3" s="1842"/>
      <c r="Y3" s="1842"/>
      <c r="Z3" s="1841"/>
      <c r="AA3" s="1842"/>
      <c r="AB3" s="1842"/>
    </row>
    <row r="4" spans="1:32" ht="16.5" customHeight="1" thickBot="1">
      <c r="C4" s="1847"/>
      <c r="D4" s="1847"/>
      <c r="T4" s="1852"/>
      <c r="U4" s="2572"/>
      <c r="V4" s="2572"/>
      <c r="W4" s="2572"/>
      <c r="X4" s="2572"/>
      <c r="Y4" s="2572"/>
      <c r="Z4" s="1839"/>
    </row>
    <row r="5" spans="1:32" ht="16.5" customHeight="1" thickBot="1">
      <c r="B5" s="1850"/>
      <c r="C5" s="1851"/>
      <c r="D5" s="1851"/>
      <c r="E5" s="2712" t="s">
        <v>811</v>
      </c>
      <c r="F5" s="2713"/>
      <c r="G5" s="2713"/>
      <c r="H5" s="2713"/>
      <c r="I5" s="2713"/>
      <c r="J5" s="2713"/>
      <c r="K5" s="2713"/>
      <c r="L5" s="2713"/>
      <c r="M5" s="2713"/>
      <c r="N5" s="2713"/>
      <c r="O5" s="2713"/>
      <c r="P5" s="2713"/>
      <c r="Q5" s="2713"/>
      <c r="R5" s="2713"/>
      <c r="S5" s="2713"/>
      <c r="T5" s="2727"/>
      <c r="U5" s="2728"/>
      <c r="V5" s="2358"/>
      <c r="W5" s="2573"/>
      <c r="X5" s="2724" t="s">
        <v>810</v>
      </c>
      <c r="Y5" s="2725"/>
      <c r="Z5" s="2725"/>
      <c r="AA5" s="2725"/>
      <c r="AB5" s="2725"/>
      <c r="AC5" s="2726"/>
      <c r="AD5" s="1852"/>
    </row>
    <row r="6" spans="1:32" ht="16.5" customHeight="1" thickBot="1">
      <c r="B6" s="1854" t="s">
        <v>328</v>
      </c>
      <c r="C6" s="1851"/>
      <c r="D6" s="1851"/>
      <c r="E6" s="1855"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57" t="s">
        <v>1653</v>
      </c>
      <c r="T6" s="1857" t="s">
        <v>1868</v>
      </c>
      <c r="U6" s="1857" t="s">
        <v>1869</v>
      </c>
      <c r="V6" s="1858" t="s">
        <v>397</v>
      </c>
      <c r="W6" s="2574"/>
      <c r="X6" s="1859" t="s">
        <v>797</v>
      </c>
      <c r="Y6" s="1860" t="s">
        <v>796</v>
      </c>
      <c r="Z6" s="1860" t="s">
        <v>795</v>
      </c>
      <c r="AA6" s="1860" t="s">
        <v>794</v>
      </c>
      <c r="AB6" s="1861" t="s">
        <v>953</v>
      </c>
      <c r="AC6" s="1858" t="s">
        <v>793</v>
      </c>
      <c r="AD6" s="1853"/>
      <c r="AE6" s="1852"/>
      <c r="AF6" s="1852"/>
    </row>
    <row r="7" spans="1:32" ht="47.25" customHeight="1">
      <c r="B7" s="1862" t="s">
        <v>749</v>
      </c>
      <c r="C7" s="1862"/>
      <c r="D7" s="1953"/>
      <c r="E7" s="1863" t="s">
        <v>365</v>
      </c>
      <c r="F7" s="2583" t="s">
        <v>792</v>
      </c>
      <c r="G7" s="2584" t="s">
        <v>791</v>
      </c>
      <c r="H7" s="2584" t="s">
        <v>1855</v>
      </c>
      <c r="I7" s="2584" t="s">
        <v>790</v>
      </c>
      <c r="J7" s="2584" t="s">
        <v>789</v>
      </c>
      <c r="K7" s="2584" t="s">
        <v>2111</v>
      </c>
      <c r="L7" s="2584" t="s">
        <v>788</v>
      </c>
      <c r="M7" s="2584" t="s">
        <v>2107</v>
      </c>
      <c r="N7" s="2584" t="s">
        <v>787</v>
      </c>
      <c r="O7" s="2584" t="s">
        <v>786</v>
      </c>
      <c r="P7" s="2584" t="s">
        <v>785</v>
      </c>
      <c r="Q7" s="2584" t="s">
        <v>784</v>
      </c>
      <c r="R7" s="2584" t="s">
        <v>2110</v>
      </c>
      <c r="S7" s="2584" t="s">
        <v>1870</v>
      </c>
      <c r="T7" s="2584" t="s">
        <v>2000</v>
      </c>
      <c r="U7" s="2584" t="s">
        <v>1872</v>
      </c>
      <c r="V7" s="1866"/>
      <c r="W7" s="1852"/>
      <c r="X7" s="1864" t="s">
        <v>783</v>
      </c>
      <c r="Y7" s="1865" t="s">
        <v>782</v>
      </c>
      <c r="Z7" s="1865" t="s">
        <v>781</v>
      </c>
      <c r="AA7" s="1865" t="s">
        <v>1720</v>
      </c>
      <c r="AB7" s="1867" t="s">
        <v>954</v>
      </c>
      <c r="AC7" s="1868"/>
      <c r="AD7" s="1853"/>
      <c r="AE7" s="1852"/>
      <c r="AF7" s="1852"/>
    </row>
    <row r="8" spans="1:32" ht="15.75" customHeight="1">
      <c r="B8" s="1869" t="s">
        <v>468</v>
      </c>
      <c r="C8" s="1869"/>
      <c r="D8" s="1955"/>
      <c r="E8" s="1870" t="s">
        <v>780</v>
      </c>
      <c r="F8" s="2585" t="s">
        <v>779</v>
      </c>
      <c r="G8" s="2586" t="s">
        <v>779</v>
      </c>
      <c r="H8" s="2586" t="s">
        <v>779</v>
      </c>
      <c r="I8" s="2586" t="s">
        <v>779</v>
      </c>
      <c r="J8" s="2586" t="s">
        <v>779</v>
      </c>
      <c r="K8" s="2586" t="s">
        <v>779</v>
      </c>
      <c r="L8" s="2586" t="s">
        <v>779</v>
      </c>
      <c r="M8" s="2586" t="s">
        <v>779</v>
      </c>
      <c r="N8" s="2586" t="s">
        <v>779</v>
      </c>
      <c r="O8" s="2586" t="s">
        <v>779</v>
      </c>
      <c r="P8" s="2586" t="s">
        <v>779</v>
      </c>
      <c r="Q8" s="2586" t="s">
        <v>779</v>
      </c>
      <c r="R8" s="2586" t="s">
        <v>779</v>
      </c>
      <c r="S8" s="2586" t="s">
        <v>779</v>
      </c>
      <c r="T8" s="2586" t="s">
        <v>779</v>
      </c>
      <c r="U8" s="2586" t="s">
        <v>779</v>
      </c>
      <c r="V8" s="1872" t="s">
        <v>778</v>
      </c>
      <c r="W8" s="1852"/>
      <c r="X8" s="1871" t="s">
        <v>777</v>
      </c>
      <c r="Y8" s="1867" t="s">
        <v>777</v>
      </c>
      <c r="Z8" s="1867" t="s">
        <v>777</v>
      </c>
      <c r="AA8" s="1867" t="s">
        <v>777</v>
      </c>
      <c r="AB8" s="1867" t="s">
        <v>777</v>
      </c>
      <c r="AC8" s="1868" t="s">
        <v>776</v>
      </c>
      <c r="AD8" s="1852"/>
    </row>
    <row r="9" spans="1:32" ht="16.5" customHeight="1" thickBot="1">
      <c r="B9" s="1873" t="s">
        <v>741</v>
      </c>
      <c r="C9" s="1958" t="s">
        <v>813</v>
      </c>
      <c r="D9" s="1958" t="s">
        <v>812</v>
      </c>
      <c r="E9" s="1875" t="s">
        <v>1000</v>
      </c>
      <c r="F9" s="1876" t="s">
        <v>774</v>
      </c>
      <c r="G9" s="1877" t="s">
        <v>773</v>
      </c>
      <c r="H9" s="1877" t="s">
        <v>2109</v>
      </c>
      <c r="I9" s="1877" t="s">
        <v>772</v>
      </c>
      <c r="J9" s="1877" t="s">
        <v>771</v>
      </c>
      <c r="K9" s="1877" t="s">
        <v>2112</v>
      </c>
      <c r="L9" s="1877" t="s">
        <v>770</v>
      </c>
      <c r="M9" s="1877" t="s">
        <v>769</v>
      </c>
      <c r="N9" s="1877" t="s">
        <v>768</v>
      </c>
      <c r="O9" s="1877" t="s">
        <v>767</v>
      </c>
      <c r="P9" s="1877" t="s">
        <v>766</v>
      </c>
      <c r="Q9" s="1877" t="s">
        <v>765</v>
      </c>
      <c r="R9" s="1877" t="s">
        <v>1568</v>
      </c>
      <c r="S9" s="1877" t="s">
        <v>1857</v>
      </c>
      <c r="T9" s="1877" t="s">
        <v>1873</v>
      </c>
      <c r="U9" s="2361" t="s">
        <v>1874</v>
      </c>
      <c r="V9" s="1878"/>
      <c r="W9" s="1852"/>
      <c r="X9" s="1876" t="s">
        <v>764</v>
      </c>
      <c r="Y9" s="1877" t="s">
        <v>763</v>
      </c>
      <c r="Z9" s="1877" t="s">
        <v>762</v>
      </c>
      <c r="AA9" s="1877" t="s">
        <v>2426</v>
      </c>
      <c r="AB9" s="2361" t="s">
        <v>955</v>
      </c>
      <c r="AC9" s="1879"/>
      <c r="AD9" s="1852"/>
    </row>
    <row r="10" spans="1:32">
      <c r="B10" s="1854" t="s">
        <v>147</v>
      </c>
      <c r="C10" s="1960">
        <v>6</v>
      </c>
      <c r="D10" s="1960">
        <v>8</v>
      </c>
      <c r="E10" s="2374">
        <v>9215.6470000000008</v>
      </c>
      <c r="F10" s="2575">
        <v>17.64</v>
      </c>
      <c r="G10" s="2576">
        <v>3.387</v>
      </c>
      <c r="H10" s="2576">
        <v>38.701000000000001</v>
      </c>
      <c r="I10" s="2576">
        <v>1.601</v>
      </c>
      <c r="J10" s="2576">
        <v>0.40699999999999997</v>
      </c>
      <c r="K10" s="2576"/>
      <c r="L10" s="2576">
        <v>20.04</v>
      </c>
      <c r="M10" s="2576">
        <v>18.983000000000001</v>
      </c>
      <c r="N10" s="2576">
        <v>11.504</v>
      </c>
      <c r="O10" s="2576">
        <v>52.52</v>
      </c>
      <c r="P10" s="2576">
        <v>0</v>
      </c>
      <c r="Q10" s="2576">
        <v>8.0000000000000002E-3</v>
      </c>
      <c r="R10" s="2576">
        <v>21.524000000000001</v>
      </c>
      <c r="S10" s="2576">
        <v>0</v>
      </c>
      <c r="T10" s="2576">
        <v>346.685</v>
      </c>
      <c r="U10" s="2577">
        <v>107</v>
      </c>
      <c r="V10" s="2580">
        <f t="shared" ref="V10:V22" si="0">SUM(F10:U10)</f>
        <v>640</v>
      </c>
      <c r="W10" s="1852"/>
      <c r="X10" s="2587">
        <v>419.82699999999994</v>
      </c>
      <c r="Y10" s="2588">
        <v>75.090999999999994</v>
      </c>
      <c r="Z10" s="2588">
        <v>78.254000000000005</v>
      </c>
      <c r="AA10" s="2589">
        <v>339</v>
      </c>
      <c r="AB10" s="2589">
        <v>0</v>
      </c>
      <c r="AC10" s="1884">
        <f>SUM(X10:AB10)</f>
        <v>912.17199999999991</v>
      </c>
      <c r="AD10" s="1886"/>
    </row>
    <row r="11" spans="1:32">
      <c r="B11" s="1854" t="s">
        <v>148</v>
      </c>
      <c r="C11" s="1960">
        <v>1</v>
      </c>
      <c r="D11" s="1960">
        <v>19</v>
      </c>
      <c r="E11" s="1887">
        <v>8142.7520000000004</v>
      </c>
      <c r="F11" s="1882">
        <v>13.333</v>
      </c>
      <c r="G11" s="1883">
        <v>3.1920000000000002</v>
      </c>
      <c r="H11" s="1883">
        <v>28.805</v>
      </c>
      <c r="I11" s="1883">
        <v>1.258</v>
      </c>
      <c r="J11" s="1883">
        <v>0.41599999999999998</v>
      </c>
      <c r="K11" s="1883"/>
      <c r="L11" s="1883">
        <v>17.047999999999998</v>
      </c>
      <c r="M11" s="1883">
        <v>18.023</v>
      </c>
      <c r="N11" s="1883">
        <v>11.084</v>
      </c>
      <c r="O11" s="1883">
        <v>49.55</v>
      </c>
      <c r="P11" s="1883">
        <v>0</v>
      </c>
      <c r="Q11" s="1883">
        <v>6.0000000000000001E-3</v>
      </c>
      <c r="R11" s="1883">
        <v>22.643999999999998</v>
      </c>
      <c r="S11" s="1883">
        <v>0</v>
      </c>
      <c r="T11" s="1883">
        <v>239.07400000000001</v>
      </c>
      <c r="U11" s="2578">
        <v>92</v>
      </c>
      <c r="V11" s="2580">
        <f t="shared" si="0"/>
        <v>496.43299999999999</v>
      </c>
      <c r="W11" s="1852"/>
      <c r="X11" s="1885">
        <v>395.43799999999999</v>
      </c>
      <c r="Y11" s="1881">
        <v>76.281000000000006</v>
      </c>
      <c r="Z11" s="1881">
        <v>92.043000000000006</v>
      </c>
      <c r="AA11" s="1971">
        <v>306</v>
      </c>
      <c r="AB11" s="1971">
        <v>0</v>
      </c>
      <c r="AC11" s="1884">
        <f t="shared" ref="AC11:AC21" si="1">SUM(X11:AB11)</f>
        <v>869.76199999999994</v>
      </c>
      <c r="AD11" s="1886"/>
    </row>
    <row r="12" spans="1:32">
      <c r="B12" s="1854" t="s">
        <v>352</v>
      </c>
      <c r="C12" s="1960">
        <v>1</v>
      </c>
      <c r="D12" s="1960">
        <v>8</v>
      </c>
      <c r="E12" s="1887">
        <v>7714.2280000000001</v>
      </c>
      <c r="F12" s="1882">
        <v>10.561999999999999</v>
      </c>
      <c r="G12" s="1883">
        <v>3.2869999999999999</v>
      </c>
      <c r="H12" s="1883">
        <v>22.995999999999999</v>
      </c>
      <c r="I12" s="1883">
        <v>1.1950000000000001</v>
      </c>
      <c r="J12" s="1883">
        <v>0</v>
      </c>
      <c r="K12" s="1883"/>
      <c r="L12" s="1883">
        <v>19.018999999999998</v>
      </c>
      <c r="M12" s="1883">
        <v>14.356999999999999</v>
      </c>
      <c r="N12" s="1883">
        <v>9.625</v>
      </c>
      <c r="O12" s="1883">
        <v>42.85</v>
      </c>
      <c r="P12" s="1883">
        <v>0</v>
      </c>
      <c r="Q12" s="1883">
        <v>0</v>
      </c>
      <c r="R12" s="1883">
        <v>24.721</v>
      </c>
      <c r="S12" s="1883">
        <v>0</v>
      </c>
      <c r="T12" s="1883">
        <v>247.49600000000001</v>
      </c>
      <c r="U12" s="2578">
        <v>78</v>
      </c>
      <c r="V12" s="2580">
        <f t="shared" si="0"/>
        <v>474.108</v>
      </c>
      <c r="W12" s="1852"/>
      <c r="X12" s="1885">
        <v>339.05599999999998</v>
      </c>
      <c r="Y12" s="1881">
        <v>79.444999999999993</v>
      </c>
      <c r="Z12" s="1881">
        <v>60.040999999999997</v>
      </c>
      <c r="AA12" s="1971">
        <v>306</v>
      </c>
      <c r="AB12" s="1971">
        <v>0</v>
      </c>
      <c r="AC12" s="1884">
        <f t="shared" si="1"/>
        <v>784.54199999999992</v>
      </c>
      <c r="AD12" s="1886"/>
    </row>
    <row r="13" spans="1:32">
      <c r="B13" s="1854" t="s">
        <v>143</v>
      </c>
      <c r="C13" s="1960">
        <v>3</v>
      </c>
      <c r="D13" s="1960">
        <v>8</v>
      </c>
      <c r="E13" s="1887">
        <v>7155.9219999999996</v>
      </c>
      <c r="F13" s="1882">
        <v>8.5090000000000003</v>
      </c>
      <c r="G13" s="1883">
        <v>3.2789999999999999</v>
      </c>
      <c r="H13" s="1883">
        <v>25.454000000000001</v>
      </c>
      <c r="I13" s="1883">
        <v>1.081</v>
      </c>
      <c r="J13" s="1883">
        <v>0</v>
      </c>
      <c r="K13" s="1883"/>
      <c r="L13" s="1883">
        <v>15.226000000000001</v>
      </c>
      <c r="M13" s="1883">
        <v>16.850000000000001</v>
      </c>
      <c r="N13" s="1883">
        <v>8.5370000000000008</v>
      </c>
      <c r="O13" s="1883">
        <v>38.06</v>
      </c>
      <c r="P13" s="1883">
        <v>0.28199999999999997</v>
      </c>
      <c r="Q13" s="1883">
        <v>0</v>
      </c>
      <c r="R13" s="1883">
        <v>25.08</v>
      </c>
      <c r="S13" s="1883">
        <v>1.7050000000000001</v>
      </c>
      <c r="T13" s="1883">
        <v>178.97399999999999</v>
      </c>
      <c r="U13" s="2578">
        <v>34</v>
      </c>
      <c r="V13" s="2580">
        <f t="shared" si="0"/>
        <v>357.03700000000003</v>
      </c>
      <c r="W13" s="1852"/>
      <c r="X13" s="1885">
        <v>301.63799999999998</v>
      </c>
      <c r="Y13" s="1881">
        <v>33.027999999999999</v>
      </c>
      <c r="Z13" s="1881">
        <v>99.263999999999996</v>
      </c>
      <c r="AA13" s="1971">
        <v>320</v>
      </c>
      <c r="AB13" s="1971">
        <v>0</v>
      </c>
      <c r="AC13" s="1884">
        <f t="shared" si="1"/>
        <v>753.93000000000006</v>
      </c>
      <c r="AD13" s="1886"/>
    </row>
    <row r="14" spans="1:32">
      <c r="A14" s="1880"/>
      <c r="B14" s="1854" t="s">
        <v>144</v>
      </c>
      <c r="C14" s="1960">
        <v>30</v>
      </c>
      <c r="D14" s="1960">
        <v>17</v>
      </c>
      <c r="E14" s="1887">
        <v>8095.9179999999997</v>
      </c>
      <c r="F14" s="1882">
        <v>6.327</v>
      </c>
      <c r="G14" s="1883">
        <v>2.6480000000000001</v>
      </c>
      <c r="H14" s="1883">
        <v>11.532999999999999</v>
      </c>
      <c r="I14" s="1883">
        <v>0.32600000000000001</v>
      </c>
      <c r="J14" s="1883">
        <v>0</v>
      </c>
      <c r="K14" s="1883"/>
      <c r="L14" s="1883">
        <v>25.74</v>
      </c>
      <c r="M14" s="1883">
        <v>19.491</v>
      </c>
      <c r="N14" s="1883">
        <v>8.0440000000000005</v>
      </c>
      <c r="O14" s="1883">
        <v>35.229999999999997</v>
      </c>
      <c r="P14" s="1883">
        <v>0.55300000000000005</v>
      </c>
      <c r="Q14" s="1883">
        <v>2.4950000000000001</v>
      </c>
      <c r="R14" s="1883">
        <v>26.6</v>
      </c>
      <c r="S14" s="1883">
        <v>2.403</v>
      </c>
      <c r="T14" s="1883">
        <v>123.224</v>
      </c>
      <c r="U14" s="2578">
        <v>57</v>
      </c>
      <c r="V14" s="2580">
        <f t="shared" si="0"/>
        <v>321.61399999999998</v>
      </c>
      <c r="W14" s="1852"/>
      <c r="X14" s="1885">
        <v>505.50900000000001</v>
      </c>
      <c r="Y14" s="1881">
        <v>89.504000000000005</v>
      </c>
      <c r="Z14" s="1881">
        <v>77.795000000000002</v>
      </c>
      <c r="AA14" s="1971">
        <v>339</v>
      </c>
      <c r="AB14" s="1971">
        <v>0</v>
      </c>
      <c r="AC14" s="1884">
        <f t="shared" si="1"/>
        <v>1011.808</v>
      </c>
      <c r="AD14" s="1886"/>
    </row>
    <row r="15" spans="1:32">
      <c r="B15" s="1854" t="s">
        <v>151</v>
      </c>
      <c r="C15" s="1960">
        <v>26</v>
      </c>
      <c r="D15" s="1960">
        <v>17</v>
      </c>
      <c r="E15" s="1887">
        <v>9686.7669999999998</v>
      </c>
      <c r="F15" s="1882">
        <v>6.5910000000000002</v>
      </c>
      <c r="G15" s="1883">
        <v>3.4510000000000001</v>
      </c>
      <c r="H15" s="1883">
        <v>12.53</v>
      </c>
      <c r="I15" s="1883">
        <v>0.34499999999999997</v>
      </c>
      <c r="J15" s="1883">
        <v>0</v>
      </c>
      <c r="K15" s="1883"/>
      <c r="L15" s="1883">
        <v>24.09</v>
      </c>
      <c r="M15" s="1883">
        <v>22.186</v>
      </c>
      <c r="N15" s="1883">
        <v>9.4990000000000006</v>
      </c>
      <c r="O15" s="1883">
        <v>45.98</v>
      </c>
      <c r="P15" s="1883">
        <v>0.53900000000000003</v>
      </c>
      <c r="Q15" s="1883">
        <v>3.335</v>
      </c>
      <c r="R15" s="1883">
        <v>27.423999999999999</v>
      </c>
      <c r="S15" s="1883">
        <v>0.13800000000000001</v>
      </c>
      <c r="T15" s="1883">
        <v>163.779</v>
      </c>
      <c r="U15" s="2578">
        <v>70</v>
      </c>
      <c r="V15" s="2580">
        <f t="shared" si="0"/>
        <v>389.887</v>
      </c>
      <c r="W15" s="1852"/>
      <c r="X15" s="1885">
        <v>698.13599999999997</v>
      </c>
      <c r="Y15" s="1881">
        <v>145.08099999999999</v>
      </c>
      <c r="Z15" s="1881">
        <v>121.61</v>
      </c>
      <c r="AA15" s="1971">
        <v>342</v>
      </c>
      <c r="AB15" s="1971">
        <v>0</v>
      </c>
      <c r="AC15" s="1884">
        <f t="shared" si="1"/>
        <v>1306.827</v>
      </c>
      <c r="AD15" s="1886"/>
    </row>
    <row r="16" spans="1:32">
      <c r="B16" s="1854" t="s">
        <v>740</v>
      </c>
      <c r="C16" s="1960">
        <v>6</v>
      </c>
      <c r="D16" s="1960">
        <v>17</v>
      </c>
      <c r="E16" s="1887">
        <v>10210.223</v>
      </c>
      <c r="F16" s="1882">
        <v>6.5359999999999996</v>
      </c>
      <c r="G16" s="1883">
        <v>3.5939999999999999</v>
      </c>
      <c r="H16" s="1883">
        <v>13.946</v>
      </c>
      <c r="I16" s="1883">
        <v>0.38100000000000001</v>
      </c>
      <c r="J16" s="1883">
        <v>2.5999999999999999E-2</v>
      </c>
      <c r="K16" s="1883"/>
      <c r="L16" s="1883">
        <v>16.149000000000001</v>
      </c>
      <c r="M16" s="1883">
        <v>22.367999999999999</v>
      </c>
      <c r="N16" s="1883">
        <v>11.036</v>
      </c>
      <c r="O16" s="1883">
        <v>51.49</v>
      </c>
      <c r="P16" s="1883">
        <v>0.624</v>
      </c>
      <c r="Q16" s="1883">
        <v>2.8889999999999998</v>
      </c>
      <c r="R16" s="1883">
        <v>28.28</v>
      </c>
      <c r="S16" s="1883">
        <v>0.151</v>
      </c>
      <c r="T16" s="1883">
        <v>177.96</v>
      </c>
      <c r="U16" s="2578">
        <v>87</v>
      </c>
      <c r="V16" s="2580">
        <f t="shared" si="0"/>
        <v>422.43000000000006</v>
      </c>
      <c r="W16" s="1852"/>
      <c r="X16" s="1885">
        <v>751.89600000000007</v>
      </c>
      <c r="Y16" s="1881">
        <v>173.04300000000001</v>
      </c>
      <c r="Z16" s="1881">
        <v>135.76499999999999</v>
      </c>
      <c r="AA16" s="1971">
        <v>346</v>
      </c>
      <c r="AB16" s="1971">
        <v>0</v>
      </c>
      <c r="AC16" s="1884">
        <f t="shared" si="1"/>
        <v>1406.7040000000002</v>
      </c>
      <c r="AD16" s="1886"/>
    </row>
    <row r="17" spans="1:33">
      <c r="B17" s="1854" t="s">
        <v>153</v>
      </c>
      <c r="C17" s="1960">
        <v>1</v>
      </c>
      <c r="D17" s="1960">
        <v>17</v>
      </c>
      <c r="E17" s="1887">
        <v>10334.302</v>
      </c>
      <c r="F17" s="1882">
        <v>7.3419999999999996</v>
      </c>
      <c r="G17" s="1883">
        <v>3.5950000000000002</v>
      </c>
      <c r="H17" s="1883">
        <v>16.86</v>
      </c>
      <c r="I17" s="1883">
        <v>0.38500000000000001</v>
      </c>
      <c r="J17" s="1883">
        <v>0</v>
      </c>
      <c r="K17" s="1883"/>
      <c r="L17" s="1883">
        <v>15.379</v>
      </c>
      <c r="M17" s="1883">
        <v>29.838000000000001</v>
      </c>
      <c r="N17" s="1883">
        <v>4.5869999999999997</v>
      </c>
      <c r="O17" s="1883">
        <v>53.33</v>
      </c>
      <c r="P17" s="1883">
        <v>0.62</v>
      </c>
      <c r="Q17" s="1883">
        <v>2.9980000000000002</v>
      </c>
      <c r="R17" s="1883">
        <v>28.460999999999999</v>
      </c>
      <c r="S17" s="1883">
        <v>0.16</v>
      </c>
      <c r="T17" s="1883">
        <v>157.28800000000001</v>
      </c>
      <c r="U17" s="2578">
        <v>85</v>
      </c>
      <c r="V17" s="2580">
        <f t="shared" si="0"/>
        <v>405.84299999999996</v>
      </c>
      <c r="W17" s="1852"/>
      <c r="X17" s="1885">
        <v>769.75199999999995</v>
      </c>
      <c r="Y17" s="1881">
        <v>167.30500000000001</v>
      </c>
      <c r="Z17" s="1881">
        <v>128.107</v>
      </c>
      <c r="AA17" s="1971">
        <v>316</v>
      </c>
      <c r="AB17" s="1971">
        <v>0</v>
      </c>
      <c r="AC17" s="1884">
        <f t="shared" si="1"/>
        <v>1381.164</v>
      </c>
      <c r="AD17" s="1886"/>
    </row>
    <row r="18" spans="1:33">
      <c r="B18" s="1854" t="s">
        <v>739</v>
      </c>
      <c r="C18" s="1960">
        <v>5</v>
      </c>
      <c r="D18" s="1960">
        <v>17</v>
      </c>
      <c r="E18" s="1887">
        <v>9453.7139999999999</v>
      </c>
      <c r="F18" s="1882">
        <v>5.702</v>
      </c>
      <c r="G18" s="1883">
        <v>3.121</v>
      </c>
      <c r="H18" s="1883">
        <v>15.417</v>
      </c>
      <c r="I18" s="1883">
        <v>0.29099999999999998</v>
      </c>
      <c r="J18" s="1883">
        <v>0</v>
      </c>
      <c r="K18" s="1883"/>
      <c r="L18" s="1883">
        <v>13.59</v>
      </c>
      <c r="M18" s="1883">
        <v>25.641999999999999</v>
      </c>
      <c r="N18" s="1883">
        <v>8.9789999999999992</v>
      </c>
      <c r="O18" s="1883">
        <v>35.01</v>
      </c>
      <c r="P18" s="1883">
        <v>0.53900000000000003</v>
      </c>
      <c r="Q18" s="1883">
        <v>2.64</v>
      </c>
      <c r="R18" s="1883">
        <v>28.442</v>
      </c>
      <c r="S18" s="1883">
        <v>0.13600000000000001</v>
      </c>
      <c r="T18" s="1883">
        <v>131.34</v>
      </c>
      <c r="U18" s="2578">
        <v>76</v>
      </c>
      <c r="V18" s="2580">
        <f t="shared" si="0"/>
        <v>346.84900000000005</v>
      </c>
      <c r="W18" s="1852"/>
      <c r="X18" s="1885">
        <v>691.89400000000001</v>
      </c>
      <c r="Y18" s="1881">
        <v>184.46799999999999</v>
      </c>
      <c r="Z18" s="1881">
        <v>114.10899999999999</v>
      </c>
      <c r="AA18" s="1971">
        <v>328</v>
      </c>
      <c r="AB18" s="1971">
        <v>0</v>
      </c>
      <c r="AC18" s="1884">
        <f t="shared" si="1"/>
        <v>1318.471</v>
      </c>
      <c r="AD18" s="1886"/>
    </row>
    <row r="19" spans="1:33">
      <c r="B19" s="1854" t="s">
        <v>155</v>
      </c>
      <c r="C19" s="1960">
        <v>31</v>
      </c>
      <c r="D19" s="1960">
        <v>8</v>
      </c>
      <c r="E19" s="1887">
        <v>7292.7290000000003</v>
      </c>
      <c r="F19" s="1882">
        <v>6.9749999999999996</v>
      </c>
      <c r="G19" s="1883">
        <v>2.8330000000000002</v>
      </c>
      <c r="H19" s="1883">
        <v>22.198</v>
      </c>
      <c r="I19" s="1883">
        <v>0</v>
      </c>
      <c r="J19" s="1883">
        <v>0</v>
      </c>
      <c r="K19" s="1883">
        <v>8.9999999999999993E-3</v>
      </c>
      <c r="L19" s="1883">
        <v>15.798999999999999</v>
      </c>
      <c r="M19" s="1883">
        <v>19.114999999999998</v>
      </c>
      <c r="N19" s="1883">
        <v>9.6980000000000004</v>
      </c>
      <c r="O19" s="1883">
        <v>40.950000000000003</v>
      </c>
      <c r="P19" s="1883">
        <v>5.0000000000000001E-3</v>
      </c>
      <c r="Q19" s="1883">
        <v>4.0000000000000001E-3</v>
      </c>
      <c r="R19" s="1883">
        <v>28.609000000000002</v>
      </c>
      <c r="S19" s="1883">
        <v>6.8000000000000005E-2</v>
      </c>
      <c r="T19" s="1883">
        <v>192.09800000000001</v>
      </c>
      <c r="U19" s="2578">
        <v>63</v>
      </c>
      <c r="V19" s="2580">
        <f t="shared" si="0"/>
        <v>401.36100000000005</v>
      </c>
      <c r="W19" s="1852"/>
      <c r="X19" s="1885">
        <v>373.03000000000003</v>
      </c>
      <c r="Y19" s="1881">
        <v>57.006999999999998</v>
      </c>
      <c r="Z19" s="1881">
        <v>40.515000000000001</v>
      </c>
      <c r="AA19" s="1971">
        <v>268</v>
      </c>
      <c r="AB19" s="1971">
        <v>0</v>
      </c>
      <c r="AC19" s="1884">
        <f t="shared" si="1"/>
        <v>738.55200000000002</v>
      </c>
      <c r="AD19" s="1886"/>
    </row>
    <row r="20" spans="1:33">
      <c r="B20" s="1854" t="s">
        <v>156</v>
      </c>
      <c r="C20" s="1960">
        <v>28</v>
      </c>
      <c r="D20" s="1960">
        <v>18</v>
      </c>
      <c r="E20" s="1887">
        <v>7623.1080000000002</v>
      </c>
      <c r="F20" s="1882">
        <v>5.9589999999999996</v>
      </c>
      <c r="G20" s="1883">
        <v>3.33</v>
      </c>
      <c r="H20" s="1883">
        <v>22.297999999999998</v>
      </c>
      <c r="I20" s="1883">
        <v>0.89</v>
      </c>
      <c r="J20" s="1883">
        <v>0</v>
      </c>
      <c r="K20" s="1883">
        <v>0.15500000000000003</v>
      </c>
      <c r="L20" s="1883">
        <v>12.189</v>
      </c>
      <c r="M20" s="1883">
        <v>13.743</v>
      </c>
      <c r="N20" s="1883">
        <v>9.173</v>
      </c>
      <c r="O20" s="1883">
        <v>40.909999999999997</v>
      </c>
      <c r="P20" s="1883">
        <v>5.0000000000000001E-3</v>
      </c>
      <c r="Q20" s="1883">
        <v>0</v>
      </c>
      <c r="R20" s="1883">
        <v>28.469000000000001</v>
      </c>
      <c r="S20" s="1883">
        <v>9.7000000000000003E-2</v>
      </c>
      <c r="T20" s="1883">
        <v>185.46</v>
      </c>
      <c r="U20" s="2578">
        <v>82</v>
      </c>
      <c r="V20" s="2580">
        <f t="shared" si="0"/>
        <v>404.678</v>
      </c>
      <c r="W20" s="1852"/>
      <c r="X20" s="1885">
        <v>362.029</v>
      </c>
      <c r="Y20" s="1881">
        <v>63.966000000000001</v>
      </c>
      <c r="Z20" s="1881">
        <v>71.822999999999993</v>
      </c>
      <c r="AA20" s="1971">
        <v>315</v>
      </c>
      <c r="AB20" s="1971">
        <v>0</v>
      </c>
      <c r="AC20" s="1884">
        <f t="shared" si="1"/>
        <v>812.81799999999998</v>
      </c>
      <c r="AD20" s="1886"/>
    </row>
    <row r="21" spans="1:33" ht="16.5" thickBot="1">
      <c r="B21" s="1873" t="s">
        <v>157</v>
      </c>
      <c r="C21" s="1960">
        <v>21</v>
      </c>
      <c r="D21" s="1960">
        <v>18</v>
      </c>
      <c r="E21" s="2375">
        <v>8287.6170000000002</v>
      </c>
      <c r="F21" s="1889">
        <v>6.0759999999999996</v>
      </c>
      <c r="G21" s="1890">
        <v>3.298</v>
      </c>
      <c r="H21" s="1890">
        <v>27.535</v>
      </c>
      <c r="I21" s="1890">
        <v>1.165</v>
      </c>
      <c r="J21" s="1890">
        <v>0.20799999999999999</v>
      </c>
      <c r="K21" s="1890">
        <v>0.15300000000000002</v>
      </c>
      <c r="L21" s="1890">
        <v>15.773</v>
      </c>
      <c r="M21" s="1890">
        <v>17.395</v>
      </c>
      <c r="N21" s="1890">
        <v>10.468</v>
      </c>
      <c r="O21" s="1890">
        <v>46.59</v>
      </c>
      <c r="P21" s="1890">
        <v>5.0000000000000001E-3</v>
      </c>
      <c r="Q21" s="1890">
        <v>8.0000000000000002E-3</v>
      </c>
      <c r="R21" s="1890">
        <v>28.72</v>
      </c>
      <c r="S21" s="1890">
        <v>9.6000000000000002E-2</v>
      </c>
      <c r="T21" s="1890">
        <v>248.23400000000001</v>
      </c>
      <c r="U21" s="2579">
        <v>97</v>
      </c>
      <c r="V21" s="2581">
        <f t="shared" si="0"/>
        <v>502.72400000000005</v>
      </c>
      <c r="W21" s="1852"/>
      <c r="X21" s="1891">
        <v>433.92700000000002</v>
      </c>
      <c r="Y21" s="1888">
        <v>69.290999999999997</v>
      </c>
      <c r="Z21" s="1888">
        <v>61.643999999999998</v>
      </c>
      <c r="AA21" s="1892">
        <v>314</v>
      </c>
      <c r="AB21" s="1892">
        <v>0</v>
      </c>
      <c r="AC21" s="1879">
        <f t="shared" si="1"/>
        <v>878.86199999999997</v>
      </c>
      <c r="AD21" s="1886"/>
    </row>
    <row r="22" spans="1:33" ht="16.5" thickBot="1">
      <c r="A22" s="1852"/>
      <c r="B22" s="1893" t="s">
        <v>282</v>
      </c>
      <c r="C22" s="1894"/>
      <c r="D22" s="1895"/>
      <c r="E22" s="1938">
        <f t="shared" ref="E22:U22" si="2">SUM(E10:E21)</f>
        <v>103212.927</v>
      </c>
      <c r="F22" s="2403">
        <f t="shared" si="2"/>
        <v>101.55199999999998</v>
      </c>
      <c r="G22" s="2364">
        <f t="shared" si="2"/>
        <v>39.015000000000001</v>
      </c>
      <c r="H22" s="2364">
        <f t="shared" si="2"/>
        <v>258.27300000000002</v>
      </c>
      <c r="I22" s="2364">
        <f t="shared" si="2"/>
        <v>8.9179999999999993</v>
      </c>
      <c r="J22" s="2364">
        <f t="shared" si="2"/>
        <v>1.0569999999999999</v>
      </c>
      <c r="K22" s="2364">
        <f>SUM(K10:K21)</f>
        <v>0.31700000000000006</v>
      </c>
      <c r="L22" s="2364">
        <f t="shared" si="2"/>
        <v>210.042</v>
      </c>
      <c r="M22" s="2364">
        <f t="shared" si="2"/>
        <v>237.99099999999999</v>
      </c>
      <c r="N22" s="2364">
        <f t="shared" si="2"/>
        <v>112.23399999999999</v>
      </c>
      <c r="O22" s="2364">
        <f t="shared" si="2"/>
        <v>532.47</v>
      </c>
      <c r="P22" s="2364">
        <f t="shared" si="2"/>
        <v>3.1720000000000002</v>
      </c>
      <c r="Q22" s="2364">
        <f t="shared" si="2"/>
        <v>14.382999999999997</v>
      </c>
      <c r="R22" s="2364">
        <f t="shared" si="2"/>
        <v>318.97399999999993</v>
      </c>
      <c r="S22" s="2364">
        <f t="shared" si="2"/>
        <v>4.9540000000000006</v>
      </c>
      <c r="T22" s="2364">
        <f t="shared" si="2"/>
        <v>2391.6119999999996</v>
      </c>
      <c r="U22" s="2364">
        <f t="shared" si="2"/>
        <v>928</v>
      </c>
      <c r="V22" s="1879">
        <f t="shared" si="0"/>
        <v>5162.9639999999999</v>
      </c>
      <c r="W22" s="1852"/>
      <c r="X22" s="1897">
        <f t="shared" ref="X22:AC22" si="3">SUM(X10:X21)</f>
        <v>6042.1319999999996</v>
      </c>
      <c r="Y22" s="1896">
        <f t="shared" si="3"/>
        <v>1213.5099999999998</v>
      </c>
      <c r="Z22" s="1896">
        <f t="shared" si="3"/>
        <v>1080.97</v>
      </c>
      <c r="AA22" s="1896">
        <f t="shared" si="3"/>
        <v>3839</v>
      </c>
      <c r="AB22" s="1896">
        <f t="shared" si="3"/>
        <v>0</v>
      </c>
      <c r="AC22" s="1879">
        <f t="shared" si="3"/>
        <v>12175.611999999999</v>
      </c>
      <c r="AD22" s="1886"/>
      <c r="AG22" s="1898"/>
    </row>
    <row r="23" spans="1:33" ht="16.5" thickBot="1">
      <c r="A23" s="1852"/>
      <c r="B23" s="1899" t="s">
        <v>1642</v>
      </c>
      <c r="C23" s="1900"/>
      <c r="D23" s="1901"/>
      <c r="E23" s="1902">
        <f t="shared" ref="E23:U23" si="4">+E22/12</f>
        <v>8601.0772500000003</v>
      </c>
      <c r="F23" s="2404">
        <f t="shared" si="4"/>
        <v>8.4626666666666654</v>
      </c>
      <c r="G23" s="2404">
        <f t="shared" si="4"/>
        <v>3.2512500000000002</v>
      </c>
      <c r="H23" s="2404">
        <f t="shared" si="4"/>
        <v>21.522750000000002</v>
      </c>
      <c r="I23" s="2404">
        <f t="shared" si="4"/>
        <v>0.74316666666666664</v>
      </c>
      <c r="J23" s="2404">
        <f t="shared" si="4"/>
        <v>8.8083333333333333E-2</v>
      </c>
      <c r="K23" s="2404">
        <f>+K22/12</f>
        <v>2.6416666666666672E-2</v>
      </c>
      <c r="L23" s="2404">
        <f t="shared" si="4"/>
        <v>17.503499999999999</v>
      </c>
      <c r="M23" s="2404">
        <f t="shared" si="4"/>
        <v>19.832583333333332</v>
      </c>
      <c r="N23" s="2404">
        <f t="shared" si="4"/>
        <v>9.3528333333333329</v>
      </c>
      <c r="O23" s="2404">
        <f t="shared" si="4"/>
        <v>44.372500000000002</v>
      </c>
      <c r="P23" s="2404">
        <f t="shared" si="4"/>
        <v>0.26433333333333336</v>
      </c>
      <c r="Q23" s="2404">
        <f t="shared" si="4"/>
        <v>1.1985833333333331</v>
      </c>
      <c r="R23" s="2404">
        <f t="shared" si="4"/>
        <v>26.581166666666661</v>
      </c>
      <c r="S23" s="2404">
        <f t="shared" si="4"/>
        <v>0.41283333333333339</v>
      </c>
      <c r="T23" s="2404">
        <f t="shared" si="4"/>
        <v>199.30099999999996</v>
      </c>
      <c r="U23" s="2404">
        <f t="shared" si="4"/>
        <v>77.333333333333329</v>
      </c>
      <c r="V23" s="2582">
        <f>+V22/12</f>
        <v>430.24700000000001</v>
      </c>
      <c r="W23" s="1852"/>
      <c r="X23" s="1904">
        <f t="shared" ref="X23:AC23" si="5">+X22/12</f>
        <v>503.51099999999997</v>
      </c>
      <c r="Y23" s="1903">
        <f t="shared" si="5"/>
        <v>101.12583333333332</v>
      </c>
      <c r="Z23" s="1903">
        <f t="shared" si="5"/>
        <v>90.080833333333331</v>
      </c>
      <c r="AA23" s="1903">
        <f t="shared" si="5"/>
        <v>319.91666666666669</v>
      </c>
      <c r="AB23" s="1903">
        <f t="shared" si="5"/>
        <v>0</v>
      </c>
      <c r="AC23" s="2582">
        <f t="shared" si="5"/>
        <v>1014.6343333333333</v>
      </c>
      <c r="AD23" s="1905"/>
    </row>
    <row r="24" spans="1:33" ht="16.5" thickBot="1">
      <c r="C24" s="1847"/>
      <c r="E24" s="1852"/>
      <c r="F24" s="1852"/>
      <c r="G24" s="1852"/>
      <c r="H24" s="1852"/>
      <c r="I24" s="1852"/>
      <c r="J24" s="1852"/>
      <c r="K24" s="1852"/>
      <c r="L24" s="1852"/>
      <c r="M24" s="1852"/>
      <c r="N24" s="1852"/>
      <c r="O24" s="1852"/>
      <c r="P24" s="1852"/>
      <c r="Q24" s="1852"/>
      <c r="R24" s="1852"/>
      <c r="S24" s="1852"/>
      <c r="T24" s="1852"/>
      <c r="U24" s="1852"/>
      <c r="V24" s="1852"/>
      <c r="W24" s="1852"/>
      <c r="X24" s="1852"/>
      <c r="Y24" s="1852"/>
      <c r="AA24" s="1852"/>
      <c r="AB24" s="1852"/>
      <c r="AC24" s="1898"/>
    </row>
    <row r="25" spans="1:33" ht="16.5" thickBot="1">
      <c r="B25" s="1850"/>
      <c r="C25" s="1851"/>
      <c r="D25" s="1906"/>
      <c r="E25" s="2709" t="s">
        <v>990</v>
      </c>
      <c r="F25" s="2710"/>
      <c r="G25" s="2710"/>
      <c r="H25" s="2710"/>
      <c r="I25" s="2710"/>
      <c r="J25" s="2710"/>
      <c r="K25" s="2710"/>
      <c r="L25" s="2710"/>
      <c r="M25" s="2710"/>
      <c r="N25" s="2710"/>
      <c r="O25" s="2710"/>
      <c r="P25" s="2710"/>
      <c r="Q25" s="2710"/>
      <c r="R25" s="2710"/>
      <c r="S25" s="2710"/>
      <c r="T25" s="2710"/>
      <c r="U25" s="2710"/>
      <c r="V25" s="2710"/>
      <c r="W25" s="2710"/>
      <c r="X25" s="2710"/>
      <c r="Y25" s="2711"/>
      <c r="Z25" s="2358"/>
      <c r="AA25" s="1852"/>
      <c r="AB25" s="1852"/>
      <c r="AC25" s="1852"/>
      <c r="AD25" s="1852"/>
      <c r="AE25" s="1852"/>
    </row>
    <row r="26" spans="1:33" ht="16.5" thickBot="1">
      <c r="B26" s="1854" t="s">
        <v>328</v>
      </c>
      <c r="C26" s="1847"/>
      <c r="D26" s="1851"/>
      <c r="E26" s="1907" t="s">
        <v>760</v>
      </c>
      <c r="F26" s="1908" t="s">
        <v>759</v>
      </c>
      <c r="G26" s="1908" t="s">
        <v>758</v>
      </c>
      <c r="H26" s="1908" t="s">
        <v>757</v>
      </c>
      <c r="I26" s="1908" t="s">
        <v>756</v>
      </c>
      <c r="J26" s="1908" t="s">
        <v>755</v>
      </c>
      <c r="K26" s="1908" t="s">
        <v>754</v>
      </c>
      <c r="L26" s="1908" t="s">
        <v>753</v>
      </c>
      <c r="M26" s="1908" t="s">
        <v>1858</v>
      </c>
      <c r="N26" s="1908" t="s">
        <v>752</v>
      </c>
      <c r="O26" s="1908" t="s">
        <v>823</v>
      </c>
      <c r="P26" s="1908" t="s">
        <v>751</v>
      </c>
      <c r="Q26" s="1908" t="s">
        <v>750</v>
      </c>
      <c r="R26" s="1908" t="s">
        <v>824</v>
      </c>
      <c r="S26" s="1908" t="s">
        <v>825</v>
      </c>
      <c r="T26" s="1908" t="s">
        <v>1329</v>
      </c>
      <c r="U26" s="1908" t="s">
        <v>1569</v>
      </c>
      <c r="V26" s="1908" t="s">
        <v>1570</v>
      </c>
      <c r="W26" s="1908" t="s">
        <v>822</v>
      </c>
      <c r="X26" s="1908" t="s">
        <v>1859</v>
      </c>
      <c r="Y26" s="1908" t="s">
        <v>1864</v>
      </c>
      <c r="Z26" s="1909" t="s">
        <v>360</v>
      </c>
      <c r="AA26" s="1852"/>
      <c r="AB26" s="1852"/>
      <c r="AC26" s="1852"/>
      <c r="AD26" s="1852"/>
      <c r="AE26" s="1852"/>
      <c r="AF26" s="1852"/>
      <c r="AG26" s="1852"/>
    </row>
    <row r="27" spans="1:33" s="2148" customFormat="1" ht="79.5" thickBot="1">
      <c r="B27" s="2149" t="s">
        <v>749</v>
      </c>
      <c r="C27" s="2150"/>
      <c r="D27" s="2151"/>
      <c r="E27" s="2152" t="s">
        <v>365</v>
      </c>
      <c r="F27" s="2153" t="s">
        <v>2001</v>
      </c>
      <c r="G27" s="2153" t="s">
        <v>748</v>
      </c>
      <c r="H27" s="2153" t="s">
        <v>1860</v>
      </c>
      <c r="I27" s="2153" t="s">
        <v>1860</v>
      </c>
      <c r="J27" s="2153" t="s">
        <v>1862</v>
      </c>
      <c r="K27" s="2153" t="s">
        <v>747</v>
      </c>
      <c r="L27" s="2153" t="s">
        <v>746</v>
      </c>
      <c r="M27" s="2153" t="s">
        <v>2002</v>
      </c>
      <c r="N27" s="2153" t="s">
        <v>826</v>
      </c>
      <c r="O27" s="2153" t="s">
        <v>1652</v>
      </c>
      <c r="P27" s="2153" t="s">
        <v>1861</v>
      </c>
      <c r="Q27" s="2153" t="s">
        <v>1651</v>
      </c>
      <c r="R27" s="2153" t="s">
        <v>1865</v>
      </c>
      <c r="S27" s="2153" t="s">
        <v>2120</v>
      </c>
      <c r="T27" s="2153" t="s">
        <v>647</v>
      </c>
      <c r="U27" s="2153" t="s">
        <v>826</v>
      </c>
      <c r="V27" s="2153" t="s">
        <v>826</v>
      </c>
      <c r="W27" s="2153" t="s">
        <v>826</v>
      </c>
      <c r="X27" s="2157" t="s">
        <v>826</v>
      </c>
      <c r="Y27" s="2153" t="s">
        <v>826</v>
      </c>
      <c r="Z27" s="2154"/>
      <c r="AE27" s="2155"/>
      <c r="AF27" s="2156" t="s">
        <v>745</v>
      </c>
      <c r="AG27" s="2155"/>
    </row>
    <row r="28" spans="1:33" s="2069" customFormat="1" ht="18" customHeight="1">
      <c r="B28" s="2141" t="s">
        <v>468</v>
      </c>
      <c r="C28" s="2142"/>
      <c r="D28"/>
      <c r="E28" s="2143" t="s">
        <v>744</v>
      </c>
      <c r="F28" s="2144" t="s">
        <v>744</v>
      </c>
      <c r="G28" s="2144" t="s">
        <v>744</v>
      </c>
      <c r="H28" s="2144" t="s">
        <v>744</v>
      </c>
      <c r="I28" s="2144" t="s">
        <v>744</v>
      </c>
      <c r="J28" s="2144"/>
      <c r="K28" s="2144" t="s">
        <v>744</v>
      </c>
      <c r="L28" s="2144" t="s">
        <v>744</v>
      </c>
      <c r="M28" s="2144" t="s">
        <v>744</v>
      </c>
      <c r="N28" s="2144" t="s">
        <v>744</v>
      </c>
      <c r="O28" s="2144" t="s">
        <v>744</v>
      </c>
      <c r="P28" s="2145" t="s">
        <v>744</v>
      </c>
      <c r="Q28" s="2145" t="s">
        <v>744</v>
      </c>
      <c r="R28" s="2145" t="s">
        <v>744</v>
      </c>
      <c r="S28" s="2145"/>
      <c r="T28" s="2145" t="s">
        <v>744</v>
      </c>
      <c r="U28" s="2145" t="s">
        <v>744</v>
      </c>
      <c r="V28" s="2145" t="s">
        <v>744</v>
      </c>
      <c r="W28" s="2145" t="s">
        <v>744</v>
      </c>
      <c r="X28" s="2145" t="s">
        <v>744</v>
      </c>
      <c r="Y28" s="2145" t="s">
        <v>744</v>
      </c>
      <c r="Z28" s="2146" t="s">
        <v>743</v>
      </c>
      <c r="AB28" s="2147" t="s">
        <v>775</v>
      </c>
      <c r="AC28" s="2147" t="s">
        <v>814</v>
      </c>
      <c r="AD28" s="2147" t="s">
        <v>816</v>
      </c>
      <c r="AE28" s="2140"/>
      <c r="AF28" s="2706" t="s">
        <v>742</v>
      </c>
      <c r="AG28" s="2140"/>
    </row>
    <row r="29" spans="1:33" ht="16.5" thickBot="1">
      <c r="A29" s="2148"/>
      <c r="B29" s="2160" t="s">
        <v>741</v>
      </c>
      <c r="C29" s="2161" t="s">
        <v>813</v>
      </c>
      <c r="D29" s="2162" t="s">
        <v>812</v>
      </c>
      <c r="E29" s="2158" t="s">
        <v>2005</v>
      </c>
      <c r="F29" s="2159" t="s">
        <v>2121</v>
      </c>
      <c r="G29" s="2159" t="s">
        <v>2006</v>
      </c>
      <c r="H29" s="2159" t="s">
        <v>2007</v>
      </c>
      <c r="I29" s="2159" t="s">
        <v>2008</v>
      </c>
      <c r="J29" s="2159" t="s">
        <v>2122</v>
      </c>
      <c r="K29" s="2159" t="s">
        <v>2009</v>
      </c>
      <c r="L29" s="2159" t="s">
        <v>2010</v>
      </c>
      <c r="M29" s="2159" t="s">
        <v>2011</v>
      </c>
      <c r="N29" s="2159" t="s">
        <v>2012</v>
      </c>
      <c r="O29" s="2159" t="s">
        <v>2013</v>
      </c>
      <c r="P29" s="2159" t="s">
        <v>2014</v>
      </c>
      <c r="Q29" s="2159" t="s">
        <v>2015</v>
      </c>
      <c r="R29" s="2159" t="s">
        <v>2016</v>
      </c>
      <c r="S29" s="2159" t="s">
        <v>2017</v>
      </c>
      <c r="T29" s="2159"/>
      <c r="U29" s="2159" t="s">
        <v>2018</v>
      </c>
      <c r="V29" s="2159" t="s">
        <v>2019</v>
      </c>
      <c r="W29" s="2159" t="s">
        <v>2020</v>
      </c>
      <c r="X29" s="2159">
        <v>748</v>
      </c>
      <c r="Y29" s="2597">
        <v>749</v>
      </c>
      <c r="Z29" s="1922"/>
      <c r="AB29" s="1923" t="s">
        <v>761</v>
      </c>
      <c r="AC29" s="1924" t="s">
        <v>815</v>
      </c>
      <c r="AD29" s="1924" t="s">
        <v>817</v>
      </c>
      <c r="AE29" s="1852"/>
      <c r="AF29" s="2707"/>
      <c r="AG29" s="1852"/>
    </row>
    <row r="30" spans="1:33">
      <c r="B30" s="1854" t="s">
        <v>147</v>
      </c>
      <c r="C30" s="1959"/>
      <c r="D30" s="2163"/>
      <c r="E30" s="2590">
        <v>2534</v>
      </c>
      <c r="F30" s="2591">
        <v>0</v>
      </c>
      <c r="G30" s="2591">
        <v>50</v>
      </c>
      <c r="H30" s="2591">
        <v>18</v>
      </c>
      <c r="I30" s="2591">
        <v>56</v>
      </c>
      <c r="J30" s="2591">
        <v>25</v>
      </c>
      <c r="K30" s="2591">
        <v>0</v>
      </c>
      <c r="L30" s="2591">
        <v>30</v>
      </c>
      <c r="M30" s="2591">
        <v>11</v>
      </c>
      <c r="N30" s="2591">
        <v>80</v>
      </c>
      <c r="O30" s="2591">
        <v>74</v>
      </c>
      <c r="P30" s="2591">
        <v>4</v>
      </c>
      <c r="Q30" s="2591">
        <v>30</v>
      </c>
      <c r="R30" s="2591">
        <v>25</v>
      </c>
      <c r="S30" s="2591">
        <v>0</v>
      </c>
      <c r="T30" s="2591">
        <v>130.69800000000006</v>
      </c>
      <c r="U30" s="2591">
        <v>85</v>
      </c>
      <c r="V30" s="2591">
        <v>85</v>
      </c>
      <c r="W30" s="2591">
        <v>80</v>
      </c>
      <c r="X30" s="2591">
        <v>50</v>
      </c>
      <c r="Y30" s="2592">
        <v>150</v>
      </c>
      <c r="Z30" s="1927">
        <f>SUM(E30:Y30)</f>
        <v>3517.6979999999999</v>
      </c>
      <c r="AB30" s="1928">
        <f t="shared" ref="AB30:AB41" si="6">+E10+V10+AC10</f>
        <v>10767.819000000001</v>
      </c>
      <c r="AC30" s="1929">
        <v>178.042</v>
      </c>
      <c r="AD30" s="1930">
        <f>AB30+AC30</f>
        <v>10945.861000000001</v>
      </c>
      <c r="AE30" s="1852"/>
      <c r="AF30" s="1931">
        <f t="shared" ref="AF30:AF41" si="7">+AD30+Z30</f>
        <v>14463.559000000001</v>
      </c>
      <c r="AG30" s="1852"/>
    </row>
    <row r="31" spans="1:33">
      <c r="B31" s="1854" t="s">
        <v>148</v>
      </c>
      <c r="C31" s="1959"/>
      <c r="D31" s="1959"/>
      <c r="E31" s="1925">
        <v>2534</v>
      </c>
      <c r="F31" s="1926">
        <v>0</v>
      </c>
      <c r="G31" s="1926">
        <v>50</v>
      </c>
      <c r="H31" s="1926">
        <v>18</v>
      </c>
      <c r="I31" s="1926">
        <v>56</v>
      </c>
      <c r="J31" s="1926">
        <v>25</v>
      </c>
      <c r="K31" s="1926">
        <v>0</v>
      </c>
      <c r="L31" s="1926">
        <v>30</v>
      </c>
      <c r="M31" s="1926">
        <v>11</v>
      </c>
      <c r="N31" s="1926">
        <v>80</v>
      </c>
      <c r="O31" s="1926">
        <v>74</v>
      </c>
      <c r="P31" s="1926">
        <v>4</v>
      </c>
      <c r="Q31" s="1926">
        <v>30</v>
      </c>
      <c r="R31" s="1926">
        <v>25</v>
      </c>
      <c r="S31" s="1926">
        <v>0</v>
      </c>
      <c r="T31" s="1926">
        <v>130.69800000000006</v>
      </c>
      <c r="U31" s="1926">
        <v>85</v>
      </c>
      <c r="V31" s="1926">
        <v>85</v>
      </c>
      <c r="W31" s="1926">
        <v>80</v>
      </c>
      <c r="X31" s="1926">
        <v>50</v>
      </c>
      <c r="Y31" s="2593">
        <v>150</v>
      </c>
      <c r="Z31" s="1927">
        <f t="shared" ref="Z31:Z41" si="8">SUM(E31:Y31)</f>
        <v>3517.6979999999999</v>
      </c>
      <c r="AB31" s="1932">
        <f t="shared" si="6"/>
        <v>9508.9470000000019</v>
      </c>
      <c r="AC31" s="1933">
        <v>243.94499999999999</v>
      </c>
      <c r="AD31" s="1931">
        <f t="shared" ref="AD31:AD41" si="9">AB31+AC31</f>
        <v>9752.8920000000016</v>
      </c>
      <c r="AE31" s="1852"/>
      <c r="AF31" s="1931">
        <f t="shared" si="7"/>
        <v>13270.590000000002</v>
      </c>
      <c r="AG31" s="1852"/>
    </row>
    <row r="32" spans="1:33">
      <c r="B32" s="1854" t="s">
        <v>352</v>
      </c>
      <c r="C32" s="1959"/>
      <c r="D32" s="1959"/>
      <c r="E32" s="1925">
        <v>2534</v>
      </c>
      <c r="F32" s="1926">
        <v>0</v>
      </c>
      <c r="G32" s="1926">
        <v>50</v>
      </c>
      <c r="H32" s="1926">
        <v>18</v>
      </c>
      <c r="I32" s="1926">
        <v>56</v>
      </c>
      <c r="J32" s="1926">
        <v>25</v>
      </c>
      <c r="K32" s="1926">
        <v>0</v>
      </c>
      <c r="L32" s="1926">
        <v>30</v>
      </c>
      <c r="M32" s="1926">
        <v>11</v>
      </c>
      <c r="N32" s="1926">
        <v>80</v>
      </c>
      <c r="O32" s="1926">
        <v>74</v>
      </c>
      <c r="P32" s="1926">
        <v>4</v>
      </c>
      <c r="Q32" s="1926">
        <v>30</v>
      </c>
      <c r="R32" s="1926">
        <v>25</v>
      </c>
      <c r="S32" s="1926">
        <v>0</v>
      </c>
      <c r="T32" s="1926">
        <v>130.69800000000006</v>
      </c>
      <c r="U32" s="1926">
        <v>85</v>
      </c>
      <c r="V32" s="1926">
        <v>85</v>
      </c>
      <c r="W32" s="1926">
        <v>80</v>
      </c>
      <c r="X32" s="1926">
        <v>50</v>
      </c>
      <c r="Y32" s="2593">
        <v>150</v>
      </c>
      <c r="Z32" s="1927">
        <f t="shared" si="8"/>
        <v>3517.6979999999999</v>
      </c>
      <c r="AB32" s="1932">
        <f t="shared" si="6"/>
        <v>8972.8780000000006</v>
      </c>
      <c r="AC32" s="1933">
        <v>318.24200000000002</v>
      </c>
      <c r="AD32" s="1931">
        <f t="shared" si="9"/>
        <v>9291.1200000000008</v>
      </c>
      <c r="AE32" s="1852"/>
      <c r="AF32" s="1931">
        <f t="shared" si="7"/>
        <v>12808.818000000001</v>
      </c>
      <c r="AG32" s="1852"/>
    </row>
    <row r="33" spans="2:33">
      <c r="B33" s="1854" t="s">
        <v>143</v>
      </c>
      <c r="C33" s="1959"/>
      <c r="D33" s="1959"/>
      <c r="E33" s="1925">
        <v>2534</v>
      </c>
      <c r="F33" s="1926">
        <v>0</v>
      </c>
      <c r="G33" s="1926">
        <v>50</v>
      </c>
      <c r="H33" s="1926">
        <v>18</v>
      </c>
      <c r="I33" s="1926">
        <v>56</v>
      </c>
      <c r="J33" s="1926">
        <v>25</v>
      </c>
      <c r="K33" s="1926">
        <v>0</v>
      </c>
      <c r="L33" s="1926">
        <v>30</v>
      </c>
      <c r="M33" s="1926">
        <v>11</v>
      </c>
      <c r="N33" s="1926">
        <v>80</v>
      </c>
      <c r="O33" s="1926">
        <v>74</v>
      </c>
      <c r="P33" s="1926">
        <v>4</v>
      </c>
      <c r="Q33" s="1926">
        <v>30</v>
      </c>
      <c r="R33" s="1926">
        <v>25</v>
      </c>
      <c r="S33" s="1926">
        <v>55</v>
      </c>
      <c r="T33" s="1926">
        <v>133.14600000000016</v>
      </c>
      <c r="U33" s="1926">
        <v>100</v>
      </c>
      <c r="V33" s="1926">
        <v>100</v>
      </c>
      <c r="W33" s="1926">
        <v>100</v>
      </c>
      <c r="X33" s="1926">
        <v>50</v>
      </c>
      <c r="Y33" s="2593">
        <v>150</v>
      </c>
      <c r="Z33" s="1927">
        <f t="shared" si="8"/>
        <v>3625.1460000000002</v>
      </c>
      <c r="AB33" s="1932">
        <f t="shared" si="6"/>
        <v>8266.8889999999992</v>
      </c>
      <c r="AC33" s="1933">
        <v>173.71299999999999</v>
      </c>
      <c r="AD33" s="1931">
        <f t="shared" si="9"/>
        <v>8440.601999999999</v>
      </c>
      <c r="AE33" s="1852"/>
      <c r="AF33" s="1931">
        <f t="shared" si="7"/>
        <v>12065.748</v>
      </c>
      <c r="AG33" s="1852"/>
    </row>
    <row r="34" spans="2:33">
      <c r="B34" s="1854" t="s">
        <v>144</v>
      </c>
      <c r="C34" s="1959"/>
      <c r="D34" s="1959"/>
      <c r="E34" s="1925">
        <v>2534</v>
      </c>
      <c r="F34" s="1926">
        <v>0</v>
      </c>
      <c r="G34" s="1926">
        <v>50</v>
      </c>
      <c r="H34" s="1926">
        <v>18</v>
      </c>
      <c r="I34" s="1926">
        <v>56</v>
      </c>
      <c r="J34" s="1926">
        <v>25</v>
      </c>
      <c r="K34" s="1926">
        <v>0</v>
      </c>
      <c r="L34" s="1926">
        <v>30</v>
      </c>
      <c r="M34" s="1926">
        <v>11</v>
      </c>
      <c r="N34" s="1926">
        <v>80</v>
      </c>
      <c r="O34" s="1926">
        <v>74</v>
      </c>
      <c r="P34" s="1926">
        <v>4</v>
      </c>
      <c r="Q34" s="1926">
        <v>30</v>
      </c>
      <c r="R34" s="1926">
        <v>25</v>
      </c>
      <c r="S34" s="1926">
        <v>55</v>
      </c>
      <c r="T34" s="1926">
        <v>133.14600000000016</v>
      </c>
      <c r="U34" s="1926">
        <v>100</v>
      </c>
      <c r="V34" s="1926">
        <v>100</v>
      </c>
      <c r="W34" s="1926">
        <v>100</v>
      </c>
      <c r="X34" s="1926">
        <v>50</v>
      </c>
      <c r="Y34" s="2593">
        <v>150</v>
      </c>
      <c r="Z34" s="1927">
        <f t="shared" si="8"/>
        <v>3625.1460000000002</v>
      </c>
      <c r="AB34" s="1932">
        <f t="shared" si="6"/>
        <v>9429.34</v>
      </c>
      <c r="AC34" s="1933">
        <v>159.87799999999999</v>
      </c>
      <c r="AD34" s="1931">
        <f t="shared" si="9"/>
        <v>9589.2180000000008</v>
      </c>
      <c r="AE34" s="1852"/>
      <c r="AF34" s="1931">
        <f t="shared" si="7"/>
        <v>13214.364000000001</v>
      </c>
      <c r="AG34" s="1852"/>
    </row>
    <row r="35" spans="2:33">
      <c r="B35" s="1854" t="s">
        <v>151</v>
      </c>
      <c r="C35" s="1959"/>
      <c r="D35" s="1959"/>
      <c r="E35" s="1925">
        <v>2629</v>
      </c>
      <c r="F35" s="1926">
        <v>0</v>
      </c>
      <c r="G35" s="1926">
        <v>50</v>
      </c>
      <c r="H35" s="1926">
        <v>18</v>
      </c>
      <c r="I35" s="1926">
        <v>56</v>
      </c>
      <c r="J35" s="1926">
        <v>25</v>
      </c>
      <c r="K35" s="1926">
        <v>75</v>
      </c>
      <c r="L35" s="1926">
        <v>30</v>
      </c>
      <c r="M35" s="1926">
        <v>11</v>
      </c>
      <c r="N35" s="1926">
        <v>80</v>
      </c>
      <c r="O35" s="1926">
        <v>55</v>
      </c>
      <c r="P35" s="1926">
        <v>4</v>
      </c>
      <c r="Q35" s="1926">
        <v>30</v>
      </c>
      <c r="R35" s="1926">
        <v>25</v>
      </c>
      <c r="S35" s="1926">
        <v>55</v>
      </c>
      <c r="T35" s="1926">
        <v>139.86600000000021</v>
      </c>
      <c r="U35" s="1926">
        <v>100</v>
      </c>
      <c r="V35" s="1926">
        <v>100</v>
      </c>
      <c r="W35" s="1926">
        <v>100</v>
      </c>
      <c r="X35" s="1926">
        <v>50</v>
      </c>
      <c r="Y35" s="2593">
        <v>150</v>
      </c>
      <c r="Z35" s="1927">
        <f t="shared" si="8"/>
        <v>3782.866</v>
      </c>
      <c r="AB35" s="1932">
        <f t="shared" si="6"/>
        <v>11383.481</v>
      </c>
      <c r="AC35" s="1933">
        <v>254.941</v>
      </c>
      <c r="AD35" s="1931">
        <f t="shared" si="9"/>
        <v>11638.422</v>
      </c>
      <c r="AE35" s="1852"/>
      <c r="AF35" s="1931">
        <f t="shared" si="7"/>
        <v>15421.288</v>
      </c>
      <c r="AG35" s="1852"/>
    </row>
    <row r="36" spans="2:33">
      <c r="B36" s="1854" t="s">
        <v>740</v>
      </c>
      <c r="C36" s="1959"/>
      <c r="D36" s="1959"/>
      <c r="E36" s="1925">
        <v>2629</v>
      </c>
      <c r="F36" s="1926">
        <v>0</v>
      </c>
      <c r="G36" s="1926">
        <v>50</v>
      </c>
      <c r="H36" s="1926">
        <v>18</v>
      </c>
      <c r="I36" s="1926">
        <v>56</v>
      </c>
      <c r="J36" s="1926">
        <v>25</v>
      </c>
      <c r="K36" s="1926">
        <v>75</v>
      </c>
      <c r="L36" s="1926">
        <v>30</v>
      </c>
      <c r="M36" s="1926">
        <v>11</v>
      </c>
      <c r="N36" s="1926">
        <v>80</v>
      </c>
      <c r="O36" s="1926">
        <v>55</v>
      </c>
      <c r="P36" s="1926">
        <v>4</v>
      </c>
      <c r="Q36" s="1926">
        <v>19</v>
      </c>
      <c r="R36" s="1926">
        <v>25</v>
      </c>
      <c r="S36" s="1926">
        <v>55</v>
      </c>
      <c r="T36" s="1926">
        <v>139.37700000000018</v>
      </c>
      <c r="U36" s="1926">
        <v>100</v>
      </c>
      <c r="V36" s="1926">
        <v>100</v>
      </c>
      <c r="W36" s="1926">
        <v>100</v>
      </c>
      <c r="X36" s="1926">
        <v>50</v>
      </c>
      <c r="Y36" s="2593">
        <v>150</v>
      </c>
      <c r="Z36" s="1927">
        <f t="shared" si="8"/>
        <v>3771.3770000000004</v>
      </c>
      <c r="AB36" s="1932">
        <f t="shared" si="6"/>
        <v>12039.357</v>
      </c>
      <c r="AC36" s="1933">
        <v>257.25400000000002</v>
      </c>
      <c r="AD36" s="1931">
        <f t="shared" si="9"/>
        <v>12296.611000000001</v>
      </c>
      <c r="AE36" s="1852"/>
      <c r="AF36" s="1931">
        <f t="shared" si="7"/>
        <v>16067.988000000001</v>
      </c>
      <c r="AG36" s="1852"/>
    </row>
    <row r="37" spans="2:33">
      <c r="B37" s="1854" t="s">
        <v>153</v>
      </c>
      <c r="C37" s="1959"/>
      <c r="D37" s="1959"/>
      <c r="E37" s="1925">
        <v>2629</v>
      </c>
      <c r="F37" s="1926">
        <v>0</v>
      </c>
      <c r="G37" s="1926">
        <v>50</v>
      </c>
      <c r="H37" s="1926">
        <v>18</v>
      </c>
      <c r="I37" s="1926">
        <v>56</v>
      </c>
      <c r="J37" s="1926">
        <v>25</v>
      </c>
      <c r="K37" s="1926">
        <v>75</v>
      </c>
      <c r="L37" s="1926">
        <v>30</v>
      </c>
      <c r="M37" s="1926">
        <v>11</v>
      </c>
      <c r="N37" s="1926">
        <v>80</v>
      </c>
      <c r="O37" s="1926">
        <v>55</v>
      </c>
      <c r="P37" s="1926">
        <v>4</v>
      </c>
      <c r="Q37" s="1926">
        <v>19</v>
      </c>
      <c r="R37" s="1926">
        <v>25</v>
      </c>
      <c r="S37" s="1926">
        <v>55</v>
      </c>
      <c r="T37" s="1926">
        <v>139.37700000000018</v>
      </c>
      <c r="U37" s="1926">
        <v>100</v>
      </c>
      <c r="V37" s="1926">
        <v>100</v>
      </c>
      <c r="W37" s="1926">
        <v>100</v>
      </c>
      <c r="X37" s="1926">
        <v>50</v>
      </c>
      <c r="Y37" s="2593">
        <v>150</v>
      </c>
      <c r="Z37" s="1927">
        <f t="shared" si="8"/>
        <v>3771.3770000000004</v>
      </c>
      <c r="AB37" s="1932">
        <f t="shared" si="6"/>
        <v>12121.309000000001</v>
      </c>
      <c r="AC37" s="1933">
        <v>261.89600000000002</v>
      </c>
      <c r="AD37" s="1931">
        <f t="shared" si="9"/>
        <v>12383.205000000002</v>
      </c>
      <c r="AE37" s="1852"/>
      <c r="AF37" s="1931">
        <f t="shared" si="7"/>
        <v>16154.582000000002</v>
      </c>
      <c r="AG37" s="1852"/>
    </row>
    <row r="38" spans="2:33">
      <c r="B38" s="1854" t="s">
        <v>739</v>
      </c>
      <c r="C38" s="1959"/>
      <c r="D38" s="1959"/>
      <c r="E38" s="1925">
        <v>2629</v>
      </c>
      <c r="F38" s="1926">
        <v>0</v>
      </c>
      <c r="G38" s="1926">
        <v>50</v>
      </c>
      <c r="H38" s="1926">
        <v>18</v>
      </c>
      <c r="I38" s="1926">
        <v>56</v>
      </c>
      <c r="J38" s="1926">
        <v>25</v>
      </c>
      <c r="K38" s="1926">
        <v>75</v>
      </c>
      <c r="L38" s="1926">
        <v>30</v>
      </c>
      <c r="M38" s="1926">
        <v>11</v>
      </c>
      <c r="N38" s="1926">
        <v>80</v>
      </c>
      <c r="O38" s="1926">
        <v>55</v>
      </c>
      <c r="P38" s="1926">
        <v>4</v>
      </c>
      <c r="Q38" s="1926">
        <v>19</v>
      </c>
      <c r="R38" s="1926">
        <v>25</v>
      </c>
      <c r="S38" s="1926">
        <v>55</v>
      </c>
      <c r="T38" s="1926">
        <v>139.37700000000018</v>
      </c>
      <c r="U38" s="1926">
        <v>100</v>
      </c>
      <c r="V38" s="1926">
        <v>100</v>
      </c>
      <c r="W38" s="1926">
        <v>100</v>
      </c>
      <c r="X38" s="1926">
        <v>50</v>
      </c>
      <c r="Y38" s="2593">
        <v>150</v>
      </c>
      <c r="Z38" s="1927">
        <f t="shared" si="8"/>
        <v>3771.3770000000004</v>
      </c>
      <c r="AB38" s="1932">
        <f t="shared" si="6"/>
        <v>11119.034</v>
      </c>
      <c r="AC38" s="1933">
        <v>233.42</v>
      </c>
      <c r="AD38" s="1931">
        <f t="shared" si="9"/>
        <v>11352.454</v>
      </c>
      <c r="AE38" s="1852"/>
      <c r="AF38" s="1931">
        <f t="shared" si="7"/>
        <v>15123.831</v>
      </c>
      <c r="AG38" s="1852"/>
    </row>
    <row r="39" spans="2:33">
      <c r="B39" s="1854" t="s">
        <v>155</v>
      </c>
      <c r="C39" s="1959"/>
      <c r="D39" s="1959"/>
      <c r="E39" s="1925">
        <v>2569</v>
      </c>
      <c r="F39" s="1926">
        <v>0</v>
      </c>
      <c r="G39" s="1926">
        <v>50</v>
      </c>
      <c r="H39" s="1926">
        <v>18</v>
      </c>
      <c r="I39" s="1926">
        <v>56</v>
      </c>
      <c r="J39" s="1926">
        <v>25</v>
      </c>
      <c r="K39" s="1926">
        <v>75</v>
      </c>
      <c r="L39" s="1926">
        <v>30</v>
      </c>
      <c r="M39" s="1926">
        <v>11</v>
      </c>
      <c r="N39" s="1926">
        <v>80</v>
      </c>
      <c r="O39" s="1926">
        <v>55</v>
      </c>
      <c r="P39" s="1926">
        <v>4</v>
      </c>
      <c r="Q39" s="1926">
        <v>19</v>
      </c>
      <c r="R39" s="1926">
        <v>25</v>
      </c>
      <c r="S39" s="1926">
        <v>55</v>
      </c>
      <c r="T39" s="1926">
        <v>136.70700000000019</v>
      </c>
      <c r="U39" s="1926">
        <v>100</v>
      </c>
      <c r="V39" s="1926">
        <v>100</v>
      </c>
      <c r="W39" s="1926">
        <v>100</v>
      </c>
      <c r="X39" s="1926">
        <v>50</v>
      </c>
      <c r="Y39" s="2593">
        <v>150</v>
      </c>
      <c r="Z39" s="1927">
        <f t="shared" si="8"/>
        <v>3708.7070000000003</v>
      </c>
      <c r="AB39" s="1932">
        <f t="shared" si="6"/>
        <v>8432.6419999999998</v>
      </c>
      <c r="AC39" s="1933">
        <v>202.69499999999999</v>
      </c>
      <c r="AD39" s="1931">
        <f t="shared" si="9"/>
        <v>8635.3369999999995</v>
      </c>
      <c r="AE39" s="1852"/>
      <c r="AF39" s="1931">
        <f t="shared" si="7"/>
        <v>12344.044</v>
      </c>
      <c r="AG39" s="1852"/>
    </row>
    <row r="40" spans="2:33">
      <c r="B40" s="1854" t="s">
        <v>156</v>
      </c>
      <c r="C40" s="1959"/>
      <c r="D40" s="1959"/>
      <c r="E40" s="1925">
        <v>2534</v>
      </c>
      <c r="F40" s="1926">
        <v>0</v>
      </c>
      <c r="G40" s="1926">
        <v>50</v>
      </c>
      <c r="H40" s="1926">
        <v>18</v>
      </c>
      <c r="I40" s="1926">
        <v>56</v>
      </c>
      <c r="J40" s="1926">
        <v>25</v>
      </c>
      <c r="K40" s="1926">
        <v>0</v>
      </c>
      <c r="L40" s="1926">
        <v>30</v>
      </c>
      <c r="M40" s="1926">
        <v>11</v>
      </c>
      <c r="N40" s="1926">
        <v>80</v>
      </c>
      <c r="O40" s="1926">
        <v>74</v>
      </c>
      <c r="P40" s="1926">
        <v>4</v>
      </c>
      <c r="Q40" s="1926">
        <v>19</v>
      </c>
      <c r="R40" s="1926">
        <v>25</v>
      </c>
      <c r="S40" s="1926">
        <v>55</v>
      </c>
      <c r="T40" s="1926">
        <v>132.65700000000012</v>
      </c>
      <c r="U40" s="1926">
        <v>100</v>
      </c>
      <c r="V40" s="1926">
        <v>100</v>
      </c>
      <c r="W40" s="1926">
        <v>100</v>
      </c>
      <c r="X40" s="1926">
        <v>50</v>
      </c>
      <c r="Y40" s="2593">
        <v>150</v>
      </c>
      <c r="Z40" s="1927">
        <f t="shared" si="8"/>
        <v>3613.6570000000002</v>
      </c>
      <c r="AB40" s="1932">
        <f t="shared" si="6"/>
        <v>8840.6039999999994</v>
      </c>
      <c r="AC40" s="1933">
        <v>305.98599999999999</v>
      </c>
      <c r="AD40" s="1931">
        <f t="shared" si="9"/>
        <v>9146.59</v>
      </c>
      <c r="AE40" s="1852"/>
      <c r="AF40" s="1931">
        <f t="shared" si="7"/>
        <v>12760.246999999999</v>
      </c>
      <c r="AG40" s="1852"/>
    </row>
    <row r="41" spans="2:33" ht="16.5" thickBot="1">
      <c r="B41" s="1854" t="s">
        <v>157</v>
      </c>
      <c r="C41" s="1959"/>
      <c r="D41" s="1957"/>
      <c r="E41" s="2594">
        <v>2534</v>
      </c>
      <c r="F41" s="2595">
        <v>0</v>
      </c>
      <c r="G41" s="2595">
        <v>50</v>
      </c>
      <c r="H41" s="2595">
        <v>18</v>
      </c>
      <c r="I41" s="2595">
        <v>56</v>
      </c>
      <c r="J41" s="2595">
        <v>25</v>
      </c>
      <c r="K41" s="2595">
        <v>0</v>
      </c>
      <c r="L41" s="2595">
        <v>30</v>
      </c>
      <c r="M41" s="2595">
        <v>11</v>
      </c>
      <c r="N41" s="2595">
        <v>80</v>
      </c>
      <c r="O41" s="2595">
        <v>74</v>
      </c>
      <c r="P41" s="2595">
        <v>4</v>
      </c>
      <c r="Q41" s="2595">
        <v>19</v>
      </c>
      <c r="R41" s="2595">
        <v>25</v>
      </c>
      <c r="S41" s="2595">
        <v>55</v>
      </c>
      <c r="T41" s="2595">
        <v>132.65700000000012</v>
      </c>
      <c r="U41" s="2595">
        <v>100</v>
      </c>
      <c r="V41" s="2595">
        <v>100</v>
      </c>
      <c r="W41" s="2595">
        <v>100</v>
      </c>
      <c r="X41" s="2595">
        <v>50</v>
      </c>
      <c r="Y41" s="2596">
        <v>150</v>
      </c>
      <c r="Z41" s="1927">
        <f t="shared" si="8"/>
        <v>3613.6570000000002</v>
      </c>
      <c r="AB41" s="1934">
        <f t="shared" si="6"/>
        <v>9669.2029999999995</v>
      </c>
      <c r="AC41" s="1935">
        <v>221.17599999999999</v>
      </c>
      <c r="AD41" s="1936">
        <f t="shared" si="9"/>
        <v>9890.378999999999</v>
      </c>
      <c r="AE41" s="1852"/>
      <c r="AF41" s="1931">
        <f t="shared" si="7"/>
        <v>13504.036</v>
      </c>
      <c r="AG41" s="1852"/>
    </row>
    <row r="42" spans="2:33" ht="16.5" thickBot="1">
      <c r="B42" s="1963" t="s">
        <v>282</v>
      </c>
      <c r="C42" s="1964"/>
      <c r="D42" s="1965"/>
      <c r="E42" s="1904">
        <f t="shared" ref="E42:Y42" si="10">SUM(E30:E41)</f>
        <v>30823</v>
      </c>
      <c r="F42" s="1903">
        <f t="shared" si="10"/>
        <v>0</v>
      </c>
      <c r="G42" s="1903">
        <f t="shared" si="10"/>
        <v>600</v>
      </c>
      <c r="H42" s="1903">
        <f t="shared" si="10"/>
        <v>216</v>
      </c>
      <c r="I42" s="1903">
        <f t="shared" si="10"/>
        <v>672</v>
      </c>
      <c r="J42" s="1903">
        <f t="shared" si="10"/>
        <v>300</v>
      </c>
      <c r="K42" s="1903">
        <f t="shared" si="10"/>
        <v>375</v>
      </c>
      <c r="L42" s="1903">
        <f t="shared" si="10"/>
        <v>360</v>
      </c>
      <c r="M42" s="1903">
        <f t="shared" si="10"/>
        <v>132</v>
      </c>
      <c r="N42" s="1903">
        <f t="shared" si="10"/>
        <v>960</v>
      </c>
      <c r="O42" s="1903">
        <f t="shared" si="10"/>
        <v>793</v>
      </c>
      <c r="P42" s="1903">
        <f t="shared" si="10"/>
        <v>48</v>
      </c>
      <c r="Q42" s="1903">
        <f t="shared" si="10"/>
        <v>294</v>
      </c>
      <c r="R42" s="1903">
        <f t="shared" si="10"/>
        <v>300</v>
      </c>
      <c r="S42" s="1903">
        <f t="shared" si="10"/>
        <v>495</v>
      </c>
      <c r="T42" s="1903">
        <f t="shared" si="10"/>
        <v>1618.4040000000018</v>
      </c>
      <c r="U42" s="1903">
        <f t="shared" si="10"/>
        <v>1155</v>
      </c>
      <c r="V42" s="1903">
        <f t="shared" si="10"/>
        <v>1155</v>
      </c>
      <c r="W42" s="1903">
        <f t="shared" si="10"/>
        <v>1140</v>
      </c>
      <c r="X42" s="1903">
        <f t="shared" si="10"/>
        <v>600</v>
      </c>
      <c r="Y42" s="1902">
        <f t="shared" si="10"/>
        <v>1800</v>
      </c>
      <c r="Z42" s="1937">
        <f>SUM(Z30:Z41)</f>
        <v>43836.404000000002</v>
      </c>
      <c r="AB42" s="1938">
        <f>SUM(AB30:AB41)</f>
        <v>120551.50300000001</v>
      </c>
      <c r="AC42" s="1938">
        <f>SUM(AC30:AC41)</f>
        <v>2811.1879999999996</v>
      </c>
      <c r="AD42" s="1938">
        <f>SUM(AD30:AD41)</f>
        <v>123362.69100000001</v>
      </c>
      <c r="AE42" s="1852"/>
      <c r="AF42" s="1938">
        <f>SUM(AF30:AF41)</f>
        <v>167199.095</v>
      </c>
      <c r="AG42" s="1852"/>
    </row>
    <row r="43" spans="2:33" ht="16.5" thickBot="1">
      <c r="B43" s="1893" t="s">
        <v>1642</v>
      </c>
      <c r="C43" s="1894"/>
      <c r="D43" s="1895"/>
      <c r="E43" s="1904">
        <f t="shared" ref="E43:Y43" si="11">+E42/12</f>
        <v>2568.5833333333335</v>
      </c>
      <c r="F43" s="1903">
        <f t="shared" si="11"/>
        <v>0</v>
      </c>
      <c r="G43" s="1903">
        <f t="shared" si="11"/>
        <v>50</v>
      </c>
      <c r="H43" s="1903">
        <f t="shared" si="11"/>
        <v>18</v>
      </c>
      <c r="I43" s="1903">
        <f t="shared" si="11"/>
        <v>56</v>
      </c>
      <c r="J43" s="1903">
        <f t="shared" si="11"/>
        <v>25</v>
      </c>
      <c r="K43" s="1903">
        <f t="shared" si="11"/>
        <v>31.25</v>
      </c>
      <c r="L43" s="1903">
        <f t="shared" si="11"/>
        <v>30</v>
      </c>
      <c r="M43" s="1903">
        <f t="shared" si="11"/>
        <v>11</v>
      </c>
      <c r="N43" s="1903">
        <f t="shared" si="11"/>
        <v>80</v>
      </c>
      <c r="O43" s="1903">
        <f t="shared" si="11"/>
        <v>66.083333333333329</v>
      </c>
      <c r="P43" s="1903">
        <f t="shared" si="11"/>
        <v>4</v>
      </c>
      <c r="Q43" s="1903">
        <f>+Q42/12</f>
        <v>24.5</v>
      </c>
      <c r="R43" s="1903">
        <f t="shared" si="11"/>
        <v>25</v>
      </c>
      <c r="S43" s="1903">
        <f t="shared" si="11"/>
        <v>41.25</v>
      </c>
      <c r="T43" s="1903">
        <f t="shared" si="11"/>
        <v>134.86700000000016</v>
      </c>
      <c r="U43" s="1903">
        <f t="shared" si="11"/>
        <v>96.25</v>
      </c>
      <c r="V43" s="1903">
        <f t="shared" si="11"/>
        <v>96.25</v>
      </c>
      <c r="W43" s="1903">
        <f t="shared" si="11"/>
        <v>95</v>
      </c>
      <c r="X43" s="1903">
        <f t="shared" si="11"/>
        <v>50</v>
      </c>
      <c r="Y43" s="1903">
        <f t="shared" si="11"/>
        <v>150</v>
      </c>
      <c r="Z43" s="1937">
        <f>+Z42/12</f>
        <v>3653.0336666666667</v>
      </c>
      <c r="AB43" s="1938">
        <f>+AB42/12</f>
        <v>10045.958583333335</v>
      </c>
      <c r="AC43" s="1938">
        <f>+AC42/12</f>
        <v>234.26566666666665</v>
      </c>
      <c r="AD43" s="1938">
        <f>+AD42/12</f>
        <v>10280.224250000001</v>
      </c>
      <c r="AE43" s="1852"/>
      <c r="AF43" s="1939">
        <f>+AF42/12</f>
        <v>13933.257916666667</v>
      </c>
      <c r="AG43" s="1852"/>
    </row>
    <row r="52" spans="18:20">
      <c r="R52" s="1940"/>
      <c r="T52" s="1941"/>
    </row>
    <row r="53" spans="18:20">
      <c r="R53" s="1940"/>
    </row>
    <row r="55" spans="18:20">
      <c r="R55" s="1898"/>
    </row>
    <row r="56" spans="18:20">
      <c r="R56" s="1941"/>
    </row>
  </sheetData>
  <mergeCells count="4">
    <mergeCell ref="AF28:AF29"/>
    <mergeCell ref="E25:Y25"/>
    <mergeCell ref="X5:AC5"/>
    <mergeCell ref="E5:U5"/>
  </mergeCells>
  <pageMargins left="0.45" right="0.45" top="0.75" bottom="0.75" header="0.3" footer="0.3"/>
  <pageSetup scale="3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heetViews>
  <sheetFormatPr defaultColWidth="9.140625" defaultRowHeight="15"/>
  <cols>
    <col min="1" max="1" width="1.85546875" style="1744" customWidth="1"/>
    <col min="2" max="3" width="20.7109375" style="1744" customWidth="1"/>
    <col min="4" max="4" width="33.140625" style="1744" bestFit="1" customWidth="1"/>
    <col min="5" max="5" width="20.7109375" style="1744" customWidth="1"/>
    <col min="6" max="6" width="1.42578125" style="1744" customWidth="1"/>
    <col min="7" max="8" width="9.140625" style="1744"/>
    <col min="9" max="9" width="9.7109375" style="1744" bestFit="1" customWidth="1"/>
    <col min="10" max="10" width="13.5703125" style="1744" bestFit="1" customWidth="1"/>
    <col min="11" max="11" width="9.140625" style="1744"/>
    <col min="12" max="12" width="14.5703125" style="1744" bestFit="1" customWidth="1"/>
    <col min="13" max="16384" width="9.140625" style="1744"/>
  </cols>
  <sheetData>
    <row r="1" spans="1:15" s="437" customFormat="1" ht="15.75">
      <c r="A1" s="1742"/>
      <c r="B1" s="2729" t="s">
        <v>365</v>
      </c>
      <c r="C1" s="2729"/>
      <c r="D1" s="2729"/>
      <c r="E1" s="2729"/>
      <c r="F1" s="1527"/>
      <c r="G1" s="1527"/>
      <c r="H1" s="1527"/>
      <c r="I1" s="1527"/>
      <c r="J1" s="1527"/>
      <c r="K1" s="1527"/>
      <c r="L1" s="1527"/>
      <c r="M1" s="1527"/>
      <c r="N1" s="1527"/>
      <c r="O1" s="1527"/>
    </row>
    <row r="2" spans="1:15" s="437" customFormat="1">
      <c r="A2" s="1742"/>
      <c r="B2" s="2730" t="s">
        <v>463</v>
      </c>
      <c r="C2" s="2730"/>
      <c r="D2" s="2730"/>
      <c r="E2" s="2730"/>
      <c r="F2" s="1527"/>
      <c r="G2" s="1527"/>
      <c r="H2" s="1527"/>
      <c r="I2" s="1527"/>
      <c r="J2" s="1527"/>
      <c r="K2" s="1527"/>
      <c r="L2" s="1527"/>
      <c r="M2" s="1527"/>
      <c r="N2" s="1527"/>
      <c r="O2" s="1527"/>
    </row>
    <row r="3" spans="1:15" s="437" customFormat="1" ht="12.75">
      <c r="A3" s="1742"/>
      <c r="B3" s="2731"/>
      <c r="C3" s="2731"/>
      <c r="D3" s="2731"/>
      <c r="E3" s="2731"/>
      <c r="F3" s="1525"/>
      <c r="G3" s="1525"/>
      <c r="H3" s="1525"/>
      <c r="I3" s="1525"/>
      <c r="J3" s="1525"/>
      <c r="K3" s="1525"/>
      <c r="L3" s="1525"/>
      <c r="M3" s="1525"/>
      <c r="N3" s="1525"/>
      <c r="O3" s="1525"/>
    </row>
    <row r="4" spans="1:15">
      <c r="A4" s="1743"/>
      <c r="B4" s="1743"/>
      <c r="C4" s="1743"/>
      <c r="D4" s="1743"/>
      <c r="E4" s="1743"/>
      <c r="F4" s="1743"/>
    </row>
    <row r="5" spans="1:15">
      <c r="A5" s="1743"/>
      <c r="B5" s="1745" t="s">
        <v>937</v>
      </c>
      <c r="C5" s="1743"/>
      <c r="D5" s="1743"/>
      <c r="E5" s="1743"/>
      <c r="F5" s="1743"/>
    </row>
    <row r="6" spans="1:15">
      <c r="A6" s="1743"/>
      <c r="B6" s="1743"/>
      <c r="C6" s="1743"/>
      <c r="D6" s="1743"/>
      <c r="E6" s="1743"/>
      <c r="F6" s="1743"/>
    </row>
    <row r="7" spans="1:15">
      <c r="A7" s="1743"/>
      <c r="B7" s="1729" t="s">
        <v>366</v>
      </c>
      <c r="C7" s="1729" t="s">
        <v>367</v>
      </c>
      <c r="D7" s="1730" t="s">
        <v>24</v>
      </c>
      <c r="E7" s="1731" t="s">
        <v>158</v>
      </c>
      <c r="F7" s="1743"/>
    </row>
    <row r="8" spans="1:15">
      <c r="A8" s="1743"/>
      <c r="B8" s="1735">
        <v>1110000</v>
      </c>
      <c r="C8" s="1735">
        <v>146140</v>
      </c>
      <c r="D8" s="1735" t="s">
        <v>368</v>
      </c>
      <c r="E8" s="1734">
        <v>-426618312</v>
      </c>
      <c r="F8" s="1743"/>
      <c r="H8" s="1740"/>
      <c r="I8" s="1740"/>
      <c r="J8" s="1732"/>
      <c r="K8" s="1740"/>
      <c r="L8" s="1739"/>
    </row>
    <row r="9" spans="1:15">
      <c r="A9" s="1743"/>
      <c r="B9" s="1733">
        <v>1110000</v>
      </c>
      <c r="C9" s="1735">
        <v>146200</v>
      </c>
      <c r="D9" s="1735" t="s">
        <v>369</v>
      </c>
      <c r="E9" s="1734">
        <v>-122277057</v>
      </c>
      <c r="F9" s="1743"/>
      <c r="J9" s="1739"/>
      <c r="L9" s="1739"/>
    </row>
    <row r="10" spans="1:15">
      <c r="A10" s="1743"/>
      <c r="B10" s="1733">
        <v>1110000</v>
      </c>
      <c r="C10" s="1735">
        <v>146201</v>
      </c>
      <c r="D10" s="1735" t="s">
        <v>1644</v>
      </c>
      <c r="E10" s="1734">
        <v>1553321</v>
      </c>
      <c r="F10" s="1743"/>
      <c r="J10" s="1739"/>
      <c r="L10" s="1739"/>
    </row>
    <row r="11" spans="1:15">
      <c r="A11" s="1743"/>
      <c r="B11" s="1733">
        <v>1110000</v>
      </c>
      <c r="C11" s="1735">
        <v>146210</v>
      </c>
      <c r="D11" s="1735" t="s">
        <v>370</v>
      </c>
      <c r="E11" s="1734">
        <v>-16613918</v>
      </c>
      <c r="F11" s="1743"/>
      <c r="J11" s="1739"/>
      <c r="L11" s="1739"/>
    </row>
    <row r="12" spans="1:15">
      <c r="A12" s="1743"/>
      <c r="B12" s="1733">
        <v>1110000</v>
      </c>
      <c r="C12" s="1735">
        <v>146230</v>
      </c>
      <c r="D12" s="1735" t="s">
        <v>483</v>
      </c>
      <c r="E12" s="1734">
        <v>-16049348</v>
      </c>
      <c r="F12" s="1743"/>
      <c r="J12" s="1739"/>
      <c r="L12" s="1739"/>
    </row>
    <row r="13" spans="1:15">
      <c r="A13" s="1743"/>
      <c r="B13" s="1736"/>
      <c r="C13" s="1736"/>
      <c r="D13" s="1737" t="s">
        <v>1392</v>
      </c>
      <c r="E13" s="1738">
        <f>SUM(E8:E12)</f>
        <v>-580005314</v>
      </c>
      <c r="G13" s="2241" t="s">
        <v>1953</v>
      </c>
    </row>
    <row r="14" spans="1:15">
      <c r="A14" s="1743"/>
      <c r="B14" s="1743"/>
      <c r="C14" s="1743"/>
      <c r="D14" s="1743"/>
      <c r="E14" s="1743"/>
      <c r="F14" s="1743"/>
      <c r="J14" s="1739"/>
      <c r="L14" s="1739"/>
    </row>
    <row r="15" spans="1:15">
      <c r="A15" s="1743"/>
      <c r="B15" s="1743"/>
      <c r="C15" s="1743"/>
      <c r="D15" s="1743"/>
      <c r="E15" s="1743"/>
      <c r="F15" s="1743"/>
    </row>
    <row r="16" spans="1:15">
      <c r="A16" s="1743"/>
      <c r="B16" s="1743"/>
      <c r="C16" s="1743"/>
      <c r="D16" s="1743"/>
      <c r="E16" s="1743"/>
      <c r="F16" s="1743"/>
    </row>
    <row r="17" spans="1:6">
      <c r="A17" s="1743"/>
      <c r="B17" s="1743"/>
      <c r="C17" s="1743"/>
      <c r="D17" s="1743"/>
      <c r="E17" s="1743"/>
      <c r="F17" s="1743"/>
    </row>
    <row r="18" spans="1:6">
      <c r="A18" s="1743"/>
      <c r="B18" s="1743"/>
      <c r="C18" s="1743"/>
      <c r="D18" s="1743"/>
      <c r="E18" s="1743"/>
      <c r="F18" s="1743"/>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workbookViewId="0"/>
  </sheetViews>
  <sheetFormatPr defaultColWidth="9.140625" defaultRowHeight="15"/>
  <cols>
    <col min="1" max="1" width="4.85546875" style="2418" customWidth="1"/>
    <col min="2" max="3" width="17.85546875" style="2418" customWidth="1"/>
    <col min="4" max="4" width="42.42578125" style="2418" customWidth="1"/>
    <col min="5" max="5" width="17.7109375" style="2418" customWidth="1"/>
    <col min="6" max="6" width="18" style="2444" customWidth="1"/>
    <col min="7" max="8" width="18" style="2418" customWidth="1"/>
    <col min="9" max="12" width="17.7109375" style="2418" customWidth="1"/>
    <col min="13" max="13" width="9.140625" style="2418"/>
    <col min="14" max="14" width="15.28515625" style="2419" customWidth="1"/>
    <col min="15" max="15" width="15" style="2418" customWidth="1"/>
    <col min="16" max="16384" width="9.140625" style="2418"/>
  </cols>
  <sheetData>
    <row r="1" spans="1:17" s="437" customFormat="1" ht="15.75">
      <c r="A1" s="2412"/>
      <c r="B1" s="1555" t="s">
        <v>365</v>
      </c>
      <c r="C1" s="1554"/>
      <c r="D1" s="1554"/>
      <c r="E1" s="1554"/>
      <c r="F1" s="1554"/>
      <c r="G1" s="1554"/>
      <c r="H1" s="1554"/>
      <c r="I1" s="1554"/>
      <c r="J1" s="1554"/>
      <c r="K1" s="1554"/>
      <c r="L1" s="1554"/>
      <c r="M1" s="1527"/>
      <c r="N1" s="2413"/>
      <c r="O1" s="1527"/>
      <c r="P1" s="1527"/>
      <c r="Q1" s="1527"/>
    </row>
    <row r="2" spans="1:17" s="437" customFormat="1" ht="15.75">
      <c r="A2" s="2412"/>
      <c r="B2" s="1555" t="s">
        <v>464</v>
      </c>
      <c r="C2" s="1554"/>
      <c r="D2" s="1554"/>
      <c r="E2" s="1554"/>
      <c r="F2" s="1554"/>
      <c r="G2" s="1554"/>
      <c r="H2" s="1554"/>
      <c r="I2" s="1554"/>
      <c r="J2" s="1554"/>
      <c r="K2" s="1554"/>
      <c r="L2" s="1554"/>
      <c r="M2" s="1527"/>
      <c r="N2" s="2413"/>
      <c r="O2" s="1527"/>
      <c r="P2" s="1527"/>
      <c r="Q2" s="1527"/>
    </row>
    <row r="3" spans="1:17" s="437" customFormat="1" ht="12.75">
      <c r="A3" s="2412"/>
      <c r="B3" s="1525"/>
      <c r="C3" s="1525"/>
      <c r="D3" s="1525"/>
      <c r="E3" s="1525"/>
      <c r="F3" s="1525"/>
      <c r="G3" s="1525"/>
      <c r="H3" s="1525"/>
      <c r="I3" s="1525"/>
      <c r="J3" s="1525"/>
      <c r="K3" s="1525"/>
      <c r="L3" s="1525"/>
      <c r="M3" s="1525"/>
      <c r="N3" s="2414"/>
      <c r="O3" s="1525"/>
      <c r="P3" s="1525"/>
      <c r="Q3" s="1525"/>
    </row>
    <row r="4" spans="1:17">
      <c r="A4" s="2415"/>
      <c r="B4" s="2416" t="s">
        <v>2029</v>
      </c>
      <c r="C4" s="2417"/>
      <c r="D4" s="2417"/>
      <c r="E4" s="2417"/>
      <c r="F4" s="2417"/>
      <c r="G4" s="2417"/>
      <c r="H4" s="2417"/>
      <c r="I4" s="2417"/>
      <c r="J4" s="2417"/>
      <c r="K4" s="2417"/>
      <c r="L4" s="2417"/>
    </row>
    <row r="5" spans="1:17" s="436" customFormat="1" ht="13.5" thickBot="1">
      <c r="A5" s="437"/>
      <c r="B5" s="437"/>
      <c r="C5" s="437"/>
      <c r="D5" s="437"/>
      <c r="E5" s="437"/>
      <c r="F5" s="437"/>
      <c r="G5" s="437"/>
      <c r="H5" s="2420"/>
      <c r="I5" s="437"/>
      <c r="J5" s="437"/>
      <c r="K5" s="437"/>
      <c r="L5" s="437"/>
      <c r="N5" s="2343"/>
    </row>
    <row r="6" spans="1:17" ht="29.25" customHeight="1" thickBot="1">
      <c r="A6" s="2415"/>
      <c r="B6" s="2421" t="s">
        <v>366</v>
      </c>
      <c r="C6" s="2422" t="s">
        <v>367</v>
      </c>
      <c r="D6" s="2423" t="s">
        <v>856</v>
      </c>
      <c r="E6" s="2424" t="s">
        <v>855</v>
      </c>
      <c r="F6" s="2425" t="s">
        <v>1957</v>
      </c>
      <c r="G6" s="2425" t="s">
        <v>2030</v>
      </c>
      <c r="H6" s="2425" t="s">
        <v>852</v>
      </c>
      <c r="I6" s="2426" t="s">
        <v>104</v>
      </c>
      <c r="J6" s="2427" t="s">
        <v>818</v>
      </c>
      <c r="K6" s="2427" t="s">
        <v>853</v>
      </c>
      <c r="L6" s="2427" t="s">
        <v>854</v>
      </c>
    </row>
    <row r="7" spans="1:17">
      <c r="A7" s="2415"/>
      <c r="B7" s="2617">
        <v>1651000</v>
      </c>
      <c r="C7" s="2618">
        <v>132008</v>
      </c>
      <c r="D7" s="2428" t="s">
        <v>1958</v>
      </c>
      <c r="E7" s="2429" t="s">
        <v>853</v>
      </c>
      <c r="F7" s="2430">
        <v>2216269.61</v>
      </c>
      <c r="G7" s="2430">
        <v>1657444.01</v>
      </c>
      <c r="H7" s="2431">
        <f>AVERAGE(F7:G7)</f>
        <v>1936856.81</v>
      </c>
      <c r="I7" s="2432" t="str">
        <f>IF($E7=I$6,$H7,"")</f>
        <v/>
      </c>
      <c r="J7" s="2433" t="str">
        <f t="shared" ref="J7:L27" si="0">IF($E7=J$6,$H7,"")</f>
        <v/>
      </c>
      <c r="K7" s="2433">
        <f t="shared" si="0"/>
        <v>1936856.81</v>
      </c>
      <c r="L7" s="2434" t="str">
        <f t="shared" si="0"/>
        <v/>
      </c>
      <c r="M7" s="2435"/>
      <c r="O7" s="2436"/>
    </row>
    <row r="8" spans="1:17">
      <c r="A8" s="2415"/>
      <c r="B8" s="2619"/>
      <c r="C8" s="2620">
        <v>132012</v>
      </c>
      <c r="D8" s="2134" t="s">
        <v>484</v>
      </c>
      <c r="E8" s="2437" t="s">
        <v>853</v>
      </c>
      <c r="F8" s="2430">
        <v>3852033.66</v>
      </c>
      <c r="G8" s="2430">
        <v>3500260.4</v>
      </c>
      <c r="H8" s="2431">
        <f t="shared" ref="H8:H51" si="1">AVERAGE(F8:G8)</f>
        <v>3676147.0300000003</v>
      </c>
      <c r="I8" s="2432" t="str">
        <f t="shared" ref="I8:L52" si="2">IF($E8=I$6,$H8,"")</f>
        <v/>
      </c>
      <c r="J8" s="2433" t="str">
        <f t="shared" si="0"/>
        <v/>
      </c>
      <c r="K8" s="2433">
        <f t="shared" si="0"/>
        <v>3676147.0300000003</v>
      </c>
      <c r="L8" s="2434" t="str">
        <f t="shared" si="0"/>
        <v/>
      </c>
      <c r="M8" s="2435"/>
      <c r="O8" s="2436"/>
    </row>
    <row r="9" spans="1:17">
      <c r="A9" s="2415"/>
      <c r="B9" s="2619"/>
      <c r="C9" s="2620">
        <v>132013</v>
      </c>
      <c r="D9" s="2134" t="s">
        <v>485</v>
      </c>
      <c r="E9" s="2135" t="s">
        <v>854</v>
      </c>
      <c r="F9" s="2430">
        <v>0</v>
      </c>
      <c r="G9" s="2430">
        <v>0</v>
      </c>
      <c r="H9" s="2431">
        <f t="shared" si="1"/>
        <v>0</v>
      </c>
      <c r="I9" s="2432" t="str">
        <f t="shared" si="2"/>
        <v/>
      </c>
      <c r="J9" s="2433" t="str">
        <f t="shared" si="0"/>
        <v/>
      </c>
      <c r="K9" s="2433" t="str">
        <f t="shared" si="0"/>
        <v/>
      </c>
      <c r="L9" s="2434"/>
      <c r="M9" s="2435"/>
      <c r="O9" s="2436"/>
    </row>
    <row r="10" spans="1:17">
      <c r="A10" s="2415"/>
      <c r="B10" s="2619"/>
      <c r="C10" s="2620">
        <v>132016</v>
      </c>
      <c r="D10" s="2134" t="s">
        <v>486</v>
      </c>
      <c r="E10" s="2135" t="s">
        <v>104</v>
      </c>
      <c r="F10" s="2430">
        <v>410123.13</v>
      </c>
      <c r="G10" s="2430">
        <v>351000.8</v>
      </c>
      <c r="H10" s="2431">
        <f t="shared" si="1"/>
        <v>380561.96499999997</v>
      </c>
      <c r="I10" s="2432">
        <f t="shared" si="2"/>
        <v>380561.96499999997</v>
      </c>
      <c r="J10" s="2433" t="str">
        <f t="shared" si="0"/>
        <v/>
      </c>
      <c r="K10" s="2433" t="str">
        <f t="shared" si="0"/>
        <v/>
      </c>
      <c r="L10" s="2434" t="str">
        <f t="shared" si="0"/>
        <v/>
      </c>
      <c r="M10" s="2435"/>
      <c r="O10" s="2436"/>
    </row>
    <row r="11" spans="1:17">
      <c r="A11" s="2415"/>
      <c r="B11" s="2619"/>
      <c r="C11" s="2620">
        <v>132045</v>
      </c>
      <c r="D11" s="2134" t="s">
        <v>487</v>
      </c>
      <c r="E11" s="2135" t="s">
        <v>854</v>
      </c>
      <c r="F11" s="2430">
        <v>212406.21</v>
      </c>
      <c r="G11" s="2430">
        <v>184616.76</v>
      </c>
      <c r="H11" s="2431">
        <f t="shared" si="1"/>
        <v>198511.48499999999</v>
      </c>
      <c r="I11" s="2432" t="str">
        <f t="shared" si="2"/>
        <v/>
      </c>
      <c r="J11" s="2433" t="str">
        <f t="shared" si="0"/>
        <v/>
      </c>
      <c r="K11" s="2433" t="str">
        <f t="shared" si="0"/>
        <v/>
      </c>
      <c r="L11" s="2434">
        <f t="shared" si="0"/>
        <v>198511.48499999999</v>
      </c>
      <c r="M11" s="2435"/>
      <c r="O11" s="2436"/>
    </row>
    <row r="12" spans="1:17">
      <c r="A12" s="2415"/>
      <c r="B12" s="2619"/>
      <c r="C12" s="2620">
        <v>132055</v>
      </c>
      <c r="D12" s="2134" t="s">
        <v>488</v>
      </c>
      <c r="E12" s="2135" t="s">
        <v>854</v>
      </c>
      <c r="F12" s="2430">
        <v>54129.55</v>
      </c>
      <c r="G12" s="2430">
        <v>2520907.15</v>
      </c>
      <c r="H12" s="2431">
        <f t="shared" si="1"/>
        <v>1287518.3499999999</v>
      </c>
      <c r="I12" s="2432" t="str">
        <f t="shared" si="2"/>
        <v/>
      </c>
      <c r="J12" s="2433" t="str">
        <f t="shared" si="0"/>
        <v/>
      </c>
      <c r="K12" s="2433" t="str">
        <f t="shared" si="0"/>
        <v/>
      </c>
      <c r="L12" s="2434">
        <f t="shared" si="0"/>
        <v>1287518.3499999999</v>
      </c>
      <c r="M12" s="2435"/>
      <c r="O12" s="2436"/>
    </row>
    <row r="13" spans="1:17">
      <c r="A13" s="2415"/>
      <c r="B13" s="2619"/>
      <c r="C13" s="2620">
        <v>132722</v>
      </c>
      <c r="D13" s="2134" t="s">
        <v>489</v>
      </c>
      <c r="E13" s="2135" t="s">
        <v>853</v>
      </c>
      <c r="F13" s="2430">
        <v>0</v>
      </c>
      <c r="G13" s="2430">
        <v>0</v>
      </c>
      <c r="H13" s="2431">
        <f t="shared" si="1"/>
        <v>0</v>
      </c>
      <c r="I13" s="2432" t="str">
        <f t="shared" si="2"/>
        <v/>
      </c>
      <c r="J13" s="2433" t="str">
        <f t="shared" si="0"/>
        <v/>
      </c>
      <c r="K13" s="2433"/>
      <c r="L13" s="2434" t="str">
        <f t="shared" si="0"/>
        <v/>
      </c>
      <c r="M13" s="2435"/>
      <c r="O13" s="2436"/>
    </row>
    <row r="14" spans="1:17">
      <c r="A14" s="2415"/>
      <c r="B14" s="2619"/>
      <c r="C14" s="2620">
        <v>132723</v>
      </c>
      <c r="D14" s="2134" t="s">
        <v>490</v>
      </c>
      <c r="E14" s="2135" t="s">
        <v>853</v>
      </c>
      <c r="F14" s="2430">
        <v>0</v>
      </c>
      <c r="G14" s="2430">
        <v>0</v>
      </c>
      <c r="H14" s="2431">
        <f t="shared" si="1"/>
        <v>0</v>
      </c>
      <c r="I14" s="2432" t="str">
        <f t="shared" si="2"/>
        <v/>
      </c>
      <c r="J14" s="2433" t="str">
        <f t="shared" si="0"/>
        <v/>
      </c>
      <c r="K14" s="2433"/>
      <c r="L14" s="2434" t="str">
        <f t="shared" si="0"/>
        <v/>
      </c>
      <c r="M14" s="2435"/>
      <c r="O14" s="2436"/>
    </row>
    <row r="15" spans="1:17">
      <c r="A15" s="2415"/>
      <c r="B15" s="2619">
        <v>1652000</v>
      </c>
      <c r="C15" s="2620">
        <v>132101</v>
      </c>
      <c r="D15" s="2134" t="s">
        <v>491</v>
      </c>
      <c r="E15" s="2135" t="s">
        <v>853</v>
      </c>
      <c r="F15" s="2430">
        <v>12155895.029999999</v>
      </c>
      <c r="G15" s="2430">
        <v>12518812.439999999</v>
      </c>
      <c r="H15" s="2431">
        <f t="shared" si="1"/>
        <v>12337353.734999999</v>
      </c>
      <c r="I15" s="2432" t="str">
        <f t="shared" si="2"/>
        <v/>
      </c>
      <c r="J15" s="2433" t="str">
        <f t="shared" si="0"/>
        <v/>
      </c>
      <c r="K15" s="2433">
        <f t="shared" si="0"/>
        <v>12337353.734999999</v>
      </c>
      <c r="L15" s="2434" t="str">
        <f t="shared" si="0"/>
        <v/>
      </c>
      <c r="M15" s="2435"/>
      <c r="O15" s="2436"/>
    </row>
    <row r="16" spans="1:17">
      <c r="A16" s="2415"/>
      <c r="B16" s="2619"/>
      <c r="C16" s="2620">
        <v>132200</v>
      </c>
      <c r="D16" s="2134" t="s">
        <v>492</v>
      </c>
      <c r="E16" s="2135" t="s">
        <v>104</v>
      </c>
      <c r="F16" s="2430">
        <v>0</v>
      </c>
      <c r="G16" s="2430">
        <v>6511.22</v>
      </c>
      <c r="H16" s="2431">
        <f t="shared" si="1"/>
        <v>3255.61</v>
      </c>
      <c r="I16" s="2432">
        <f t="shared" si="2"/>
        <v>3255.61</v>
      </c>
      <c r="J16" s="2433" t="str">
        <f t="shared" si="0"/>
        <v/>
      </c>
      <c r="K16" s="2433" t="str">
        <f t="shared" si="0"/>
        <v/>
      </c>
      <c r="L16" s="2434" t="str">
        <f t="shared" si="0"/>
        <v/>
      </c>
      <c r="M16" s="2435"/>
      <c r="O16" s="2436"/>
    </row>
    <row r="17" spans="1:15">
      <c r="A17" s="2415"/>
      <c r="B17" s="2619"/>
      <c r="C17" s="2620">
        <v>132924</v>
      </c>
      <c r="D17" s="2134" t="s">
        <v>493</v>
      </c>
      <c r="E17" s="2135" t="s">
        <v>104</v>
      </c>
      <c r="F17" s="2430">
        <v>747459.5</v>
      </c>
      <c r="G17" s="2430">
        <v>867018</v>
      </c>
      <c r="H17" s="2431">
        <f t="shared" si="1"/>
        <v>807238.75</v>
      </c>
      <c r="I17" s="2432">
        <f t="shared" si="2"/>
        <v>807238.75</v>
      </c>
      <c r="J17" s="2433" t="str">
        <f t="shared" si="0"/>
        <v/>
      </c>
      <c r="K17" s="2433" t="str">
        <f t="shared" si="0"/>
        <v/>
      </c>
      <c r="L17" s="2434" t="str">
        <f t="shared" si="0"/>
        <v/>
      </c>
      <c r="M17" s="2435"/>
      <c r="O17" s="2436"/>
    </row>
    <row r="18" spans="1:15">
      <c r="A18" s="2415"/>
      <c r="B18" s="2619">
        <v>1652100</v>
      </c>
      <c r="C18" s="2620">
        <v>132095</v>
      </c>
      <c r="D18" s="2134" t="s">
        <v>494</v>
      </c>
      <c r="E18" s="2135" t="s">
        <v>104</v>
      </c>
      <c r="F18" s="2430">
        <v>606916.27</v>
      </c>
      <c r="G18" s="2430">
        <v>572764.76</v>
      </c>
      <c r="H18" s="2431">
        <f t="shared" si="1"/>
        <v>589840.51500000001</v>
      </c>
      <c r="I18" s="2432">
        <f t="shared" si="2"/>
        <v>589840.51500000001</v>
      </c>
      <c r="J18" s="2433" t="str">
        <f t="shared" si="0"/>
        <v/>
      </c>
      <c r="K18" s="2433" t="str">
        <f t="shared" si="0"/>
        <v/>
      </c>
      <c r="L18" s="2434" t="str">
        <f t="shared" si="0"/>
        <v/>
      </c>
      <c r="M18" s="2435"/>
      <c r="O18" s="2436"/>
    </row>
    <row r="19" spans="1:15">
      <c r="A19" s="2415"/>
      <c r="B19" s="2619"/>
      <c r="C19" s="2620">
        <v>132096</v>
      </c>
      <c r="D19" s="2134" t="s">
        <v>1323</v>
      </c>
      <c r="E19" s="2135" t="s">
        <v>104</v>
      </c>
      <c r="F19" s="2430">
        <v>0</v>
      </c>
      <c r="G19" s="2430">
        <v>0</v>
      </c>
      <c r="H19" s="2431">
        <f t="shared" si="1"/>
        <v>0</v>
      </c>
      <c r="I19" s="2432">
        <f t="shared" si="2"/>
        <v>0</v>
      </c>
      <c r="J19" s="2433" t="str">
        <f t="shared" si="0"/>
        <v/>
      </c>
      <c r="K19" s="2433" t="str">
        <f t="shared" si="0"/>
        <v/>
      </c>
      <c r="L19" s="2434" t="str">
        <f t="shared" si="0"/>
        <v/>
      </c>
      <c r="M19" s="2435"/>
      <c r="O19" s="2436"/>
    </row>
    <row r="20" spans="1:15">
      <c r="A20" s="2415"/>
      <c r="B20" s="2619"/>
      <c r="C20" s="2620">
        <v>132097</v>
      </c>
      <c r="D20" s="2134" t="s">
        <v>1959</v>
      </c>
      <c r="E20" s="2135" t="s">
        <v>104</v>
      </c>
      <c r="F20" s="2430">
        <v>10670199.310000001</v>
      </c>
      <c r="G20" s="2430">
        <v>15711039.310000001</v>
      </c>
      <c r="H20" s="2431">
        <f t="shared" si="1"/>
        <v>13190619.310000001</v>
      </c>
      <c r="I20" s="2432">
        <f t="shared" si="2"/>
        <v>13190619.310000001</v>
      </c>
      <c r="J20" s="2433" t="str">
        <f t="shared" si="0"/>
        <v/>
      </c>
      <c r="K20" s="2433" t="str">
        <f t="shared" si="0"/>
        <v/>
      </c>
      <c r="L20" s="2434" t="str">
        <f t="shared" si="0"/>
        <v/>
      </c>
      <c r="M20" s="2435"/>
      <c r="O20" s="2436"/>
    </row>
    <row r="21" spans="1:15">
      <c r="A21" s="2415"/>
      <c r="B21" s="2619"/>
      <c r="C21" s="2620">
        <v>132098</v>
      </c>
      <c r="D21" s="2134" t="s">
        <v>1960</v>
      </c>
      <c r="E21" s="2135" t="s">
        <v>104</v>
      </c>
      <c r="F21" s="2430">
        <v>7328274.2800000003</v>
      </c>
      <c r="G21" s="2430">
        <v>10512804.310000001</v>
      </c>
      <c r="H21" s="2431">
        <f t="shared" si="1"/>
        <v>8920539.2949999999</v>
      </c>
      <c r="I21" s="2432">
        <f t="shared" si="2"/>
        <v>8920539.2949999999</v>
      </c>
      <c r="J21" s="2433" t="str">
        <f t="shared" si="0"/>
        <v/>
      </c>
      <c r="K21" s="2433" t="str">
        <f t="shared" si="0"/>
        <v/>
      </c>
      <c r="L21" s="2434" t="str">
        <f t="shared" si="0"/>
        <v/>
      </c>
      <c r="M21" s="2435"/>
      <c r="O21" s="2436"/>
    </row>
    <row r="22" spans="1:15">
      <c r="A22" s="2415"/>
      <c r="B22" s="2619"/>
      <c r="C22" s="2620">
        <v>132310</v>
      </c>
      <c r="D22" s="2134" t="s">
        <v>495</v>
      </c>
      <c r="E22" s="2135" t="s">
        <v>853</v>
      </c>
      <c r="F22" s="2430">
        <v>37665.68</v>
      </c>
      <c r="G22" s="2430">
        <v>42632.32</v>
      </c>
      <c r="H22" s="2431">
        <f t="shared" si="1"/>
        <v>40149</v>
      </c>
      <c r="I22" s="2432" t="str">
        <f t="shared" si="2"/>
        <v/>
      </c>
      <c r="J22" s="2433" t="str">
        <f t="shared" si="0"/>
        <v/>
      </c>
      <c r="K22" s="2433">
        <f t="shared" si="0"/>
        <v>40149</v>
      </c>
      <c r="L22" s="2434" t="str">
        <f t="shared" si="0"/>
        <v/>
      </c>
      <c r="M22" s="2435"/>
      <c r="O22" s="2436"/>
    </row>
    <row r="23" spans="1:15">
      <c r="A23" s="2415"/>
      <c r="B23" s="2619"/>
      <c r="C23" s="2620">
        <v>132320</v>
      </c>
      <c r="D23" s="2134" t="s">
        <v>1391</v>
      </c>
      <c r="E23" s="2135" t="s">
        <v>104</v>
      </c>
      <c r="F23" s="2430">
        <v>0</v>
      </c>
      <c r="G23" s="2430">
        <v>0</v>
      </c>
      <c r="H23" s="2431">
        <f t="shared" si="1"/>
        <v>0</v>
      </c>
      <c r="I23" s="2432">
        <f t="shared" si="2"/>
        <v>0</v>
      </c>
      <c r="J23" s="2433" t="str">
        <f t="shared" si="0"/>
        <v/>
      </c>
      <c r="K23" s="2433" t="str">
        <f t="shared" si="0"/>
        <v/>
      </c>
      <c r="L23" s="2434" t="str">
        <f t="shared" si="0"/>
        <v/>
      </c>
      <c r="M23" s="2435"/>
      <c r="O23" s="2436"/>
    </row>
    <row r="24" spans="1:15">
      <c r="A24" s="2415"/>
      <c r="B24" s="2619"/>
      <c r="C24" s="2620">
        <v>132603</v>
      </c>
      <c r="D24" s="2134" t="s">
        <v>496</v>
      </c>
      <c r="E24" s="2135" t="s">
        <v>104</v>
      </c>
      <c r="F24" s="2430">
        <v>1036.8</v>
      </c>
      <c r="G24" s="2430">
        <v>0</v>
      </c>
      <c r="H24" s="2431">
        <f t="shared" si="1"/>
        <v>518.4</v>
      </c>
      <c r="I24" s="2432">
        <f t="shared" si="2"/>
        <v>518.4</v>
      </c>
      <c r="J24" s="2433" t="str">
        <f t="shared" si="0"/>
        <v/>
      </c>
      <c r="K24" s="2433" t="str">
        <f t="shared" si="0"/>
        <v/>
      </c>
      <c r="L24" s="2434" t="str">
        <f t="shared" si="0"/>
        <v/>
      </c>
      <c r="M24" s="2435"/>
      <c r="O24" s="2436"/>
    </row>
    <row r="25" spans="1:15">
      <c r="A25" s="2415"/>
      <c r="B25" s="2619"/>
      <c r="C25" s="2620">
        <v>132606</v>
      </c>
      <c r="D25" s="2134" t="s">
        <v>497</v>
      </c>
      <c r="E25" s="2135" t="s">
        <v>104</v>
      </c>
      <c r="F25" s="2430">
        <v>0</v>
      </c>
      <c r="G25" s="2430">
        <v>0</v>
      </c>
      <c r="H25" s="2431">
        <f t="shared" si="1"/>
        <v>0</v>
      </c>
      <c r="I25" s="2432">
        <f t="shared" si="2"/>
        <v>0</v>
      </c>
      <c r="J25" s="2433" t="str">
        <f t="shared" si="0"/>
        <v/>
      </c>
      <c r="K25" s="2433" t="str">
        <f t="shared" si="0"/>
        <v/>
      </c>
      <c r="L25" s="2434" t="str">
        <f t="shared" si="0"/>
        <v/>
      </c>
      <c r="M25" s="2435"/>
      <c r="O25" s="2436"/>
    </row>
    <row r="26" spans="1:15">
      <c r="A26" s="2415"/>
      <c r="B26" s="2619"/>
      <c r="C26" s="2620">
        <v>132620</v>
      </c>
      <c r="D26" s="2134" t="s">
        <v>498</v>
      </c>
      <c r="E26" s="2135" t="s">
        <v>104</v>
      </c>
      <c r="F26" s="2430">
        <v>1256063.28</v>
      </c>
      <c r="G26" s="2430">
        <v>1256775.81</v>
      </c>
      <c r="H26" s="2431">
        <f t="shared" si="1"/>
        <v>1256419.5449999999</v>
      </c>
      <c r="I26" s="2432">
        <f t="shared" si="2"/>
        <v>1256419.5449999999</v>
      </c>
      <c r="J26" s="2433" t="str">
        <f t="shared" si="0"/>
        <v/>
      </c>
      <c r="K26" s="2433" t="str">
        <f t="shared" si="0"/>
        <v/>
      </c>
      <c r="L26" s="2434" t="str">
        <f t="shared" si="0"/>
        <v/>
      </c>
      <c r="M26" s="2435"/>
      <c r="O26" s="2436"/>
    </row>
    <row r="27" spans="1:15">
      <c r="A27" s="2415"/>
      <c r="B27" s="2619"/>
      <c r="C27" s="2620">
        <v>132621</v>
      </c>
      <c r="D27" s="2134" t="s">
        <v>499</v>
      </c>
      <c r="E27" s="2135" t="s">
        <v>104</v>
      </c>
      <c r="F27" s="2430">
        <v>557593.74</v>
      </c>
      <c r="G27" s="2430">
        <v>557593.74</v>
      </c>
      <c r="H27" s="2431">
        <f t="shared" si="1"/>
        <v>557593.74</v>
      </c>
      <c r="I27" s="2432">
        <f t="shared" si="2"/>
        <v>557593.74</v>
      </c>
      <c r="J27" s="2433" t="str">
        <f t="shared" si="0"/>
        <v/>
      </c>
      <c r="K27" s="2433" t="str">
        <f t="shared" si="0"/>
        <v/>
      </c>
      <c r="L27" s="2434" t="str">
        <f t="shared" si="0"/>
        <v/>
      </c>
      <c r="M27" s="2435"/>
      <c r="O27" s="2436"/>
    </row>
    <row r="28" spans="1:15">
      <c r="A28" s="2415"/>
      <c r="B28" s="2619"/>
      <c r="C28" s="2620">
        <v>132622</v>
      </c>
      <c r="D28" s="2134" t="s">
        <v>500</v>
      </c>
      <c r="E28" s="2135" t="s">
        <v>104</v>
      </c>
      <c r="F28" s="2430">
        <v>0</v>
      </c>
      <c r="G28" s="2430">
        <v>0</v>
      </c>
      <c r="H28" s="2431">
        <f t="shared" si="1"/>
        <v>0</v>
      </c>
      <c r="I28" s="2432">
        <f t="shared" si="2"/>
        <v>0</v>
      </c>
      <c r="J28" s="2433" t="str">
        <f t="shared" si="2"/>
        <v/>
      </c>
      <c r="K28" s="2433" t="str">
        <f t="shared" si="2"/>
        <v/>
      </c>
      <c r="L28" s="2434" t="str">
        <f t="shared" si="2"/>
        <v/>
      </c>
      <c r="M28" s="2435"/>
      <c r="O28" s="2436"/>
    </row>
    <row r="29" spans="1:15">
      <c r="A29" s="2415"/>
      <c r="B29" s="2619"/>
      <c r="C29" s="2620">
        <v>132623</v>
      </c>
      <c r="D29" s="2134" t="s">
        <v>1645</v>
      </c>
      <c r="E29" s="2135" t="s">
        <v>104</v>
      </c>
      <c r="F29" s="2430">
        <v>246250.02</v>
      </c>
      <c r="G29" s="2430">
        <v>192499.98</v>
      </c>
      <c r="H29" s="2431">
        <f t="shared" si="1"/>
        <v>219375</v>
      </c>
      <c r="I29" s="2432">
        <f t="shared" si="2"/>
        <v>219375</v>
      </c>
      <c r="J29" s="2433" t="str">
        <f t="shared" si="2"/>
        <v/>
      </c>
      <c r="K29" s="2433" t="str">
        <f t="shared" si="2"/>
        <v/>
      </c>
      <c r="L29" s="2434" t="str">
        <f t="shared" si="2"/>
        <v/>
      </c>
      <c r="M29" s="2435"/>
      <c r="O29" s="2436"/>
    </row>
    <row r="30" spans="1:15">
      <c r="A30" s="2415"/>
      <c r="B30" s="2619"/>
      <c r="C30" s="2620">
        <v>132630</v>
      </c>
      <c r="D30" s="2134" t="s">
        <v>501</v>
      </c>
      <c r="E30" s="2135" t="s">
        <v>104</v>
      </c>
      <c r="F30" s="2430">
        <v>0</v>
      </c>
      <c r="G30" s="2430">
        <v>0</v>
      </c>
      <c r="H30" s="2431">
        <f t="shared" si="1"/>
        <v>0</v>
      </c>
      <c r="I30" s="2432">
        <f t="shared" si="2"/>
        <v>0</v>
      </c>
      <c r="J30" s="2433" t="str">
        <f t="shared" si="2"/>
        <v/>
      </c>
      <c r="K30" s="2433" t="str">
        <f t="shared" si="2"/>
        <v/>
      </c>
      <c r="L30" s="2434" t="str">
        <f t="shared" si="2"/>
        <v/>
      </c>
      <c r="M30" s="2435"/>
      <c r="O30" s="2436"/>
    </row>
    <row r="31" spans="1:15">
      <c r="A31" s="2415"/>
      <c r="B31" s="2619"/>
      <c r="C31" s="2620">
        <v>132650</v>
      </c>
      <c r="D31" s="2134" t="s">
        <v>371</v>
      </c>
      <c r="E31" s="2135" t="s">
        <v>104</v>
      </c>
      <c r="F31" s="2430">
        <v>3899262.01</v>
      </c>
      <c r="G31" s="2430">
        <v>3919221.01</v>
      </c>
      <c r="H31" s="2431">
        <f t="shared" si="1"/>
        <v>3909241.51</v>
      </c>
      <c r="I31" s="2432">
        <f t="shared" si="2"/>
        <v>3909241.51</v>
      </c>
      <c r="J31" s="2433" t="str">
        <f t="shared" si="2"/>
        <v/>
      </c>
      <c r="K31" s="2433" t="str">
        <f t="shared" si="2"/>
        <v/>
      </c>
      <c r="L31" s="2434" t="str">
        <f t="shared" si="2"/>
        <v/>
      </c>
      <c r="M31" s="2435"/>
      <c r="O31" s="2436"/>
    </row>
    <row r="32" spans="1:15">
      <c r="A32" s="2415"/>
      <c r="B32" s="2619"/>
      <c r="C32" s="2620">
        <v>132700</v>
      </c>
      <c r="D32" s="2134" t="s">
        <v>372</v>
      </c>
      <c r="E32" s="2135" t="s">
        <v>853</v>
      </c>
      <c r="F32" s="2430">
        <v>42666.64</v>
      </c>
      <c r="G32" s="2430">
        <v>42666.64</v>
      </c>
      <c r="H32" s="2431">
        <f t="shared" si="1"/>
        <v>42666.64</v>
      </c>
      <c r="I32" s="2432" t="str">
        <f t="shared" si="2"/>
        <v/>
      </c>
      <c r="J32" s="2433" t="str">
        <f t="shared" si="2"/>
        <v/>
      </c>
      <c r="K32" s="2433">
        <f t="shared" si="2"/>
        <v>42666.64</v>
      </c>
      <c r="L32" s="2434" t="str">
        <f t="shared" si="2"/>
        <v/>
      </c>
      <c r="M32" s="2435"/>
      <c r="O32" s="2436"/>
    </row>
    <row r="33" spans="1:15">
      <c r="A33" s="2415"/>
      <c r="B33" s="2619"/>
      <c r="C33" s="2620">
        <v>132705</v>
      </c>
      <c r="D33" s="2134" t="s">
        <v>502</v>
      </c>
      <c r="E33" s="2135" t="s">
        <v>104</v>
      </c>
      <c r="F33" s="2430">
        <v>325912.44</v>
      </c>
      <c r="G33" s="2430">
        <v>326129.09999999998</v>
      </c>
      <c r="H33" s="2431">
        <f t="shared" si="1"/>
        <v>326020.77</v>
      </c>
      <c r="I33" s="2432">
        <f t="shared" si="2"/>
        <v>326020.77</v>
      </c>
      <c r="J33" s="2433" t="str">
        <f t="shared" si="2"/>
        <v/>
      </c>
      <c r="K33" s="2433" t="str">
        <f t="shared" si="2"/>
        <v/>
      </c>
      <c r="L33" s="2434" t="str">
        <f t="shared" si="2"/>
        <v/>
      </c>
      <c r="M33" s="2435"/>
      <c r="O33" s="2436"/>
    </row>
    <row r="34" spans="1:15">
      <c r="A34" s="2415"/>
      <c r="B34" s="2619"/>
      <c r="C34" s="2620">
        <v>132740</v>
      </c>
      <c r="D34" s="2134" t="s">
        <v>503</v>
      </c>
      <c r="E34" s="2135" t="s">
        <v>104</v>
      </c>
      <c r="F34" s="2430">
        <v>0</v>
      </c>
      <c r="G34" s="2430">
        <v>0</v>
      </c>
      <c r="H34" s="2431">
        <f t="shared" si="1"/>
        <v>0</v>
      </c>
      <c r="I34" s="2432">
        <f t="shared" si="2"/>
        <v>0</v>
      </c>
      <c r="J34" s="2433" t="str">
        <f t="shared" si="2"/>
        <v/>
      </c>
      <c r="K34" s="2433" t="str">
        <f t="shared" si="2"/>
        <v/>
      </c>
      <c r="L34" s="2434" t="str">
        <f t="shared" si="2"/>
        <v/>
      </c>
      <c r="M34" s="2435"/>
      <c r="O34" s="2436"/>
    </row>
    <row r="35" spans="1:15">
      <c r="A35" s="2415"/>
      <c r="B35" s="2619"/>
      <c r="C35" s="2620">
        <v>132755</v>
      </c>
      <c r="D35" s="2134" t="s">
        <v>1390</v>
      </c>
      <c r="E35" s="2135" t="s">
        <v>854</v>
      </c>
      <c r="F35" s="2430">
        <v>0</v>
      </c>
      <c r="G35" s="2430">
        <v>60994.400000000001</v>
      </c>
      <c r="H35" s="2431">
        <f t="shared" si="1"/>
        <v>30497.200000000001</v>
      </c>
      <c r="I35" s="2432" t="str">
        <f t="shared" si="2"/>
        <v/>
      </c>
      <c r="J35" s="2433" t="str">
        <f t="shared" si="2"/>
        <v/>
      </c>
      <c r="K35" s="2433" t="str">
        <f t="shared" si="2"/>
        <v/>
      </c>
      <c r="L35" s="2434">
        <f t="shared" si="2"/>
        <v>30497.200000000001</v>
      </c>
      <c r="M35" s="2435"/>
      <c r="O35" s="2436"/>
    </row>
    <row r="36" spans="1:15">
      <c r="A36" s="2415"/>
      <c r="B36" s="2619"/>
      <c r="C36" s="2620">
        <v>132825</v>
      </c>
      <c r="D36" s="2134" t="s">
        <v>504</v>
      </c>
      <c r="E36" s="2135" t="s">
        <v>104</v>
      </c>
      <c r="F36" s="2430">
        <v>242135.31</v>
      </c>
      <c r="G36" s="2430">
        <v>0</v>
      </c>
      <c r="H36" s="2431">
        <f t="shared" si="1"/>
        <v>121067.655</v>
      </c>
      <c r="I36" s="2432">
        <f t="shared" si="2"/>
        <v>121067.655</v>
      </c>
      <c r="J36" s="2433" t="str">
        <f t="shared" si="2"/>
        <v/>
      </c>
      <c r="K36" s="2433" t="str">
        <f t="shared" si="2"/>
        <v/>
      </c>
      <c r="L36" s="2434" t="str">
        <f t="shared" si="2"/>
        <v/>
      </c>
      <c r="M36" s="2435"/>
      <c r="O36" s="2436"/>
    </row>
    <row r="37" spans="1:15">
      <c r="A37" s="2415"/>
      <c r="B37" s="2619"/>
      <c r="C37" s="2620">
        <v>132831</v>
      </c>
      <c r="D37" s="2134" t="s">
        <v>505</v>
      </c>
      <c r="E37" s="2135" t="s">
        <v>104</v>
      </c>
      <c r="F37" s="2430">
        <v>983688</v>
      </c>
      <c r="G37" s="2430">
        <v>983688</v>
      </c>
      <c r="H37" s="2431">
        <f t="shared" si="1"/>
        <v>983688</v>
      </c>
      <c r="I37" s="2432">
        <f t="shared" si="2"/>
        <v>983688</v>
      </c>
      <c r="J37" s="2433" t="str">
        <f t="shared" si="2"/>
        <v/>
      </c>
      <c r="K37" s="2433" t="str">
        <f t="shared" si="2"/>
        <v/>
      </c>
      <c r="L37" s="2434" t="str">
        <f t="shared" si="2"/>
        <v/>
      </c>
      <c r="M37" s="2435"/>
      <c r="O37" s="2436"/>
    </row>
    <row r="38" spans="1:15">
      <c r="A38" s="2415"/>
      <c r="B38" s="2619"/>
      <c r="C38" s="2620">
        <v>132900</v>
      </c>
      <c r="D38" s="2134" t="s">
        <v>506</v>
      </c>
      <c r="E38" s="2135" t="s">
        <v>854</v>
      </c>
      <c r="F38" s="2430">
        <v>1219859.8400000001</v>
      </c>
      <c r="G38" s="2430">
        <v>1026482.74</v>
      </c>
      <c r="H38" s="2431">
        <f t="shared" si="1"/>
        <v>1123171.29</v>
      </c>
      <c r="I38" s="2432" t="str">
        <f t="shared" si="2"/>
        <v/>
      </c>
      <c r="J38" s="2433" t="str">
        <f t="shared" si="2"/>
        <v/>
      </c>
      <c r="K38" s="2433" t="str">
        <f t="shared" si="2"/>
        <v/>
      </c>
      <c r="L38" s="2434">
        <f t="shared" si="2"/>
        <v>1123171.29</v>
      </c>
      <c r="M38" s="2435"/>
      <c r="O38" s="2436"/>
    </row>
    <row r="39" spans="1:15">
      <c r="A39" s="2415"/>
      <c r="B39" s="2619"/>
      <c r="C39" s="2620">
        <v>132901</v>
      </c>
      <c r="D39" s="2134" t="s">
        <v>507</v>
      </c>
      <c r="E39" s="2135" t="s">
        <v>104</v>
      </c>
      <c r="F39" s="2430">
        <v>947627.06</v>
      </c>
      <c r="G39" s="2430">
        <v>1020458.18</v>
      </c>
      <c r="H39" s="2431">
        <f t="shared" si="1"/>
        <v>984042.62000000011</v>
      </c>
      <c r="I39" s="2432">
        <f t="shared" si="2"/>
        <v>984042.62000000011</v>
      </c>
      <c r="J39" s="2433" t="str">
        <f t="shared" si="2"/>
        <v/>
      </c>
      <c r="K39" s="2433" t="str">
        <f t="shared" si="2"/>
        <v/>
      </c>
      <c r="L39" s="2434" t="str">
        <f t="shared" si="2"/>
        <v/>
      </c>
      <c r="M39" s="2435"/>
      <c r="O39" s="2436"/>
    </row>
    <row r="40" spans="1:15">
      <c r="A40" s="2415"/>
      <c r="B40" s="2619"/>
      <c r="C40" s="2620">
        <v>132903</v>
      </c>
      <c r="D40" s="2134" t="s">
        <v>508</v>
      </c>
      <c r="E40" s="2135" t="s">
        <v>104</v>
      </c>
      <c r="F40" s="2430">
        <v>3160556.65</v>
      </c>
      <c r="G40" s="2430">
        <v>3144990.36</v>
      </c>
      <c r="H40" s="2431">
        <f t="shared" si="1"/>
        <v>3152773.5049999999</v>
      </c>
      <c r="I40" s="2432">
        <f t="shared" si="2"/>
        <v>3152773.5049999999</v>
      </c>
      <c r="J40" s="2433" t="str">
        <f t="shared" si="2"/>
        <v/>
      </c>
      <c r="K40" s="2433" t="str">
        <f t="shared" si="2"/>
        <v/>
      </c>
      <c r="L40" s="2434" t="str">
        <f t="shared" si="2"/>
        <v/>
      </c>
      <c r="M40" s="2435"/>
      <c r="O40" s="2436"/>
    </row>
    <row r="41" spans="1:15">
      <c r="A41" s="2415"/>
      <c r="B41" s="2619"/>
      <c r="C41" s="2620">
        <v>132904</v>
      </c>
      <c r="D41" s="2134" t="s">
        <v>509</v>
      </c>
      <c r="E41" s="2135" t="s">
        <v>104</v>
      </c>
      <c r="F41" s="2430">
        <v>267490.43</v>
      </c>
      <c r="G41" s="2430">
        <v>333369.78000000003</v>
      </c>
      <c r="H41" s="2431">
        <f t="shared" si="1"/>
        <v>300430.10499999998</v>
      </c>
      <c r="I41" s="2432">
        <f t="shared" si="2"/>
        <v>300430.10499999998</v>
      </c>
      <c r="J41" s="2433" t="str">
        <f t="shared" si="2"/>
        <v/>
      </c>
      <c r="K41" s="2433" t="str">
        <f t="shared" si="2"/>
        <v/>
      </c>
      <c r="L41" s="2434" t="str">
        <f t="shared" si="2"/>
        <v/>
      </c>
      <c r="M41" s="2435"/>
      <c r="O41" s="2436"/>
    </row>
    <row r="42" spans="1:15">
      <c r="A42" s="2415"/>
      <c r="B42" s="2619"/>
      <c r="C42" s="2620">
        <v>132909</v>
      </c>
      <c r="D42" s="2134" t="s">
        <v>1322</v>
      </c>
      <c r="E42" s="2135" t="s">
        <v>854</v>
      </c>
      <c r="F42" s="2430">
        <v>0</v>
      </c>
      <c r="G42" s="2430">
        <v>0</v>
      </c>
      <c r="H42" s="2431">
        <f t="shared" si="1"/>
        <v>0</v>
      </c>
      <c r="I42" s="2432" t="str">
        <f t="shared" si="2"/>
        <v/>
      </c>
      <c r="J42" s="2433" t="str">
        <f t="shared" si="2"/>
        <v/>
      </c>
      <c r="K42" s="2433" t="str">
        <f t="shared" si="2"/>
        <v/>
      </c>
      <c r="L42" s="2434"/>
      <c r="M42" s="2435"/>
      <c r="O42" s="2436"/>
    </row>
    <row r="43" spans="1:15">
      <c r="A43" s="2415"/>
      <c r="B43" s="2619"/>
      <c r="C43" s="2620">
        <v>132910</v>
      </c>
      <c r="D43" s="2134" t="s">
        <v>510</v>
      </c>
      <c r="E43" s="2135" t="s">
        <v>854</v>
      </c>
      <c r="F43" s="2430">
        <v>11707912.35</v>
      </c>
      <c r="G43" s="2430">
        <v>12121511.470000001</v>
      </c>
      <c r="H43" s="2431">
        <f t="shared" si="1"/>
        <v>11914711.91</v>
      </c>
      <c r="I43" s="2432" t="str">
        <f t="shared" si="2"/>
        <v/>
      </c>
      <c r="J43" s="2433" t="str">
        <f t="shared" si="2"/>
        <v/>
      </c>
      <c r="K43" s="2433" t="str">
        <f t="shared" si="2"/>
        <v/>
      </c>
      <c r="L43" s="2434">
        <f t="shared" si="2"/>
        <v>11914711.91</v>
      </c>
      <c r="M43" s="2435"/>
      <c r="O43" s="2436"/>
    </row>
    <row r="44" spans="1:15">
      <c r="A44" s="2415"/>
      <c r="B44" s="2619"/>
      <c r="C44" s="2620">
        <v>132926</v>
      </c>
      <c r="D44" s="2134" t="s">
        <v>373</v>
      </c>
      <c r="E44" s="2135" t="s">
        <v>104</v>
      </c>
      <c r="F44" s="2430">
        <v>68456.02</v>
      </c>
      <c r="G44" s="2430">
        <v>0</v>
      </c>
      <c r="H44" s="2431">
        <f t="shared" si="1"/>
        <v>34228.01</v>
      </c>
      <c r="I44" s="2432">
        <f t="shared" si="2"/>
        <v>34228.01</v>
      </c>
      <c r="J44" s="2433" t="str">
        <f t="shared" si="2"/>
        <v/>
      </c>
      <c r="K44" s="2433" t="str">
        <f t="shared" si="2"/>
        <v/>
      </c>
      <c r="L44" s="2434" t="str">
        <f t="shared" si="2"/>
        <v/>
      </c>
      <c r="M44" s="2435"/>
      <c r="O44" s="2436"/>
    </row>
    <row r="45" spans="1:15">
      <c r="A45" s="2415"/>
      <c r="B45" s="2619"/>
      <c r="C45" s="2620">
        <v>132998</v>
      </c>
      <c r="D45" s="2134" t="s">
        <v>511</v>
      </c>
      <c r="E45" s="2135" t="s">
        <v>853</v>
      </c>
      <c r="F45" s="2430">
        <v>-121168.14</v>
      </c>
      <c r="G45" s="2430">
        <v>-100095.42</v>
      </c>
      <c r="H45" s="2431">
        <f t="shared" si="1"/>
        <v>-110631.78</v>
      </c>
      <c r="I45" s="2432" t="str">
        <f t="shared" si="2"/>
        <v/>
      </c>
      <c r="J45" s="2433" t="str">
        <f t="shared" si="2"/>
        <v/>
      </c>
      <c r="K45" s="2433">
        <f t="shared" si="2"/>
        <v>-110631.78</v>
      </c>
      <c r="L45" s="2434" t="str">
        <f t="shared" si="2"/>
        <v/>
      </c>
      <c r="M45" s="2435"/>
      <c r="O45" s="2436"/>
    </row>
    <row r="46" spans="1:15">
      <c r="A46" s="2415"/>
      <c r="B46" s="2619"/>
      <c r="C46" s="2620">
        <v>132999</v>
      </c>
      <c r="D46" s="2134" t="s">
        <v>512</v>
      </c>
      <c r="E46" s="2135" t="s">
        <v>104</v>
      </c>
      <c r="F46" s="2430">
        <v>-1487116.77</v>
      </c>
      <c r="G46" s="2430">
        <v>-2642447.9</v>
      </c>
      <c r="H46" s="2431">
        <f t="shared" si="1"/>
        <v>-2064782.335</v>
      </c>
      <c r="I46" s="2432">
        <f t="shared" si="2"/>
        <v>-2064782.335</v>
      </c>
      <c r="J46" s="2433" t="str">
        <f t="shared" si="2"/>
        <v/>
      </c>
      <c r="K46" s="2433" t="str">
        <f t="shared" si="2"/>
        <v/>
      </c>
      <c r="L46" s="2434" t="str">
        <f t="shared" si="2"/>
        <v/>
      </c>
      <c r="M46" s="2435"/>
      <c r="O46" s="2436"/>
    </row>
    <row r="47" spans="1:15">
      <c r="A47" s="2415"/>
      <c r="B47" s="2619"/>
      <c r="C47" s="2620">
        <v>134000</v>
      </c>
      <c r="D47" s="2134" t="s">
        <v>513</v>
      </c>
      <c r="E47" s="2135" t="s">
        <v>104</v>
      </c>
      <c r="F47" s="2430">
        <v>1608284.91</v>
      </c>
      <c r="G47" s="2430">
        <v>2742543.32</v>
      </c>
      <c r="H47" s="2431">
        <f t="shared" si="1"/>
        <v>2175414.1149999998</v>
      </c>
      <c r="I47" s="2432">
        <f t="shared" si="2"/>
        <v>2175414.1149999998</v>
      </c>
      <c r="J47" s="2433" t="str">
        <f t="shared" si="2"/>
        <v/>
      </c>
      <c r="K47" s="2433" t="str">
        <f t="shared" si="2"/>
        <v/>
      </c>
      <c r="L47" s="2434" t="str">
        <f t="shared" si="2"/>
        <v/>
      </c>
      <c r="M47" s="2435"/>
      <c r="O47" s="2436"/>
    </row>
    <row r="48" spans="1:15">
      <c r="A48" s="2415"/>
      <c r="B48" s="2619">
        <v>1653000</v>
      </c>
      <c r="C48" s="2620">
        <v>132303</v>
      </c>
      <c r="D48" s="2134" t="s">
        <v>514</v>
      </c>
      <c r="E48" s="2135" t="s">
        <v>104</v>
      </c>
      <c r="F48" s="2430">
        <v>2528233.15</v>
      </c>
      <c r="G48" s="2430">
        <v>2549854.35</v>
      </c>
      <c r="H48" s="2431">
        <f t="shared" si="1"/>
        <v>2539043.75</v>
      </c>
      <c r="I48" s="2432">
        <f t="shared" si="2"/>
        <v>2539043.75</v>
      </c>
      <c r="J48" s="2433" t="str">
        <f t="shared" si="2"/>
        <v/>
      </c>
      <c r="K48" s="2433" t="str">
        <f t="shared" si="2"/>
        <v/>
      </c>
      <c r="L48" s="2434" t="str">
        <f t="shared" si="2"/>
        <v/>
      </c>
      <c r="M48" s="2435"/>
      <c r="O48" s="2436"/>
    </row>
    <row r="49" spans="1:15">
      <c r="A49" s="2415"/>
      <c r="B49" s="2619"/>
      <c r="C49" s="2620">
        <v>132304</v>
      </c>
      <c r="D49" s="2134" t="s">
        <v>515</v>
      </c>
      <c r="E49" s="2135" t="s">
        <v>104</v>
      </c>
      <c r="F49" s="2430">
        <v>0</v>
      </c>
      <c r="G49" s="2430">
        <v>0</v>
      </c>
      <c r="H49" s="2431">
        <f t="shared" si="1"/>
        <v>0</v>
      </c>
      <c r="I49" s="2432">
        <f t="shared" si="2"/>
        <v>0</v>
      </c>
      <c r="J49" s="2433" t="str">
        <f t="shared" si="2"/>
        <v/>
      </c>
      <c r="K49" s="2433" t="str">
        <f t="shared" si="2"/>
        <v/>
      </c>
      <c r="L49" s="2434" t="str">
        <f t="shared" si="2"/>
        <v/>
      </c>
      <c r="M49" s="2435"/>
      <c r="O49" s="2436"/>
    </row>
    <row r="50" spans="1:15">
      <c r="A50" s="2415"/>
      <c r="B50" s="2619"/>
      <c r="C50" s="2620">
        <v>203000</v>
      </c>
      <c r="D50" s="2134" t="s">
        <v>1321</v>
      </c>
      <c r="E50" s="2135" t="s">
        <v>104</v>
      </c>
      <c r="F50" s="2430">
        <v>91333.34</v>
      </c>
      <c r="G50" s="2430">
        <v>16277.78</v>
      </c>
      <c r="H50" s="2431">
        <f t="shared" si="1"/>
        <v>53805.56</v>
      </c>
      <c r="I50" s="2432">
        <f t="shared" si="2"/>
        <v>53805.56</v>
      </c>
      <c r="J50" s="2433" t="str">
        <f t="shared" si="2"/>
        <v/>
      </c>
      <c r="K50" s="2433" t="str">
        <f t="shared" si="2"/>
        <v/>
      </c>
      <c r="L50" s="2434" t="str">
        <f t="shared" si="2"/>
        <v/>
      </c>
      <c r="M50" s="2435"/>
      <c r="O50" s="2436"/>
    </row>
    <row r="51" spans="1:15">
      <c r="A51" s="2415"/>
      <c r="B51" s="2619">
        <v>1655000</v>
      </c>
      <c r="C51" s="2620">
        <v>132400</v>
      </c>
      <c r="D51" s="2134" t="s">
        <v>374</v>
      </c>
      <c r="E51" s="2135" t="s">
        <v>104</v>
      </c>
      <c r="F51" s="2430">
        <v>0</v>
      </c>
      <c r="G51" s="2430">
        <v>0</v>
      </c>
      <c r="H51" s="2431">
        <f t="shared" si="1"/>
        <v>0</v>
      </c>
      <c r="I51" s="2432">
        <f t="shared" si="2"/>
        <v>0</v>
      </c>
      <c r="J51" s="2433" t="str">
        <f t="shared" si="2"/>
        <v/>
      </c>
      <c r="K51" s="2433" t="str">
        <f t="shared" si="2"/>
        <v/>
      </c>
      <c r="L51" s="2434" t="str">
        <f t="shared" si="2"/>
        <v/>
      </c>
      <c r="M51" s="2435"/>
      <c r="O51" s="2436"/>
    </row>
    <row r="52" spans="1:15" ht="15.75" thickBot="1">
      <c r="A52" s="2415"/>
      <c r="B52" s="2621"/>
      <c r="C52" s="2622"/>
      <c r="D52" s="1553"/>
      <c r="E52" s="1552"/>
      <c r="F52" s="2430">
        <v>0</v>
      </c>
      <c r="G52" s="2430">
        <v>0</v>
      </c>
      <c r="H52" s="2431">
        <f>AVERAGE(F52:G52)</f>
        <v>0</v>
      </c>
      <c r="I52" s="2432" t="str">
        <f t="shared" si="2"/>
        <v/>
      </c>
      <c r="J52" s="2433" t="str">
        <f t="shared" si="2"/>
        <v/>
      </c>
      <c r="K52" s="2433" t="str">
        <f t="shared" si="2"/>
        <v/>
      </c>
      <c r="L52" s="2434" t="str">
        <f t="shared" si="2"/>
        <v/>
      </c>
      <c r="M52" s="2435"/>
      <c r="O52" s="2436"/>
    </row>
    <row r="53" spans="1:15" ht="15.75" thickBot="1">
      <c r="A53" s="2415"/>
      <c r="B53" s="2438"/>
      <c r="C53" s="2438"/>
      <c r="D53" s="2439" t="s">
        <v>375</v>
      </c>
      <c r="E53" s="2440"/>
      <c r="F53" s="2441">
        <f t="shared" ref="F53:L53" si="3">SUM(F7:F52)</f>
        <v>65837449.310000002</v>
      </c>
      <c r="G53" s="2442">
        <f t="shared" si="3"/>
        <v>75998324.819999993</v>
      </c>
      <c r="H53" s="2443">
        <f t="shared" si="3"/>
        <v>70917887.065000013</v>
      </c>
      <c r="I53" s="2441">
        <f t="shared" si="3"/>
        <v>38440935.395000003</v>
      </c>
      <c r="J53" s="2442">
        <f t="shared" si="3"/>
        <v>0</v>
      </c>
      <c r="K53" s="2442">
        <f t="shared" si="3"/>
        <v>17922541.434999999</v>
      </c>
      <c r="L53" s="2443">
        <f t="shared" si="3"/>
        <v>14554410.234999999</v>
      </c>
      <c r="M53" s="2435"/>
    </row>
    <row r="54" spans="1:15">
      <c r="F54" s="2418"/>
    </row>
    <row r="55" spans="1:15">
      <c r="F55" s="2418"/>
    </row>
    <row r="56" spans="1:15" s="1744" customFormat="1">
      <c r="F56" s="1740"/>
      <c r="G56" s="1551" t="s">
        <v>305</v>
      </c>
      <c r="H56" s="1546"/>
      <c r="I56" s="822">
        <v>0</v>
      </c>
      <c r="J56" s="822">
        <v>1</v>
      </c>
      <c r="K56" s="823">
        <f>Allocator.net.plant</f>
        <v>0.26207536255640557</v>
      </c>
      <c r="L56" s="823">
        <f>Allocator.wages.salary</f>
        <v>8.4851850814689656E-2</v>
      </c>
    </row>
    <row r="57" spans="1:15" s="1744" customFormat="1">
      <c r="F57" s="1740"/>
      <c r="G57" s="1551" t="s">
        <v>948</v>
      </c>
      <c r="H57" s="1546"/>
      <c r="I57" s="1550">
        <f>I53*I56</f>
        <v>0</v>
      </c>
      <c r="J57" s="1550">
        <f>J53*J56</f>
        <v>0</v>
      </c>
      <c r="K57" s="1550">
        <f>K53*K56</f>
        <v>4697056.5445098262</v>
      </c>
      <c r="L57" s="1550">
        <f>L53*L56</f>
        <v>1234968.6459560122</v>
      </c>
    </row>
    <row r="58" spans="1:15" s="1744" customFormat="1">
      <c r="F58" s="1740"/>
      <c r="G58" s="1549"/>
      <c r="H58" s="1526"/>
      <c r="I58" s="1526"/>
      <c r="J58" s="1526"/>
      <c r="K58" s="1526"/>
      <c r="L58" s="1526"/>
    </row>
    <row r="59" spans="1:15" s="1744" customFormat="1" ht="15.75" thickBot="1">
      <c r="F59" s="1740"/>
      <c r="G59" s="1548" t="s">
        <v>1065</v>
      </c>
      <c r="H59" s="1547">
        <f>SUM(I57:L57)</f>
        <v>5932025.1904658386</v>
      </c>
      <c r="I59" s="1546"/>
      <c r="J59" s="1526"/>
      <c r="K59" s="1526"/>
      <c r="L59" s="1546"/>
    </row>
    <row r="63" spans="1:15">
      <c r="G63" s="2445"/>
    </row>
  </sheetData>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heetViews>
  <sheetFormatPr defaultColWidth="19.5703125" defaultRowHeight="12.75"/>
  <cols>
    <col min="1" max="1" width="6.140625" style="984" customWidth="1"/>
    <col min="2" max="2" width="24.140625" style="984" customWidth="1"/>
    <col min="3" max="3" width="40" style="984" customWidth="1"/>
    <col min="4" max="4" width="41.5703125" style="991" customWidth="1"/>
    <col min="5" max="5" width="20.7109375" style="984" customWidth="1"/>
    <col min="6" max="6" width="3.140625" style="984" customWidth="1"/>
    <col min="7" max="241" width="19.5703125" style="984"/>
    <col min="242" max="242" width="7.140625" style="984" customWidth="1"/>
    <col min="243" max="243" width="24.140625" style="984" customWidth="1"/>
    <col min="244" max="244" width="28.42578125" style="984" customWidth="1"/>
    <col min="245" max="245" width="19.5703125" style="984" customWidth="1"/>
    <col min="246" max="246" width="24.140625" style="984" customWidth="1"/>
    <col min="247" max="247" width="19.5703125" style="984"/>
    <col min="248" max="248" width="5.5703125" style="984" customWidth="1"/>
    <col min="249" max="249" width="24.140625" style="984" customWidth="1"/>
    <col min="250" max="250" width="34.140625" style="984" customWidth="1"/>
    <col min="251" max="251" width="41.5703125" style="984" customWidth="1"/>
    <col min="252" max="252" width="25.140625" style="984" customWidth="1"/>
    <col min="253" max="253" width="19.5703125" style="984"/>
    <col min="254" max="254" width="7" style="984" customWidth="1"/>
    <col min="255" max="255" width="4.85546875" style="984" bestFit="1" customWidth="1"/>
    <col min="256" max="256" width="9.140625" style="984" bestFit="1" customWidth="1"/>
    <col min="257" max="257" width="12.5703125" style="984" customWidth="1"/>
    <col min="258" max="258" width="56.7109375" style="984" bestFit="1" customWidth="1"/>
    <col min="259" max="497" width="19.5703125" style="984"/>
    <col min="498" max="498" width="7.140625" style="984" customWidth="1"/>
    <col min="499" max="499" width="24.140625" style="984" customWidth="1"/>
    <col min="500" max="500" width="28.42578125" style="984" customWidth="1"/>
    <col min="501" max="501" width="19.5703125" style="984" customWidth="1"/>
    <col min="502" max="502" width="24.140625" style="984" customWidth="1"/>
    <col min="503" max="503" width="19.5703125" style="984"/>
    <col min="504" max="504" width="5.5703125" style="984" customWidth="1"/>
    <col min="505" max="505" width="24.140625" style="984" customWidth="1"/>
    <col min="506" max="506" width="34.140625" style="984" customWidth="1"/>
    <col min="507" max="507" width="41.5703125" style="984" customWidth="1"/>
    <col min="508" max="508" width="25.140625" style="984" customWidth="1"/>
    <col min="509" max="509" width="19.5703125" style="984"/>
    <col min="510" max="510" width="7" style="984" customWidth="1"/>
    <col min="511" max="511" width="4.85546875" style="984" bestFit="1" customWidth="1"/>
    <col min="512" max="512" width="9.140625" style="984" bestFit="1" customWidth="1"/>
    <col min="513" max="513" width="12.5703125" style="984" customWidth="1"/>
    <col min="514" max="514" width="56.7109375" style="984" bestFit="1" customWidth="1"/>
    <col min="515" max="753" width="19.5703125" style="984"/>
    <col min="754" max="754" width="7.140625" style="984" customWidth="1"/>
    <col min="755" max="755" width="24.140625" style="984" customWidth="1"/>
    <col min="756" max="756" width="28.42578125" style="984" customWidth="1"/>
    <col min="757" max="757" width="19.5703125" style="984" customWidth="1"/>
    <col min="758" max="758" width="24.140625" style="984" customWidth="1"/>
    <col min="759" max="759" width="19.5703125" style="984"/>
    <col min="760" max="760" width="5.5703125" style="984" customWidth="1"/>
    <col min="761" max="761" width="24.140625" style="984" customWidth="1"/>
    <col min="762" max="762" width="34.140625" style="984" customWidth="1"/>
    <col min="763" max="763" width="41.5703125" style="984" customWidth="1"/>
    <col min="764" max="764" width="25.140625" style="984" customWidth="1"/>
    <col min="765" max="765" width="19.5703125" style="984"/>
    <col min="766" max="766" width="7" style="984" customWidth="1"/>
    <col min="767" max="767" width="4.85546875" style="984" bestFit="1" customWidth="1"/>
    <col min="768" max="768" width="9.140625" style="984" bestFit="1" customWidth="1"/>
    <col min="769" max="769" width="12.5703125" style="984" customWidth="1"/>
    <col min="770" max="770" width="56.7109375" style="984" bestFit="1" customWidth="1"/>
    <col min="771" max="1009" width="19.5703125" style="984"/>
    <col min="1010" max="1010" width="7.140625" style="984" customWidth="1"/>
    <col min="1011" max="1011" width="24.140625" style="984" customWidth="1"/>
    <col min="1012" max="1012" width="28.42578125" style="984" customWidth="1"/>
    <col min="1013" max="1013" width="19.5703125" style="984" customWidth="1"/>
    <col min="1014" max="1014" width="24.140625" style="984" customWidth="1"/>
    <col min="1015" max="1015" width="19.5703125" style="984"/>
    <col min="1016" max="1016" width="5.5703125" style="984" customWidth="1"/>
    <col min="1017" max="1017" width="24.140625" style="984" customWidth="1"/>
    <col min="1018" max="1018" width="34.140625" style="984" customWidth="1"/>
    <col min="1019" max="1019" width="41.5703125" style="984" customWidth="1"/>
    <col min="1020" max="1020" width="25.140625" style="984" customWidth="1"/>
    <col min="1021" max="1021" width="19.5703125" style="984"/>
    <col min="1022" max="1022" width="7" style="984" customWidth="1"/>
    <col min="1023" max="1023" width="4.85546875" style="984" bestFit="1" customWidth="1"/>
    <col min="1024" max="1024" width="9.140625" style="984" bestFit="1" customWidth="1"/>
    <col min="1025" max="1025" width="12.5703125" style="984" customWidth="1"/>
    <col min="1026" max="1026" width="56.7109375" style="984" bestFit="1" customWidth="1"/>
    <col min="1027" max="1265" width="19.5703125" style="984"/>
    <col min="1266" max="1266" width="7.140625" style="984" customWidth="1"/>
    <col min="1267" max="1267" width="24.140625" style="984" customWidth="1"/>
    <col min="1268" max="1268" width="28.42578125" style="984" customWidth="1"/>
    <col min="1269" max="1269" width="19.5703125" style="984" customWidth="1"/>
    <col min="1270" max="1270" width="24.140625" style="984" customWidth="1"/>
    <col min="1271" max="1271" width="19.5703125" style="984"/>
    <col min="1272" max="1272" width="5.5703125" style="984" customWidth="1"/>
    <col min="1273" max="1273" width="24.140625" style="984" customWidth="1"/>
    <col min="1274" max="1274" width="34.140625" style="984" customWidth="1"/>
    <col min="1275" max="1275" width="41.5703125" style="984" customWidth="1"/>
    <col min="1276" max="1276" width="25.140625" style="984" customWidth="1"/>
    <col min="1277" max="1277" width="19.5703125" style="984"/>
    <col min="1278" max="1278" width="7" style="984" customWidth="1"/>
    <col min="1279" max="1279" width="4.85546875" style="984" bestFit="1" customWidth="1"/>
    <col min="1280" max="1280" width="9.140625" style="984" bestFit="1" customWidth="1"/>
    <col min="1281" max="1281" width="12.5703125" style="984" customWidth="1"/>
    <col min="1282" max="1282" width="56.7109375" style="984" bestFit="1" customWidth="1"/>
    <col min="1283" max="1521" width="19.5703125" style="984"/>
    <col min="1522" max="1522" width="7.140625" style="984" customWidth="1"/>
    <col min="1523" max="1523" width="24.140625" style="984" customWidth="1"/>
    <col min="1524" max="1524" width="28.42578125" style="984" customWidth="1"/>
    <col min="1525" max="1525" width="19.5703125" style="984" customWidth="1"/>
    <col min="1526" max="1526" width="24.140625" style="984" customWidth="1"/>
    <col min="1527" max="1527" width="19.5703125" style="984"/>
    <col min="1528" max="1528" width="5.5703125" style="984" customWidth="1"/>
    <col min="1529" max="1529" width="24.140625" style="984" customWidth="1"/>
    <col min="1530" max="1530" width="34.140625" style="984" customWidth="1"/>
    <col min="1531" max="1531" width="41.5703125" style="984" customWidth="1"/>
    <col min="1532" max="1532" width="25.140625" style="984" customWidth="1"/>
    <col min="1533" max="1533" width="19.5703125" style="984"/>
    <col min="1534" max="1534" width="7" style="984" customWidth="1"/>
    <col min="1535" max="1535" width="4.85546875" style="984" bestFit="1" customWidth="1"/>
    <col min="1536" max="1536" width="9.140625" style="984" bestFit="1" customWidth="1"/>
    <col min="1537" max="1537" width="12.5703125" style="984" customWidth="1"/>
    <col min="1538" max="1538" width="56.7109375" style="984" bestFit="1" customWidth="1"/>
    <col min="1539" max="1777" width="19.5703125" style="984"/>
    <col min="1778" max="1778" width="7.140625" style="984" customWidth="1"/>
    <col min="1779" max="1779" width="24.140625" style="984" customWidth="1"/>
    <col min="1780" max="1780" width="28.42578125" style="984" customWidth="1"/>
    <col min="1781" max="1781" width="19.5703125" style="984" customWidth="1"/>
    <col min="1782" max="1782" width="24.140625" style="984" customWidth="1"/>
    <col min="1783" max="1783" width="19.5703125" style="984"/>
    <col min="1784" max="1784" width="5.5703125" style="984" customWidth="1"/>
    <col min="1785" max="1785" width="24.140625" style="984" customWidth="1"/>
    <col min="1786" max="1786" width="34.140625" style="984" customWidth="1"/>
    <col min="1787" max="1787" width="41.5703125" style="984" customWidth="1"/>
    <col min="1788" max="1788" width="25.140625" style="984" customWidth="1"/>
    <col min="1789" max="1789" width="19.5703125" style="984"/>
    <col min="1790" max="1790" width="7" style="984" customWidth="1"/>
    <col min="1791" max="1791" width="4.85546875" style="984" bestFit="1" customWidth="1"/>
    <col min="1792" max="1792" width="9.140625" style="984" bestFit="1" customWidth="1"/>
    <col min="1793" max="1793" width="12.5703125" style="984" customWidth="1"/>
    <col min="1794" max="1794" width="56.7109375" style="984" bestFit="1" customWidth="1"/>
    <col min="1795" max="2033" width="19.5703125" style="984"/>
    <col min="2034" max="2034" width="7.140625" style="984" customWidth="1"/>
    <col min="2035" max="2035" width="24.140625" style="984" customWidth="1"/>
    <col min="2036" max="2036" width="28.42578125" style="984" customWidth="1"/>
    <col min="2037" max="2037" width="19.5703125" style="984" customWidth="1"/>
    <col min="2038" max="2038" width="24.140625" style="984" customWidth="1"/>
    <col min="2039" max="2039" width="19.5703125" style="984"/>
    <col min="2040" max="2040" width="5.5703125" style="984" customWidth="1"/>
    <col min="2041" max="2041" width="24.140625" style="984" customWidth="1"/>
    <col min="2042" max="2042" width="34.140625" style="984" customWidth="1"/>
    <col min="2043" max="2043" width="41.5703125" style="984" customWidth="1"/>
    <col min="2044" max="2044" width="25.140625" style="984" customWidth="1"/>
    <col min="2045" max="2045" width="19.5703125" style="984"/>
    <col min="2046" max="2046" width="7" style="984" customWidth="1"/>
    <col min="2047" max="2047" width="4.85546875" style="984" bestFit="1" customWidth="1"/>
    <col min="2048" max="2048" width="9.140625" style="984" bestFit="1" customWidth="1"/>
    <col min="2049" max="2049" width="12.5703125" style="984" customWidth="1"/>
    <col min="2050" max="2050" width="56.7109375" style="984" bestFit="1" customWidth="1"/>
    <col min="2051" max="2289" width="19.5703125" style="984"/>
    <col min="2290" max="2290" width="7.140625" style="984" customWidth="1"/>
    <col min="2291" max="2291" width="24.140625" style="984" customWidth="1"/>
    <col min="2292" max="2292" width="28.42578125" style="984" customWidth="1"/>
    <col min="2293" max="2293" width="19.5703125" style="984" customWidth="1"/>
    <col min="2294" max="2294" width="24.140625" style="984" customWidth="1"/>
    <col min="2295" max="2295" width="19.5703125" style="984"/>
    <col min="2296" max="2296" width="5.5703125" style="984" customWidth="1"/>
    <col min="2297" max="2297" width="24.140625" style="984" customWidth="1"/>
    <col min="2298" max="2298" width="34.140625" style="984" customWidth="1"/>
    <col min="2299" max="2299" width="41.5703125" style="984" customWidth="1"/>
    <col min="2300" max="2300" width="25.140625" style="984" customWidth="1"/>
    <col min="2301" max="2301" width="19.5703125" style="984"/>
    <col min="2302" max="2302" width="7" style="984" customWidth="1"/>
    <col min="2303" max="2303" width="4.85546875" style="984" bestFit="1" customWidth="1"/>
    <col min="2304" max="2304" width="9.140625" style="984" bestFit="1" customWidth="1"/>
    <col min="2305" max="2305" width="12.5703125" style="984" customWidth="1"/>
    <col min="2306" max="2306" width="56.7109375" style="984" bestFit="1" customWidth="1"/>
    <col min="2307" max="2545" width="19.5703125" style="984"/>
    <col min="2546" max="2546" width="7.140625" style="984" customWidth="1"/>
    <col min="2547" max="2547" width="24.140625" style="984" customWidth="1"/>
    <col min="2548" max="2548" width="28.42578125" style="984" customWidth="1"/>
    <col min="2549" max="2549" width="19.5703125" style="984" customWidth="1"/>
    <col min="2550" max="2550" width="24.140625" style="984" customWidth="1"/>
    <col min="2551" max="2551" width="19.5703125" style="984"/>
    <col min="2552" max="2552" width="5.5703125" style="984" customWidth="1"/>
    <col min="2553" max="2553" width="24.140625" style="984" customWidth="1"/>
    <col min="2554" max="2554" width="34.140625" style="984" customWidth="1"/>
    <col min="2555" max="2555" width="41.5703125" style="984" customWidth="1"/>
    <col min="2556" max="2556" width="25.140625" style="984" customWidth="1"/>
    <col min="2557" max="2557" width="19.5703125" style="984"/>
    <col min="2558" max="2558" width="7" style="984" customWidth="1"/>
    <col min="2559" max="2559" width="4.85546875" style="984" bestFit="1" customWidth="1"/>
    <col min="2560" max="2560" width="9.140625" style="984" bestFit="1" customWidth="1"/>
    <col min="2561" max="2561" width="12.5703125" style="984" customWidth="1"/>
    <col min="2562" max="2562" width="56.7109375" style="984" bestFit="1" customWidth="1"/>
    <col min="2563" max="2801" width="19.5703125" style="984"/>
    <col min="2802" max="2802" width="7.140625" style="984" customWidth="1"/>
    <col min="2803" max="2803" width="24.140625" style="984" customWidth="1"/>
    <col min="2804" max="2804" width="28.42578125" style="984" customWidth="1"/>
    <col min="2805" max="2805" width="19.5703125" style="984" customWidth="1"/>
    <col min="2806" max="2806" width="24.140625" style="984" customWidth="1"/>
    <col min="2807" max="2807" width="19.5703125" style="984"/>
    <col min="2808" max="2808" width="5.5703125" style="984" customWidth="1"/>
    <col min="2809" max="2809" width="24.140625" style="984" customWidth="1"/>
    <col min="2810" max="2810" width="34.140625" style="984" customWidth="1"/>
    <col min="2811" max="2811" width="41.5703125" style="984" customWidth="1"/>
    <col min="2812" max="2812" width="25.140625" style="984" customWidth="1"/>
    <col min="2813" max="2813" width="19.5703125" style="984"/>
    <col min="2814" max="2814" width="7" style="984" customWidth="1"/>
    <col min="2815" max="2815" width="4.85546875" style="984" bestFit="1" customWidth="1"/>
    <col min="2816" max="2816" width="9.140625" style="984" bestFit="1" customWidth="1"/>
    <col min="2817" max="2817" width="12.5703125" style="984" customWidth="1"/>
    <col min="2818" max="2818" width="56.7109375" style="984" bestFit="1" customWidth="1"/>
    <col min="2819" max="3057" width="19.5703125" style="984"/>
    <col min="3058" max="3058" width="7.140625" style="984" customWidth="1"/>
    <col min="3059" max="3059" width="24.140625" style="984" customWidth="1"/>
    <col min="3060" max="3060" width="28.42578125" style="984" customWidth="1"/>
    <col min="3061" max="3061" width="19.5703125" style="984" customWidth="1"/>
    <col min="3062" max="3062" width="24.140625" style="984" customWidth="1"/>
    <col min="3063" max="3063" width="19.5703125" style="984"/>
    <col min="3064" max="3064" width="5.5703125" style="984" customWidth="1"/>
    <col min="3065" max="3065" width="24.140625" style="984" customWidth="1"/>
    <col min="3066" max="3066" width="34.140625" style="984" customWidth="1"/>
    <col min="3067" max="3067" width="41.5703125" style="984" customWidth="1"/>
    <col min="3068" max="3068" width="25.140625" style="984" customWidth="1"/>
    <col min="3069" max="3069" width="19.5703125" style="984"/>
    <col min="3070" max="3070" width="7" style="984" customWidth="1"/>
    <col min="3071" max="3071" width="4.85546875" style="984" bestFit="1" customWidth="1"/>
    <col min="3072" max="3072" width="9.140625" style="984" bestFit="1" customWidth="1"/>
    <col min="3073" max="3073" width="12.5703125" style="984" customWidth="1"/>
    <col min="3074" max="3074" width="56.7109375" style="984" bestFit="1" customWidth="1"/>
    <col min="3075" max="3313" width="19.5703125" style="984"/>
    <col min="3314" max="3314" width="7.140625" style="984" customWidth="1"/>
    <col min="3315" max="3315" width="24.140625" style="984" customWidth="1"/>
    <col min="3316" max="3316" width="28.42578125" style="984" customWidth="1"/>
    <col min="3317" max="3317" width="19.5703125" style="984" customWidth="1"/>
    <col min="3318" max="3318" width="24.140625" style="984" customWidth="1"/>
    <col min="3319" max="3319" width="19.5703125" style="984"/>
    <col min="3320" max="3320" width="5.5703125" style="984" customWidth="1"/>
    <col min="3321" max="3321" width="24.140625" style="984" customWidth="1"/>
    <col min="3322" max="3322" width="34.140625" style="984" customWidth="1"/>
    <col min="3323" max="3323" width="41.5703125" style="984" customWidth="1"/>
    <col min="3324" max="3324" width="25.140625" style="984" customWidth="1"/>
    <col min="3325" max="3325" width="19.5703125" style="984"/>
    <col min="3326" max="3326" width="7" style="984" customWidth="1"/>
    <col min="3327" max="3327" width="4.85546875" style="984" bestFit="1" customWidth="1"/>
    <col min="3328" max="3328" width="9.140625" style="984" bestFit="1" customWidth="1"/>
    <col min="3329" max="3329" width="12.5703125" style="984" customWidth="1"/>
    <col min="3330" max="3330" width="56.7109375" style="984" bestFit="1" customWidth="1"/>
    <col min="3331" max="3569" width="19.5703125" style="984"/>
    <col min="3570" max="3570" width="7.140625" style="984" customWidth="1"/>
    <col min="3571" max="3571" width="24.140625" style="984" customWidth="1"/>
    <col min="3572" max="3572" width="28.42578125" style="984" customWidth="1"/>
    <col min="3573" max="3573" width="19.5703125" style="984" customWidth="1"/>
    <col min="3574" max="3574" width="24.140625" style="984" customWidth="1"/>
    <col min="3575" max="3575" width="19.5703125" style="984"/>
    <col min="3576" max="3576" width="5.5703125" style="984" customWidth="1"/>
    <col min="3577" max="3577" width="24.140625" style="984" customWidth="1"/>
    <col min="3578" max="3578" width="34.140625" style="984" customWidth="1"/>
    <col min="3579" max="3579" width="41.5703125" style="984" customWidth="1"/>
    <col min="3580" max="3580" width="25.140625" style="984" customWidth="1"/>
    <col min="3581" max="3581" width="19.5703125" style="984"/>
    <col min="3582" max="3582" width="7" style="984" customWidth="1"/>
    <col min="3583" max="3583" width="4.85546875" style="984" bestFit="1" customWidth="1"/>
    <col min="3584" max="3584" width="9.140625" style="984" bestFit="1" customWidth="1"/>
    <col min="3585" max="3585" width="12.5703125" style="984" customWidth="1"/>
    <col min="3586" max="3586" width="56.7109375" style="984" bestFit="1" customWidth="1"/>
    <col min="3587" max="3825" width="19.5703125" style="984"/>
    <col min="3826" max="3826" width="7.140625" style="984" customWidth="1"/>
    <col min="3827" max="3827" width="24.140625" style="984" customWidth="1"/>
    <col min="3828" max="3828" width="28.42578125" style="984" customWidth="1"/>
    <col min="3829" max="3829" width="19.5703125" style="984" customWidth="1"/>
    <col min="3830" max="3830" width="24.140625" style="984" customWidth="1"/>
    <col min="3831" max="3831" width="19.5703125" style="984"/>
    <col min="3832" max="3832" width="5.5703125" style="984" customWidth="1"/>
    <col min="3833" max="3833" width="24.140625" style="984" customWidth="1"/>
    <col min="3834" max="3834" width="34.140625" style="984" customWidth="1"/>
    <col min="3835" max="3835" width="41.5703125" style="984" customWidth="1"/>
    <col min="3836" max="3836" width="25.140625" style="984" customWidth="1"/>
    <col min="3837" max="3837" width="19.5703125" style="984"/>
    <col min="3838" max="3838" width="7" style="984" customWidth="1"/>
    <col min="3839" max="3839" width="4.85546875" style="984" bestFit="1" customWidth="1"/>
    <col min="3840" max="3840" width="9.140625" style="984" bestFit="1" customWidth="1"/>
    <col min="3841" max="3841" width="12.5703125" style="984" customWidth="1"/>
    <col min="3842" max="3842" width="56.7109375" style="984" bestFit="1" customWidth="1"/>
    <col min="3843" max="4081" width="19.5703125" style="984"/>
    <col min="4082" max="4082" width="7.140625" style="984" customWidth="1"/>
    <col min="4083" max="4083" width="24.140625" style="984" customWidth="1"/>
    <col min="4084" max="4084" width="28.42578125" style="984" customWidth="1"/>
    <col min="4085" max="4085" width="19.5703125" style="984" customWidth="1"/>
    <col min="4086" max="4086" width="24.140625" style="984" customWidth="1"/>
    <col min="4087" max="4087" width="19.5703125" style="984"/>
    <col min="4088" max="4088" width="5.5703125" style="984" customWidth="1"/>
    <col min="4089" max="4089" width="24.140625" style="984" customWidth="1"/>
    <col min="4090" max="4090" width="34.140625" style="984" customWidth="1"/>
    <col min="4091" max="4091" width="41.5703125" style="984" customWidth="1"/>
    <col min="4092" max="4092" width="25.140625" style="984" customWidth="1"/>
    <col min="4093" max="4093" width="19.5703125" style="984"/>
    <col min="4094" max="4094" width="7" style="984" customWidth="1"/>
    <col min="4095" max="4095" width="4.85546875" style="984" bestFit="1" customWidth="1"/>
    <col min="4096" max="4096" width="9.140625" style="984" bestFit="1" customWidth="1"/>
    <col min="4097" max="4097" width="12.5703125" style="984" customWidth="1"/>
    <col min="4098" max="4098" width="56.7109375" style="984" bestFit="1" customWidth="1"/>
    <col min="4099" max="4337" width="19.5703125" style="984"/>
    <col min="4338" max="4338" width="7.140625" style="984" customWidth="1"/>
    <col min="4339" max="4339" width="24.140625" style="984" customWidth="1"/>
    <col min="4340" max="4340" width="28.42578125" style="984" customWidth="1"/>
    <col min="4341" max="4341" width="19.5703125" style="984" customWidth="1"/>
    <col min="4342" max="4342" width="24.140625" style="984" customWidth="1"/>
    <col min="4343" max="4343" width="19.5703125" style="984"/>
    <col min="4344" max="4344" width="5.5703125" style="984" customWidth="1"/>
    <col min="4345" max="4345" width="24.140625" style="984" customWidth="1"/>
    <col min="4346" max="4346" width="34.140625" style="984" customWidth="1"/>
    <col min="4347" max="4347" width="41.5703125" style="984" customWidth="1"/>
    <col min="4348" max="4348" width="25.140625" style="984" customWidth="1"/>
    <col min="4349" max="4349" width="19.5703125" style="984"/>
    <col min="4350" max="4350" width="7" style="984" customWidth="1"/>
    <col min="4351" max="4351" width="4.85546875" style="984" bestFit="1" customWidth="1"/>
    <col min="4352" max="4352" width="9.140625" style="984" bestFit="1" customWidth="1"/>
    <col min="4353" max="4353" width="12.5703125" style="984" customWidth="1"/>
    <col min="4354" max="4354" width="56.7109375" style="984" bestFit="1" customWidth="1"/>
    <col min="4355" max="4593" width="19.5703125" style="984"/>
    <col min="4594" max="4594" width="7.140625" style="984" customWidth="1"/>
    <col min="4595" max="4595" width="24.140625" style="984" customWidth="1"/>
    <col min="4596" max="4596" width="28.42578125" style="984" customWidth="1"/>
    <col min="4597" max="4597" width="19.5703125" style="984" customWidth="1"/>
    <col min="4598" max="4598" width="24.140625" style="984" customWidth="1"/>
    <col min="4599" max="4599" width="19.5703125" style="984"/>
    <col min="4600" max="4600" width="5.5703125" style="984" customWidth="1"/>
    <col min="4601" max="4601" width="24.140625" style="984" customWidth="1"/>
    <col min="4602" max="4602" width="34.140625" style="984" customWidth="1"/>
    <col min="4603" max="4603" width="41.5703125" style="984" customWidth="1"/>
    <col min="4604" max="4604" width="25.140625" style="984" customWidth="1"/>
    <col min="4605" max="4605" width="19.5703125" style="984"/>
    <col min="4606" max="4606" width="7" style="984" customWidth="1"/>
    <col min="4607" max="4607" width="4.85546875" style="984" bestFit="1" customWidth="1"/>
    <col min="4608" max="4608" width="9.140625" style="984" bestFit="1" customWidth="1"/>
    <col min="4609" max="4609" width="12.5703125" style="984" customWidth="1"/>
    <col min="4610" max="4610" width="56.7109375" style="984" bestFit="1" customWidth="1"/>
    <col min="4611" max="4849" width="19.5703125" style="984"/>
    <col min="4850" max="4850" width="7.140625" style="984" customWidth="1"/>
    <col min="4851" max="4851" width="24.140625" style="984" customWidth="1"/>
    <col min="4852" max="4852" width="28.42578125" style="984" customWidth="1"/>
    <col min="4853" max="4853" width="19.5703125" style="984" customWidth="1"/>
    <col min="4854" max="4854" width="24.140625" style="984" customWidth="1"/>
    <col min="4855" max="4855" width="19.5703125" style="984"/>
    <col min="4856" max="4856" width="5.5703125" style="984" customWidth="1"/>
    <col min="4857" max="4857" width="24.140625" style="984" customWidth="1"/>
    <col min="4858" max="4858" width="34.140625" style="984" customWidth="1"/>
    <col min="4859" max="4859" width="41.5703125" style="984" customWidth="1"/>
    <col min="4860" max="4860" width="25.140625" style="984" customWidth="1"/>
    <col min="4861" max="4861" width="19.5703125" style="984"/>
    <col min="4862" max="4862" width="7" style="984" customWidth="1"/>
    <col min="4863" max="4863" width="4.85546875" style="984" bestFit="1" customWidth="1"/>
    <col min="4864" max="4864" width="9.140625" style="984" bestFit="1" customWidth="1"/>
    <col min="4865" max="4865" width="12.5703125" style="984" customWidth="1"/>
    <col min="4866" max="4866" width="56.7109375" style="984" bestFit="1" customWidth="1"/>
    <col min="4867" max="5105" width="19.5703125" style="984"/>
    <col min="5106" max="5106" width="7.140625" style="984" customWidth="1"/>
    <col min="5107" max="5107" width="24.140625" style="984" customWidth="1"/>
    <col min="5108" max="5108" width="28.42578125" style="984" customWidth="1"/>
    <col min="5109" max="5109" width="19.5703125" style="984" customWidth="1"/>
    <col min="5110" max="5110" width="24.140625" style="984" customWidth="1"/>
    <col min="5111" max="5111" width="19.5703125" style="984"/>
    <col min="5112" max="5112" width="5.5703125" style="984" customWidth="1"/>
    <col min="5113" max="5113" width="24.140625" style="984" customWidth="1"/>
    <col min="5114" max="5114" width="34.140625" style="984" customWidth="1"/>
    <col min="5115" max="5115" width="41.5703125" style="984" customWidth="1"/>
    <col min="5116" max="5116" width="25.140625" style="984" customWidth="1"/>
    <col min="5117" max="5117" width="19.5703125" style="984"/>
    <col min="5118" max="5118" width="7" style="984" customWidth="1"/>
    <col min="5119" max="5119" width="4.85546875" style="984" bestFit="1" customWidth="1"/>
    <col min="5120" max="5120" width="9.140625" style="984" bestFit="1" customWidth="1"/>
    <col min="5121" max="5121" width="12.5703125" style="984" customWidth="1"/>
    <col min="5122" max="5122" width="56.7109375" style="984" bestFit="1" customWidth="1"/>
    <col min="5123" max="5361" width="19.5703125" style="984"/>
    <col min="5362" max="5362" width="7.140625" style="984" customWidth="1"/>
    <col min="5363" max="5363" width="24.140625" style="984" customWidth="1"/>
    <col min="5364" max="5364" width="28.42578125" style="984" customWidth="1"/>
    <col min="5365" max="5365" width="19.5703125" style="984" customWidth="1"/>
    <col min="5366" max="5366" width="24.140625" style="984" customWidth="1"/>
    <col min="5367" max="5367" width="19.5703125" style="984"/>
    <col min="5368" max="5368" width="5.5703125" style="984" customWidth="1"/>
    <col min="5369" max="5369" width="24.140625" style="984" customWidth="1"/>
    <col min="5370" max="5370" width="34.140625" style="984" customWidth="1"/>
    <col min="5371" max="5371" width="41.5703125" style="984" customWidth="1"/>
    <col min="5372" max="5372" width="25.140625" style="984" customWidth="1"/>
    <col min="5373" max="5373" width="19.5703125" style="984"/>
    <col min="5374" max="5374" width="7" style="984" customWidth="1"/>
    <col min="5375" max="5375" width="4.85546875" style="984" bestFit="1" customWidth="1"/>
    <col min="5376" max="5376" width="9.140625" style="984" bestFit="1" customWidth="1"/>
    <col min="5377" max="5377" width="12.5703125" style="984" customWidth="1"/>
    <col min="5378" max="5378" width="56.7109375" style="984" bestFit="1" customWidth="1"/>
    <col min="5379" max="5617" width="19.5703125" style="984"/>
    <col min="5618" max="5618" width="7.140625" style="984" customWidth="1"/>
    <col min="5619" max="5619" width="24.140625" style="984" customWidth="1"/>
    <col min="5620" max="5620" width="28.42578125" style="984" customWidth="1"/>
    <col min="5621" max="5621" width="19.5703125" style="984" customWidth="1"/>
    <col min="5622" max="5622" width="24.140625" style="984" customWidth="1"/>
    <col min="5623" max="5623" width="19.5703125" style="984"/>
    <col min="5624" max="5624" width="5.5703125" style="984" customWidth="1"/>
    <col min="5625" max="5625" width="24.140625" style="984" customWidth="1"/>
    <col min="5626" max="5626" width="34.140625" style="984" customWidth="1"/>
    <col min="5627" max="5627" width="41.5703125" style="984" customWidth="1"/>
    <col min="5628" max="5628" width="25.140625" style="984" customWidth="1"/>
    <col min="5629" max="5629" width="19.5703125" style="984"/>
    <col min="5630" max="5630" width="7" style="984" customWidth="1"/>
    <col min="5631" max="5631" width="4.85546875" style="984" bestFit="1" customWidth="1"/>
    <col min="5632" max="5632" width="9.140625" style="984" bestFit="1" customWidth="1"/>
    <col min="5633" max="5633" width="12.5703125" style="984" customWidth="1"/>
    <col min="5634" max="5634" width="56.7109375" style="984" bestFit="1" customWidth="1"/>
    <col min="5635" max="5873" width="19.5703125" style="984"/>
    <col min="5874" max="5874" width="7.140625" style="984" customWidth="1"/>
    <col min="5875" max="5875" width="24.140625" style="984" customWidth="1"/>
    <col min="5876" max="5876" width="28.42578125" style="984" customWidth="1"/>
    <col min="5877" max="5877" width="19.5703125" style="984" customWidth="1"/>
    <col min="5878" max="5878" width="24.140625" style="984" customWidth="1"/>
    <col min="5879" max="5879" width="19.5703125" style="984"/>
    <col min="5880" max="5880" width="5.5703125" style="984" customWidth="1"/>
    <col min="5881" max="5881" width="24.140625" style="984" customWidth="1"/>
    <col min="5882" max="5882" width="34.140625" style="984" customWidth="1"/>
    <col min="5883" max="5883" width="41.5703125" style="984" customWidth="1"/>
    <col min="5884" max="5884" width="25.140625" style="984" customWidth="1"/>
    <col min="5885" max="5885" width="19.5703125" style="984"/>
    <col min="5886" max="5886" width="7" style="984" customWidth="1"/>
    <col min="5887" max="5887" width="4.85546875" style="984" bestFit="1" customWidth="1"/>
    <col min="5888" max="5888" width="9.140625" style="984" bestFit="1" customWidth="1"/>
    <col min="5889" max="5889" width="12.5703125" style="984" customWidth="1"/>
    <col min="5890" max="5890" width="56.7109375" style="984" bestFit="1" customWidth="1"/>
    <col min="5891" max="6129" width="19.5703125" style="984"/>
    <col min="6130" max="6130" width="7.140625" style="984" customWidth="1"/>
    <col min="6131" max="6131" width="24.140625" style="984" customWidth="1"/>
    <col min="6132" max="6132" width="28.42578125" style="984" customWidth="1"/>
    <col min="6133" max="6133" width="19.5703125" style="984" customWidth="1"/>
    <col min="6134" max="6134" width="24.140625" style="984" customWidth="1"/>
    <col min="6135" max="6135" width="19.5703125" style="984"/>
    <col min="6136" max="6136" width="5.5703125" style="984" customWidth="1"/>
    <col min="6137" max="6137" width="24.140625" style="984" customWidth="1"/>
    <col min="6138" max="6138" width="34.140625" style="984" customWidth="1"/>
    <col min="6139" max="6139" width="41.5703125" style="984" customWidth="1"/>
    <col min="6140" max="6140" width="25.140625" style="984" customWidth="1"/>
    <col min="6141" max="6141" width="19.5703125" style="984"/>
    <col min="6142" max="6142" width="7" style="984" customWidth="1"/>
    <col min="6143" max="6143" width="4.85546875" style="984" bestFit="1" customWidth="1"/>
    <col min="6144" max="6144" width="9.140625" style="984" bestFit="1" customWidth="1"/>
    <col min="6145" max="6145" width="12.5703125" style="984" customWidth="1"/>
    <col min="6146" max="6146" width="56.7109375" style="984" bestFit="1" customWidth="1"/>
    <col min="6147" max="6385" width="19.5703125" style="984"/>
    <col min="6386" max="6386" width="7.140625" style="984" customWidth="1"/>
    <col min="6387" max="6387" width="24.140625" style="984" customWidth="1"/>
    <col min="6388" max="6388" width="28.42578125" style="984" customWidth="1"/>
    <col min="6389" max="6389" width="19.5703125" style="984" customWidth="1"/>
    <col min="6390" max="6390" width="24.140625" style="984" customWidth="1"/>
    <col min="6391" max="6391" width="19.5703125" style="984"/>
    <col min="6392" max="6392" width="5.5703125" style="984" customWidth="1"/>
    <col min="6393" max="6393" width="24.140625" style="984" customWidth="1"/>
    <col min="6394" max="6394" width="34.140625" style="984" customWidth="1"/>
    <col min="6395" max="6395" width="41.5703125" style="984" customWidth="1"/>
    <col min="6396" max="6396" width="25.140625" style="984" customWidth="1"/>
    <col min="6397" max="6397" width="19.5703125" style="984"/>
    <col min="6398" max="6398" width="7" style="984" customWidth="1"/>
    <col min="6399" max="6399" width="4.85546875" style="984" bestFit="1" customWidth="1"/>
    <col min="6400" max="6400" width="9.140625" style="984" bestFit="1" customWidth="1"/>
    <col min="6401" max="6401" width="12.5703125" style="984" customWidth="1"/>
    <col min="6402" max="6402" width="56.7109375" style="984" bestFit="1" customWidth="1"/>
    <col min="6403" max="6641" width="19.5703125" style="984"/>
    <col min="6642" max="6642" width="7.140625" style="984" customWidth="1"/>
    <col min="6643" max="6643" width="24.140625" style="984" customWidth="1"/>
    <col min="6644" max="6644" width="28.42578125" style="984" customWidth="1"/>
    <col min="6645" max="6645" width="19.5703125" style="984" customWidth="1"/>
    <col min="6646" max="6646" width="24.140625" style="984" customWidth="1"/>
    <col min="6647" max="6647" width="19.5703125" style="984"/>
    <col min="6648" max="6648" width="5.5703125" style="984" customWidth="1"/>
    <col min="6649" max="6649" width="24.140625" style="984" customWidth="1"/>
    <col min="6650" max="6650" width="34.140625" style="984" customWidth="1"/>
    <col min="6651" max="6651" width="41.5703125" style="984" customWidth="1"/>
    <col min="6652" max="6652" width="25.140625" style="984" customWidth="1"/>
    <col min="6653" max="6653" width="19.5703125" style="984"/>
    <col min="6654" max="6654" width="7" style="984" customWidth="1"/>
    <col min="6655" max="6655" width="4.85546875" style="984" bestFit="1" customWidth="1"/>
    <col min="6656" max="6656" width="9.140625" style="984" bestFit="1" customWidth="1"/>
    <col min="6657" max="6657" width="12.5703125" style="984" customWidth="1"/>
    <col min="6658" max="6658" width="56.7109375" style="984" bestFit="1" customWidth="1"/>
    <col min="6659" max="6897" width="19.5703125" style="984"/>
    <col min="6898" max="6898" width="7.140625" style="984" customWidth="1"/>
    <col min="6899" max="6899" width="24.140625" style="984" customWidth="1"/>
    <col min="6900" max="6900" width="28.42578125" style="984" customWidth="1"/>
    <col min="6901" max="6901" width="19.5703125" style="984" customWidth="1"/>
    <col min="6902" max="6902" width="24.140625" style="984" customWidth="1"/>
    <col min="6903" max="6903" width="19.5703125" style="984"/>
    <col min="6904" max="6904" width="5.5703125" style="984" customWidth="1"/>
    <col min="6905" max="6905" width="24.140625" style="984" customWidth="1"/>
    <col min="6906" max="6906" width="34.140625" style="984" customWidth="1"/>
    <col min="6907" max="6907" width="41.5703125" style="984" customWidth="1"/>
    <col min="6908" max="6908" width="25.140625" style="984" customWidth="1"/>
    <col min="6909" max="6909" width="19.5703125" style="984"/>
    <col min="6910" max="6910" width="7" style="984" customWidth="1"/>
    <col min="6911" max="6911" width="4.85546875" style="984" bestFit="1" customWidth="1"/>
    <col min="6912" max="6912" width="9.140625" style="984" bestFit="1" customWidth="1"/>
    <col min="6913" max="6913" width="12.5703125" style="984" customWidth="1"/>
    <col min="6914" max="6914" width="56.7109375" style="984" bestFit="1" customWidth="1"/>
    <col min="6915" max="7153" width="19.5703125" style="984"/>
    <col min="7154" max="7154" width="7.140625" style="984" customWidth="1"/>
    <col min="7155" max="7155" width="24.140625" style="984" customWidth="1"/>
    <col min="7156" max="7156" width="28.42578125" style="984" customWidth="1"/>
    <col min="7157" max="7157" width="19.5703125" style="984" customWidth="1"/>
    <col min="7158" max="7158" width="24.140625" style="984" customWidth="1"/>
    <col min="7159" max="7159" width="19.5703125" style="984"/>
    <col min="7160" max="7160" width="5.5703125" style="984" customWidth="1"/>
    <col min="7161" max="7161" width="24.140625" style="984" customWidth="1"/>
    <col min="7162" max="7162" width="34.140625" style="984" customWidth="1"/>
    <col min="7163" max="7163" width="41.5703125" style="984" customWidth="1"/>
    <col min="7164" max="7164" width="25.140625" style="984" customWidth="1"/>
    <col min="7165" max="7165" width="19.5703125" style="984"/>
    <col min="7166" max="7166" width="7" style="984" customWidth="1"/>
    <col min="7167" max="7167" width="4.85546875" style="984" bestFit="1" customWidth="1"/>
    <col min="7168" max="7168" width="9.140625" style="984" bestFit="1" customWidth="1"/>
    <col min="7169" max="7169" width="12.5703125" style="984" customWidth="1"/>
    <col min="7170" max="7170" width="56.7109375" style="984" bestFit="1" customWidth="1"/>
    <col min="7171" max="7409" width="19.5703125" style="984"/>
    <col min="7410" max="7410" width="7.140625" style="984" customWidth="1"/>
    <col min="7411" max="7411" width="24.140625" style="984" customWidth="1"/>
    <col min="7412" max="7412" width="28.42578125" style="984" customWidth="1"/>
    <col min="7413" max="7413" width="19.5703125" style="984" customWidth="1"/>
    <col min="7414" max="7414" width="24.140625" style="984" customWidth="1"/>
    <col min="7415" max="7415" width="19.5703125" style="984"/>
    <col min="7416" max="7416" width="5.5703125" style="984" customWidth="1"/>
    <col min="7417" max="7417" width="24.140625" style="984" customWidth="1"/>
    <col min="7418" max="7418" width="34.140625" style="984" customWidth="1"/>
    <col min="7419" max="7419" width="41.5703125" style="984" customWidth="1"/>
    <col min="7420" max="7420" width="25.140625" style="984" customWidth="1"/>
    <col min="7421" max="7421" width="19.5703125" style="984"/>
    <col min="7422" max="7422" width="7" style="984" customWidth="1"/>
    <col min="7423" max="7423" width="4.85546875" style="984" bestFit="1" customWidth="1"/>
    <col min="7424" max="7424" width="9.140625" style="984" bestFit="1" customWidth="1"/>
    <col min="7425" max="7425" width="12.5703125" style="984" customWidth="1"/>
    <col min="7426" max="7426" width="56.7109375" style="984" bestFit="1" customWidth="1"/>
    <col min="7427" max="7665" width="19.5703125" style="984"/>
    <col min="7666" max="7666" width="7.140625" style="984" customWidth="1"/>
    <col min="7667" max="7667" width="24.140625" style="984" customWidth="1"/>
    <col min="7668" max="7668" width="28.42578125" style="984" customWidth="1"/>
    <col min="7669" max="7669" width="19.5703125" style="984" customWidth="1"/>
    <col min="7670" max="7670" width="24.140625" style="984" customWidth="1"/>
    <col min="7671" max="7671" width="19.5703125" style="984"/>
    <col min="7672" max="7672" width="5.5703125" style="984" customWidth="1"/>
    <col min="7673" max="7673" width="24.140625" style="984" customWidth="1"/>
    <col min="7674" max="7674" width="34.140625" style="984" customWidth="1"/>
    <col min="7675" max="7675" width="41.5703125" style="984" customWidth="1"/>
    <col min="7676" max="7676" width="25.140625" style="984" customWidth="1"/>
    <col min="7677" max="7677" width="19.5703125" style="984"/>
    <col min="7678" max="7678" width="7" style="984" customWidth="1"/>
    <col min="7679" max="7679" width="4.85546875" style="984" bestFit="1" customWidth="1"/>
    <col min="7680" max="7680" width="9.140625" style="984" bestFit="1" customWidth="1"/>
    <col min="7681" max="7681" width="12.5703125" style="984" customWidth="1"/>
    <col min="7682" max="7682" width="56.7109375" style="984" bestFit="1" customWidth="1"/>
    <col min="7683" max="7921" width="19.5703125" style="984"/>
    <col min="7922" max="7922" width="7.140625" style="984" customWidth="1"/>
    <col min="7923" max="7923" width="24.140625" style="984" customWidth="1"/>
    <col min="7924" max="7924" width="28.42578125" style="984" customWidth="1"/>
    <col min="7925" max="7925" width="19.5703125" style="984" customWidth="1"/>
    <col min="7926" max="7926" width="24.140625" style="984" customWidth="1"/>
    <col min="7927" max="7927" width="19.5703125" style="984"/>
    <col min="7928" max="7928" width="5.5703125" style="984" customWidth="1"/>
    <col min="7929" max="7929" width="24.140625" style="984" customWidth="1"/>
    <col min="7930" max="7930" width="34.140625" style="984" customWidth="1"/>
    <col min="7931" max="7931" width="41.5703125" style="984" customWidth="1"/>
    <col min="7932" max="7932" width="25.140625" style="984" customWidth="1"/>
    <col min="7933" max="7933" width="19.5703125" style="984"/>
    <col min="7934" max="7934" width="7" style="984" customWidth="1"/>
    <col min="7935" max="7935" width="4.85546875" style="984" bestFit="1" customWidth="1"/>
    <col min="7936" max="7936" width="9.140625" style="984" bestFit="1" customWidth="1"/>
    <col min="7937" max="7937" width="12.5703125" style="984" customWidth="1"/>
    <col min="7938" max="7938" width="56.7109375" style="984" bestFit="1" customWidth="1"/>
    <col min="7939" max="8177" width="19.5703125" style="984"/>
    <col min="8178" max="8178" width="7.140625" style="984" customWidth="1"/>
    <col min="8179" max="8179" width="24.140625" style="984" customWidth="1"/>
    <col min="8180" max="8180" width="28.42578125" style="984" customWidth="1"/>
    <col min="8181" max="8181" width="19.5703125" style="984" customWidth="1"/>
    <col min="8182" max="8182" width="24.140625" style="984" customWidth="1"/>
    <col min="8183" max="8183" width="19.5703125" style="984"/>
    <col min="8184" max="8184" width="5.5703125" style="984" customWidth="1"/>
    <col min="8185" max="8185" width="24.140625" style="984" customWidth="1"/>
    <col min="8186" max="8186" width="34.140625" style="984" customWidth="1"/>
    <col min="8187" max="8187" width="41.5703125" style="984" customWidth="1"/>
    <col min="8188" max="8188" width="25.140625" style="984" customWidth="1"/>
    <col min="8189" max="8189" width="19.5703125" style="984"/>
    <col min="8190" max="8190" width="7" style="984" customWidth="1"/>
    <col min="8191" max="8191" width="4.85546875" style="984" bestFit="1" customWidth="1"/>
    <col min="8192" max="8192" width="9.140625" style="984" bestFit="1" customWidth="1"/>
    <col min="8193" max="8193" width="12.5703125" style="984" customWidth="1"/>
    <col min="8194" max="8194" width="56.7109375" style="984" bestFit="1" customWidth="1"/>
    <col min="8195" max="8433" width="19.5703125" style="984"/>
    <col min="8434" max="8434" width="7.140625" style="984" customWidth="1"/>
    <col min="8435" max="8435" width="24.140625" style="984" customWidth="1"/>
    <col min="8436" max="8436" width="28.42578125" style="984" customWidth="1"/>
    <col min="8437" max="8437" width="19.5703125" style="984" customWidth="1"/>
    <col min="8438" max="8438" width="24.140625" style="984" customWidth="1"/>
    <col min="8439" max="8439" width="19.5703125" style="984"/>
    <col min="8440" max="8440" width="5.5703125" style="984" customWidth="1"/>
    <col min="8441" max="8441" width="24.140625" style="984" customWidth="1"/>
    <col min="8442" max="8442" width="34.140625" style="984" customWidth="1"/>
    <col min="8443" max="8443" width="41.5703125" style="984" customWidth="1"/>
    <col min="8444" max="8444" width="25.140625" style="984" customWidth="1"/>
    <col min="8445" max="8445" width="19.5703125" style="984"/>
    <col min="8446" max="8446" width="7" style="984" customWidth="1"/>
    <col min="8447" max="8447" width="4.85546875" style="984" bestFit="1" customWidth="1"/>
    <col min="8448" max="8448" width="9.140625" style="984" bestFit="1" customWidth="1"/>
    <col min="8449" max="8449" width="12.5703125" style="984" customWidth="1"/>
    <col min="8450" max="8450" width="56.7109375" style="984" bestFit="1" customWidth="1"/>
    <col min="8451" max="8689" width="19.5703125" style="984"/>
    <col min="8690" max="8690" width="7.140625" style="984" customWidth="1"/>
    <col min="8691" max="8691" width="24.140625" style="984" customWidth="1"/>
    <col min="8692" max="8692" width="28.42578125" style="984" customWidth="1"/>
    <col min="8693" max="8693" width="19.5703125" style="984" customWidth="1"/>
    <col min="8694" max="8694" width="24.140625" style="984" customWidth="1"/>
    <col min="8695" max="8695" width="19.5703125" style="984"/>
    <col min="8696" max="8696" width="5.5703125" style="984" customWidth="1"/>
    <col min="8697" max="8697" width="24.140625" style="984" customWidth="1"/>
    <col min="8698" max="8698" width="34.140625" style="984" customWidth="1"/>
    <col min="8699" max="8699" width="41.5703125" style="984" customWidth="1"/>
    <col min="8700" max="8700" width="25.140625" style="984" customWidth="1"/>
    <col min="8701" max="8701" width="19.5703125" style="984"/>
    <col min="8702" max="8702" width="7" style="984" customWidth="1"/>
    <col min="8703" max="8703" width="4.85546875" style="984" bestFit="1" customWidth="1"/>
    <col min="8704" max="8704" width="9.140625" style="984" bestFit="1" customWidth="1"/>
    <col min="8705" max="8705" width="12.5703125" style="984" customWidth="1"/>
    <col min="8706" max="8706" width="56.7109375" style="984" bestFit="1" customWidth="1"/>
    <col min="8707" max="8945" width="19.5703125" style="984"/>
    <col min="8946" max="8946" width="7.140625" style="984" customWidth="1"/>
    <col min="8947" max="8947" width="24.140625" style="984" customWidth="1"/>
    <col min="8948" max="8948" width="28.42578125" style="984" customWidth="1"/>
    <col min="8949" max="8949" width="19.5703125" style="984" customWidth="1"/>
    <col min="8950" max="8950" width="24.140625" style="984" customWidth="1"/>
    <col min="8951" max="8951" width="19.5703125" style="984"/>
    <col min="8952" max="8952" width="5.5703125" style="984" customWidth="1"/>
    <col min="8953" max="8953" width="24.140625" style="984" customWidth="1"/>
    <col min="8954" max="8954" width="34.140625" style="984" customWidth="1"/>
    <col min="8955" max="8955" width="41.5703125" style="984" customWidth="1"/>
    <col min="8956" max="8956" width="25.140625" style="984" customWidth="1"/>
    <col min="8957" max="8957" width="19.5703125" style="984"/>
    <col min="8958" max="8958" width="7" style="984" customWidth="1"/>
    <col min="8959" max="8959" width="4.85546875" style="984" bestFit="1" customWidth="1"/>
    <col min="8960" max="8960" width="9.140625" style="984" bestFit="1" customWidth="1"/>
    <col min="8961" max="8961" width="12.5703125" style="984" customWidth="1"/>
    <col min="8962" max="8962" width="56.7109375" style="984" bestFit="1" customWidth="1"/>
    <col min="8963" max="9201" width="19.5703125" style="984"/>
    <col min="9202" max="9202" width="7.140625" style="984" customWidth="1"/>
    <col min="9203" max="9203" width="24.140625" style="984" customWidth="1"/>
    <col min="9204" max="9204" width="28.42578125" style="984" customWidth="1"/>
    <col min="9205" max="9205" width="19.5703125" style="984" customWidth="1"/>
    <col min="9206" max="9206" width="24.140625" style="984" customWidth="1"/>
    <col min="9207" max="9207" width="19.5703125" style="984"/>
    <col min="9208" max="9208" width="5.5703125" style="984" customWidth="1"/>
    <col min="9209" max="9209" width="24.140625" style="984" customWidth="1"/>
    <col min="9210" max="9210" width="34.140625" style="984" customWidth="1"/>
    <col min="9211" max="9211" width="41.5703125" style="984" customWidth="1"/>
    <col min="9212" max="9212" width="25.140625" style="984" customWidth="1"/>
    <col min="9213" max="9213" width="19.5703125" style="984"/>
    <col min="9214" max="9214" width="7" style="984" customWidth="1"/>
    <col min="9215" max="9215" width="4.85546875" style="984" bestFit="1" customWidth="1"/>
    <col min="9216" max="9216" width="9.140625" style="984" bestFit="1" customWidth="1"/>
    <col min="9217" max="9217" width="12.5703125" style="984" customWidth="1"/>
    <col min="9218" max="9218" width="56.7109375" style="984" bestFit="1" customWidth="1"/>
    <col min="9219" max="9457" width="19.5703125" style="984"/>
    <col min="9458" max="9458" width="7.140625" style="984" customWidth="1"/>
    <col min="9459" max="9459" width="24.140625" style="984" customWidth="1"/>
    <col min="9460" max="9460" width="28.42578125" style="984" customWidth="1"/>
    <col min="9461" max="9461" width="19.5703125" style="984" customWidth="1"/>
    <col min="9462" max="9462" width="24.140625" style="984" customWidth="1"/>
    <col min="9463" max="9463" width="19.5703125" style="984"/>
    <col min="9464" max="9464" width="5.5703125" style="984" customWidth="1"/>
    <col min="9465" max="9465" width="24.140625" style="984" customWidth="1"/>
    <col min="9466" max="9466" width="34.140625" style="984" customWidth="1"/>
    <col min="9467" max="9467" width="41.5703125" style="984" customWidth="1"/>
    <col min="9468" max="9468" width="25.140625" style="984" customWidth="1"/>
    <col min="9469" max="9469" width="19.5703125" style="984"/>
    <col min="9470" max="9470" width="7" style="984" customWidth="1"/>
    <col min="9471" max="9471" width="4.85546875" style="984" bestFit="1" customWidth="1"/>
    <col min="9472" max="9472" width="9.140625" style="984" bestFit="1" customWidth="1"/>
    <col min="9473" max="9473" width="12.5703125" style="984" customWidth="1"/>
    <col min="9474" max="9474" width="56.7109375" style="984" bestFit="1" customWidth="1"/>
    <col min="9475" max="9713" width="19.5703125" style="984"/>
    <col min="9714" max="9714" width="7.140625" style="984" customWidth="1"/>
    <col min="9715" max="9715" width="24.140625" style="984" customWidth="1"/>
    <col min="9716" max="9716" width="28.42578125" style="984" customWidth="1"/>
    <col min="9717" max="9717" width="19.5703125" style="984" customWidth="1"/>
    <col min="9718" max="9718" width="24.140625" style="984" customWidth="1"/>
    <col min="9719" max="9719" width="19.5703125" style="984"/>
    <col min="9720" max="9720" width="5.5703125" style="984" customWidth="1"/>
    <col min="9721" max="9721" width="24.140625" style="984" customWidth="1"/>
    <col min="9722" max="9722" width="34.140625" style="984" customWidth="1"/>
    <col min="9723" max="9723" width="41.5703125" style="984" customWidth="1"/>
    <col min="9724" max="9724" width="25.140625" style="984" customWidth="1"/>
    <col min="9725" max="9725" width="19.5703125" style="984"/>
    <col min="9726" max="9726" width="7" style="984" customWidth="1"/>
    <col min="9727" max="9727" width="4.85546875" style="984" bestFit="1" customWidth="1"/>
    <col min="9728" max="9728" width="9.140625" style="984" bestFit="1" customWidth="1"/>
    <col min="9729" max="9729" width="12.5703125" style="984" customWidth="1"/>
    <col min="9730" max="9730" width="56.7109375" style="984" bestFit="1" customWidth="1"/>
    <col min="9731" max="9969" width="19.5703125" style="984"/>
    <col min="9970" max="9970" width="7.140625" style="984" customWidth="1"/>
    <col min="9971" max="9971" width="24.140625" style="984" customWidth="1"/>
    <col min="9972" max="9972" width="28.42578125" style="984" customWidth="1"/>
    <col min="9973" max="9973" width="19.5703125" style="984" customWidth="1"/>
    <col min="9974" max="9974" width="24.140625" style="984" customWidth="1"/>
    <col min="9975" max="9975" width="19.5703125" style="984"/>
    <col min="9976" max="9976" width="5.5703125" style="984" customWidth="1"/>
    <col min="9977" max="9977" width="24.140625" style="984" customWidth="1"/>
    <col min="9978" max="9978" width="34.140625" style="984" customWidth="1"/>
    <col min="9979" max="9979" width="41.5703125" style="984" customWidth="1"/>
    <col min="9980" max="9980" width="25.140625" style="984" customWidth="1"/>
    <col min="9981" max="9981" width="19.5703125" style="984"/>
    <col min="9982" max="9982" width="7" style="984" customWidth="1"/>
    <col min="9983" max="9983" width="4.85546875" style="984" bestFit="1" customWidth="1"/>
    <col min="9984" max="9984" width="9.140625" style="984" bestFit="1" customWidth="1"/>
    <col min="9985" max="9985" width="12.5703125" style="984" customWidth="1"/>
    <col min="9986" max="9986" width="56.7109375" style="984" bestFit="1" customWidth="1"/>
    <col min="9987" max="10225" width="19.5703125" style="984"/>
    <col min="10226" max="10226" width="7.140625" style="984" customWidth="1"/>
    <col min="10227" max="10227" width="24.140625" style="984" customWidth="1"/>
    <col min="10228" max="10228" width="28.42578125" style="984" customWidth="1"/>
    <col min="10229" max="10229" width="19.5703125" style="984" customWidth="1"/>
    <col min="10230" max="10230" width="24.140625" style="984" customWidth="1"/>
    <col min="10231" max="10231" width="19.5703125" style="984"/>
    <col min="10232" max="10232" width="5.5703125" style="984" customWidth="1"/>
    <col min="10233" max="10233" width="24.140625" style="984" customWidth="1"/>
    <col min="10234" max="10234" width="34.140625" style="984" customWidth="1"/>
    <col min="10235" max="10235" width="41.5703125" style="984" customWidth="1"/>
    <col min="10236" max="10236" width="25.140625" style="984" customWidth="1"/>
    <col min="10237" max="10237" width="19.5703125" style="984"/>
    <col min="10238" max="10238" width="7" style="984" customWidth="1"/>
    <col min="10239" max="10239" width="4.85546875" style="984" bestFit="1" customWidth="1"/>
    <col min="10240" max="10240" width="9.140625" style="984" bestFit="1" customWidth="1"/>
    <col min="10241" max="10241" width="12.5703125" style="984" customWidth="1"/>
    <col min="10242" max="10242" width="56.7109375" style="984" bestFit="1" customWidth="1"/>
    <col min="10243" max="10481" width="19.5703125" style="984"/>
    <col min="10482" max="10482" width="7.140625" style="984" customWidth="1"/>
    <col min="10483" max="10483" width="24.140625" style="984" customWidth="1"/>
    <col min="10484" max="10484" width="28.42578125" style="984" customWidth="1"/>
    <col min="10485" max="10485" width="19.5703125" style="984" customWidth="1"/>
    <col min="10486" max="10486" width="24.140625" style="984" customWidth="1"/>
    <col min="10487" max="10487" width="19.5703125" style="984"/>
    <col min="10488" max="10488" width="5.5703125" style="984" customWidth="1"/>
    <col min="10489" max="10489" width="24.140625" style="984" customWidth="1"/>
    <col min="10490" max="10490" width="34.140625" style="984" customWidth="1"/>
    <col min="10491" max="10491" width="41.5703125" style="984" customWidth="1"/>
    <col min="10492" max="10492" width="25.140625" style="984" customWidth="1"/>
    <col min="10493" max="10493" width="19.5703125" style="984"/>
    <col min="10494" max="10494" width="7" style="984" customWidth="1"/>
    <col min="10495" max="10495" width="4.85546875" style="984" bestFit="1" customWidth="1"/>
    <col min="10496" max="10496" width="9.140625" style="984" bestFit="1" customWidth="1"/>
    <col min="10497" max="10497" width="12.5703125" style="984" customWidth="1"/>
    <col min="10498" max="10498" width="56.7109375" style="984" bestFit="1" customWidth="1"/>
    <col min="10499" max="10737" width="19.5703125" style="984"/>
    <col min="10738" max="10738" width="7.140625" style="984" customWidth="1"/>
    <col min="10739" max="10739" width="24.140625" style="984" customWidth="1"/>
    <col min="10740" max="10740" width="28.42578125" style="984" customWidth="1"/>
    <col min="10741" max="10741" width="19.5703125" style="984" customWidth="1"/>
    <col min="10742" max="10742" width="24.140625" style="984" customWidth="1"/>
    <col min="10743" max="10743" width="19.5703125" style="984"/>
    <col min="10744" max="10744" width="5.5703125" style="984" customWidth="1"/>
    <col min="10745" max="10745" width="24.140625" style="984" customWidth="1"/>
    <col min="10746" max="10746" width="34.140625" style="984" customWidth="1"/>
    <col min="10747" max="10747" width="41.5703125" style="984" customWidth="1"/>
    <col min="10748" max="10748" width="25.140625" style="984" customWidth="1"/>
    <col min="10749" max="10749" width="19.5703125" style="984"/>
    <col min="10750" max="10750" width="7" style="984" customWidth="1"/>
    <col min="10751" max="10751" width="4.85546875" style="984" bestFit="1" customWidth="1"/>
    <col min="10752" max="10752" width="9.140625" style="984" bestFit="1" customWidth="1"/>
    <col min="10753" max="10753" width="12.5703125" style="984" customWidth="1"/>
    <col min="10754" max="10754" width="56.7109375" style="984" bestFit="1" customWidth="1"/>
    <col min="10755" max="10993" width="19.5703125" style="984"/>
    <col min="10994" max="10994" width="7.140625" style="984" customWidth="1"/>
    <col min="10995" max="10995" width="24.140625" style="984" customWidth="1"/>
    <col min="10996" max="10996" width="28.42578125" style="984" customWidth="1"/>
    <col min="10997" max="10997" width="19.5703125" style="984" customWidth="1"/>
    <col min="10998" max="10998" width="24.140625" style="984" customWidth="1"/>
    <col min="10999" max="10999" width="19.5703125" style="984"/>
    <col min="11000" max="11000" width="5.5703125" style="984" customWidth="1"/>
    <col min="11001" max="11001" width="24.140625" style="984" customWidth="1"/>
    <col min="11002" max="11002" width="34.140625" style="984" customWidth="1"/>
    <col min="11003" max="11003" width="41.5703125" style="984" customWidth="1"/>
    <col min="11004" max="11004" width="25.140625" style="984" customWidth="1"/>
    <col min="11005" max="11005" width="19.5703125" style="984"/>
    <col min="11006" max="11006" width="7" style="984" customWidth="1"/>
    <col min="11007" max="11007" width="4.85546875" style="984" bestFit="1" customWidth="1"/>
    <col min="11008" max="11008" width="9.140625" style="984" bestFit="1" customWidth="1"/>
    <col min="11009" max="11009" width="12.5703125" style="984" customWidth="1"/>
    <col min="11010" max="11010" width="56.7109375" style="984" bestFit="1" customWidth="1"/>
    <col min="11011" max="11249" width="19.5703125" style="984"/>
    <col min="11250" max="11250" width="7.140625" style="984" customWidth="1"/>
    <col min="11251" max="11251" width="24.140625" style="984" customWidth="1"/>
    <col min="11252" max="11252" width="28.42578125" style="984" customWidth="1"/>
    <col min="11253" max="11253" width="19.5703125" style="984" customWidth="1"/>
    <col min="11254" max="11254" width="24.140625" style="984" customWidth="1"/>
    <col min="11255" max="11255" width="19.5703125" style="984"/>
    <col min="11256" max="11256" width="5.5703125" style="984" customWidth="1"/>
    <col min="11257" max="11257" width="24.140625" style="984" customWidth="1"/>
    <col min="11258" max="11258" width="34.140625" style="984" customWidth="1"/>
    <col min="11259" max="11259" width="41.5703125" style="984" customWidth="1"/>
    <col min="11260" max="11260" width="25.140625" style="984" customWidth="1"/>
    <col min="11261" max="11261" width="19.5703125" style="984"/>
    <col min="11262" max="11262" width="7" style="984" customWidth="1"/>
    <col min="11263" max="11263" width="4.85546875" style="984" bestFit="1" customWidth="1"/>
    <col min="11264" max="11264" width="9.140625" style="984" bestFit="1" customWidth="1"/>
    <col min="11265" max="11265" width="12.5703125" style="984" customWidth="1"/>
    <col min="11266" max="11266" width="56.7109375" style="984" bestFit="1" customWidth="1"/>
    <col min="11267" max="11505" width="19.5703125" style="984"/>
    <col min="11506" max="11506" width="7.140625" style="984" customWidth="1"/>
    <col min="11507" max="11507" width="24.140625" style="984" customWidth="1"/>
    <col min="11508" max="11508" width="28.42578125" style="984" customWidth="1"/>
    <col min="11509" max="11509" width="19.5703125" style="984" customWidth="1"/>
    <col min="11510" max="11510" width="24.140625" style="984" customWidth="1"/>
    <col min="11511" max="11511" width="19.5703125" style="984"/>
    <col min="11512" max="11512" width="5.5703125" style="984" customWidth="1"/>
    <col min="11513" max="11513" width="24.140625" style="984" customWidth="1"/>
    <col min="11514" max="11514" width="34.140625" style="984" customWidth="1"/>
    <col min="11515" max="11515" width="41.5703125" style="984" customWidth="1"/>
    <col min="11516" max="11516" width="25.140625" style="984" customWidth="1"/>
    <col min="11517" max="11517" width="19.5703125" style="984"/>
    <col min="11518" max="11518" width="7" style="984" customWidth="1"/>
    <col min="11519" max="11519" width="4.85546875" style="984" bestFit="1" customWidth="1"/>
    <col min="11520" max="11520" width="9.140625" style="984" bestFit="1" customWidth="1"/>
    <col min="11521" max="11521" width="12.5703125" style="984" customWidth="1"/>
    <col min="11522" max="11522" width="56.7109375" style="984" bestFit="1" customWidth="1"/>
    <col min="11523" max="11761" width="19.5703125" style="984"/>
    <col min="11762" max="11762" width="7.140625" style="984" customWidth="1"/>
    <col min="11763" max="11763" width="24.140625" style="984" customWidth="1"/>
    <col min="11764" max="11764" width="28.42578125" style="984" customWidth="1"/>
    <col min="11765" max="11765" width="19.5703125" style="984" customWidth="1"/>
    <col min="11766" max="11766" width="24.140625" style="984" customWidth="1"/>
    <col min="11767" max="11767" width="19.5703125" style="984"/>
    <col min="11768" max="11768" width="5.5703125" style="984" customWidth="1"/>
    <col min="11769" max="11769" width="24.140625" style="984" customWidth="1"/>
    <col min="11770" max="11770" width="34.140625" style="984" customWidth="1"/>
    <col min="11771" max="11771" width="41.5703125" style="984" customWidth="1"/>
    <col min="11772" max="11772" width="25.140625" style="984" customWidth="1"/>
    <col min="11773" max="11773" width="19.5703125" style="984"/>
    <col min="11774" max="11774" width="7" style="984" customWidth="1"/>
    <col min="11775" max="11775" width="4.85546875" style="984" bestFit="1" customWidth="1"/>
    <col min="11776" max="11776" width="9.140625" style="984" bestFit="1" customWidth="1"/>
    <col min="11777" max="11777" width="12.5703125" style="984" customWidth="1"/>
    <col min="11778" max="11778" width="56.7109375" style="984" bestFit="1" customWidth="1"/>
    <col min="11779" max="12017" width="19.5703125" style="984"/>
    <col min="12018" max="12018" width="7.140625" style="984" customWidth="1"/>
    <col min="12019" max="12019" width="24.140625" style="984" customWidth="1"/>
    <col min="12020" max="12020" width="28.42578125" style="984" customWidth="1"/>
    <col min="12021" max="12021" width="19.5703125" style="984" customWidth="1"/>
    <col min="12022" max="12022" width="24.140625" style="984" customWidth="1"/>
    <col min="12023" max="12023" width="19.5703125" style="984"/>
    <col min="12024" max="12024" width="5.5703125" style="984" customWidth="1"/>
    <col min="12025" max="12025" width="24.140625" style="984" customWidth="1"/>
    <col min="12026" max="12026" width="34.140625" style="984" customWidth="1"/>
    <col min="12027" max="12027" width="41.5703125" style="984" customWidth="1"/>
    <col min="12028" max="12028" width="25.140625" style="984" customWidth="1"/>
    <col min="12029" max="12029" width="19.5703125" style="984"/>
    <col min="12030" max="12030" width="7" style="984" customWidth="1"/>
    <col min="12031" max="12031" width="4.85546875" style="984" bestFit="1" customWidth="1"/>
    <col min="12032" max="12032" width="9.140625" style="984" bestFit="1" customWidth="1"/>
    <col min="12033" max="12033" width="12.5703125" style="984" customWidth="1"/>
    <col min="12034" max="12034" width="56.7109375" style="984" bestFit="1" customWidth="1"/>
    <col min="12035" max="12273" width="19.5703125" style="984"/>
    <col min="12274" max="12274" width="7.140625" style="984" customWidth="1"/>
    <col min="12275" max="12275" width="24.140625" style="984" customWidth="1"/>
    <col min="12276" max="12276" width="28.42578125" style="984" customWidth="1"/>
    <col min="12277" max="12277" width="19.5703125" style="984" customWidth="1"/>
    <col min="12278" max="12278" width="24.140625" style="984" customWidth="1"/>
    <col min="12279" max="12279" width="19.5703125" style="984"/>
    <col min="12280" max="12280" width="5.5703125" style="984" customWidth="1"/>
    <col min="12281" max="12281" width="24.140625" style="984" customWidth="1"/>
    <col min="12282" max="12282" width="34.140625" style="984" customWidth="1"/>
    <col min="12283" max="12283" width="41.5703125" style="984" customWidth="1"/>
    <col min="12284" max="12284" width="25.140625" style="984" customWidth="1"/>
    <col min="12285" max="12285" width="19.5703125" style="984"/>
    <col min="12286" max="12286" width="7" style="984" customWidth="1"/>
    <col min="12287" max="12287" width="4.85546875" style="984" bestFit="1" customWidth="1"/>
    <col min="12288" max="12288" width="9.140625" style="984" bestFit="1" customWidth="1"/>
    <col min="12289" max="12289" width="12.5703125" style="984" customWidth="1"/>
    <col min="12290" max="12290" width="56.7109375" style="984" bestFit="1" customWidth="1"/>
    <col min="12291" max="12529" width="19.5703125" style="984"/>
    <col min="12530" max="12530" width="7.140625" style="984" customWidth="1"/>
    <col min="12531" max="12531" width="24.140625" style="984" customWidth="1"/>
    <col min="12532" max="12532" width="28.42578125" style="984" customWidth="1"/>
    <col min="12533" max="12533" width="19.5703125" style="984" customWidth="1"/>
    <col min="12534" max="12534" width="24.140625" style="984" customWidth="1"/>
    <col min="12535" max="12535" width="19.5703125" style="984"/>
    <col min="12536" max="12536" width="5.5703125" style="984" customWidth="1"/>
    <col min="12537" max="12537" width="24.140625" style="984" customWidth="1"/>
    <col min="12538" max="12538" width="34.140625" style="984" customWidth="1"/>
    <col min="12539" max="12539" width="41.5703125" style="984" customWidth="1"/>
    <col min="12540" max="12540" width="25.140625" style="984" customWidth="1"/>
    <col min="12541" max="12541" width="19.5703125" style="984"/>
    <col min="12542" max="12542" width="7" style="984" customWidth="1"/>
    <col min="12543" max="12543" width="4.85546875" style="984" bestFit="1" customWidth="1"/>
    <col min="12544" max="12544" width="9.140625" style="984" bestFit="1" customWidth="1"/>
    <col min="12545" max="12545" width="12.5703125" style="984" customWidth="1"/>
    <col min="12546" max="12546" width="56.7109375" style="984" bestFit="1" customWidth="1"/>
    <col min="12547" max="12785" width="19.5703125" style="984"/>
    <col min="12786" max="12786" width="7.140625" style="984" customWidth="1"/>
    <col min="12787" max="12787" width="24.140625" style="984" customWidth="1"/>
    <col min="12788" max="12788" width="28.42578125" style="984" customWidth="1"/>
    <col min="12789" max="12789" width="19.5703125" style="984" customWidth="1"/>
    <col min="12790" max="12790" width="24.140625" style="984" customWidth="1"/>
    <col min="12791" max="12791" width="19.5703125" style="984"/>
    <col min="12792" max="12792" width="5.5703125" style="984" customWidth="1"/>
    <col min="12793" max="12793" width="24.140625" style="984" customWidth="1"/>
    <col min="12794" max="12794" width="34.140625" style="984" customWidth="1"/>
    <col min="12795" max="12795" width="41.5703125" style="984" customWidth="1"/>
    <col min="12796" max="12796" width="25.140625" style="984" customWidth="1"/>
    <col min="12797" max="12797" width="19.5703125" style="984"/>
    <col min="12798" max="12798" width="7" style="984" customWidth="1"/>
    <col min="12799" max="12799" width="4.85546875" style="984" bestFit="1" customWidth="1"/>
    <col min="12800" max="12800" width="9.140625" style="984" bestFit="1" customWidth="1"/>
    <col min="12801" max="12801" width="12.5703125" style="984" customWidth="1"/>
    <col min="12802" max="12802" width="56.7109375" style="984" bestFit="1" customWidth="1"/>
    <col min="12803" max="13041" width="19.5703125" style="984"/>
    <col min="13042" max="13042" width="7.140625" style="984" customWidth="1"/>
    <col min="13043" max="13043" width="24.140625" style="984" customWidth="1"/>
    <col min="13044" max="13044" width="28.42578125" style="984" customWidth="1"/>
    <col min="13045" max="13045" width="19.5703125" style="984" customWidth="1"/>
    <col min="13046" max="13046" width="24.140625" style="984" customWidth="1"/>
    <col min="13047" max="13047" width="19.5703125" style="984"/>
    <col min="13048" max="13048" width="5.5703125" style="984" customWidth="1"/>
    <col min="13049" max="13049" width="24.140625" style="984" customWidth="1"/>
    <col min="13050" max="13050" width="34.140625" style="984" customWidth="1"/>
    <col min="13051" max="13051" width="41.5703125" style="984" customWidth="1"/>
    <col min="13052" max="13052" width="25.140625" style="984" customWidth="1"/>
    <col min="13053" max="13053" width="19.5703125" style="984"/>
    <col min="13054" max="13054" width="7" style="984" customWidth="1"/>
    <col min="13055" max="13055" width="4.85546875" style="984" bestFit="1" customWidth="1"/>
    <col min="13056" max="13056" width="9.140625" style="984" bestFit="1" customWidth="1"/>
    <col min="13057" max="13057" width="12.5703125" style="984" customWidth="1"/>
    <col min="13058" max="13058" width="56.7109375" style="984" bestFit="1" customWidth="1"/>
    <col min="13059" max="13297" width="19.5703125" style="984"/>
    <col min="13298" max="13298" width="7.140625" style="984" customWidth="1"/>
    <col min="13299" max="13299" width="24.140625" style="984" customWidth="1"/>
    <col min="13300" max="13300" width="28.42578125" style="984" customWidth="1"/>
    <col min="13301" max="13301" width="19.5703125" style="984" customWidth="1"/>
    <col min="13302" max="13302" width="24.140625" style="984" customWidth="1"/>
    <col min="13303" max="13303" width="19.5703125" style="984"/>
    <col min="13304" max="13304" width="5.5703125" style="984" customWidth="1"/>
    <col min="13305" max="13305" width="24.140625" style="984" customWidth="1"/>
    <col min="13306" max="13306" width="34.140625" style="984" customWidth="1"/>
    <col min="13307" max="13307" width="41.5703125" style="984" customWidth="1"/>
    <col min="13308" max="13308" width="25.140625" style="984" customWidth="1"/>
    <col min="13309" max="13309" width="19.5703125" style="984"/>
    <col min="13310" max="13310" width="7" style="984" customWidth="1"/>
    <col min="13311" max="13311" width="4.85546875" style="984" bestFit="1" customWidth="1"/>
    <col min="13312" max="13312" width="9.140625" style="984" bestFit="1" customWidth="1"/>
    <col min="13313" max="13313" width="12.5703125" style="984" customWidth="1"/>
    <col min="13314" max="13314" width="56.7109375" style="984" bestFit="1" customWidth="1"/>
    <col min="13315" max="13553" width="19.5703125" style="984"/>
    <col min="13554" max="13554" width="7.140625" style="984" customWidth="1"/>
    <col min="13555" max="13555" width="24.140625" style="984" customWidth="1"/>
    <col min="13556" max="13556" width="28.42578125" style="984" customWidth="1"/>
    <col min="13557" max="13557" width="19.5703125" style="984" customWidth="1"/>
    <col min="13558" max="13558" width="24.140625" style="984" customWidth="1"/>
    <col min="13559" max="13559" width="19.5703125" style="984"/>
    <col min="13560" max="13560" width="5.5703125" style="984" customWidth="1"/>
    <col min="13561" max="13561" width="24.140625" style="984" customWidth="1"/>
    <col min="13562" max="13562" width="34.140625" style="984" customWidth="1"/>
    <col min="13563" max="13563" width="41.5703125" style="984" customWidth="1"/>
    <col min="13564" max="13564" width="25.140625" style="984" customWidth="1"/>
    <col min="13565" max="13565" width="19.5703125" style="984"/>
    <col min="13566" max="13566" width="7" style="984" customWidth="1"/>
    <col min="13567" max="13567" width="4.85546875" style="984" bestFit="1" customWidth="1"/>
    <col min="13568" max="13568" width="9.140625" style="984" bestFit="1" customWidth="1"/>
    <col min="13569" max="13569" width="12.5703125" style="984" customWidth="1"/>
    <col min="13570" max="13570" width="56.7109375" style="984" bestFit="1" customWidth="1"/>
    <col min="13571" max="13809" width="19.5703125" style="984"/>
    <col min="13810" max="13810" width="7.140625" style="984" customWidth="1"/>
    <col min="13811" max="13811" width="24.140625" style="984" customWidth="1"/>
    <col min="13812" max="13812" width="28.42578125" style="984" customWidth="1"/>
    <col min="13813" max="13813" width="19.5703125" style="984" customWidth="1"/>
    <col min="13814" max="13814" width="24.140625" style="984" customWidth="1"/>
    <col min="13815" max="13815" width="19.5703125" style="984"/>
    <col min="13816" max="13816" width="5.5703125" style="984" customWidth="1"/>
    <col min="13817" max="13817" width="24.140625" style="984" customWidth="1"/>
    <col min="13818" max="13818" width="34.140625" style="984" customWidth="1"/>
    <col min="13819" max="13819" width="41.5703125" style="984" customWidth="1"/>
    <col min="13820" max="13820" width="25.140625" style="984" customWidth="1"/>
    <col min="13821" max="13821" width="19.5703125" style="984"/>
    <col min="13822" max="13822" width="7" style="984" customWidth="1"/>
    <col min="13823" max="13823" width="4.85546875" style="984" bestFit="1" customWidth="1"/>
    <col min="13824" max="13824" width="9.140625" style="984" bestFit="1" customWidth="1"/>
    <col min="13825" max="13825" width="12.5703125" style="984" customWidth="1"/>
    <col min="13826" max="13826" width="56.7109375" style="984" bestFit="1" customWidth="1"/>
    <col min="13827" max="14065" width="19.5703125" style="984"/>
    <col min="14066" max="14066" width="7.140625" style="984" customWidth="1"/>
    <col min="14067" max="14067" width="24.140625" style="984" customWidth="1"/>
    <col min="14068" max="14068" width="28.42578125" style="984" customWidth="1"/>
    <col min="14069" max="14069" width="19.5703125" style="984" customWidth="1"/>
    <col min="14070" max="14070" width="24.140625" style="984" customWidth="1"/>
    <col min="14071" max="14071" width="19.5703125" style="984"/>
    <col min="14072" max="14072" width="5.5703125" style="984" customWidth="1"/>
    <col min="14073" max="14073" width="24.140625" style="984" customWidth="1"/>
    <col min="14074" max="14074" width="34.140625" style="984" customWidth="1"/>
    <col min="14075" max="14075" width="41.5703125" style="984" customWidth="1"/>
    <col min="14076" max="14076" width="25.140625" style="984" customWidth="1"/>
    <col min="14077" max="14077" width="19.5703125" style="984"/>
    <col min="14078" max="14078" width="7" style="984" customWidth="1"/>
    <col min="14079" max="14079" width="4.85546875" style="984" bestFit="1" customWidth="1"/>
    <col min="14080" max="14080" width="9.140625" style="984" bestFit="1" customWidth="1"/>
    <col min="14081" max="14081" width="12.5703125" style="984" customWidth="1"/>
    <col min="14082" max="14082" width="56.7109375" style="984" bestFit="1" customWidth="1"/>
    <col min="14083" max="14321" width="19.5703125" style="984"/>
    <col min="14322" max="14322" width="7.140625" style="984" customWidth="1"/>
    <col min="14323" max="14323" width="24.140625" style="984" customWidth="1"/>
    <col min="14324" max="14324" width="28.42578125" style="984" customWidth="1"/>
    <col min="14325" max="14325" width="19.5703125" style="984" customWidth="1"/>
    <col min="14326" max="14326" width="24.140625" style="984" customWidth="1"/>
    <col min="14327" max="14327" width="19.5703125" style="984"/>
    <col min="14328" max="14328" width="5.5703125" style="984" customWidth="1"/>
    <col min="14329" max="14329" width="24.140625" style="984" customWidth="1"/>
    <col min="14330" max="14330" width="34.140625" style="984" customWidth="1"/>
    <col min="14331" max="14331" width="41.5703125" style="984" customWidth="1"/>
    <col min="14332" max="14332" width="25.140625" style="984" customWidth="1"/>
    <col min="14333" max="14333" width="19.5703125" style="984"/>
    <col min="14334" max="14334" width="7" style="984" customWidth="1"/>
    <col min="14335" max="14335" width="4.85546875" style="984" bestFit="1" customWidth="1"/>
    <col min="14336" max="14336" width="9.140625" style="984" bestFit="1" customWidth="1"/>
    <col min="14337" max="14337" width="12.5703125" style="984" customWidth="1"/>
    <col min="14338" max="14338" width="56.7109375" style="984" bestFit="1" customWidth="1"/>
    <col min="14339" max="14577" width="19.5703125" style="984"/>
    <col min="14578" max="14578" width="7.140625" style="984" customWidth="1"/>
    <col min="14579" max="14579" width="24.140625" style="984" customWidth="1"/>
    <col min="14580" max="14580" width="28.42578125" style="984" customWidth="1"/>
    <col min="14581" max="14581" width="19.5703125" style="984" customWidth="1"/>
    <col min="14582" max="14582" width="24.140625" style="984" customWidth="1"/>
    <col min="14583" max="14583" width="19.5703125" style="984"/>
    <col min="14584" max="14584" width="5.5703125" style="984" customWidth="1"/>
    <col min="14585" max="14585" width="24.140625" style="984" customWidth="1"/>
    <col min="14586" max="14586" width="34.140625" style="984" customWidth="1"/>
    <col min="14587" max="14587" width="41.5703125" style="984" customWidth="1"/>
    <col min="14588" max="14588" width="25.140625" style="984" customWidth="1"/>
    <col min="14589" max="14589" width="19.5703125" style="984"/>
    <col min="14590" max="14590" width="7" style="984" customWidth="1"/>
    <col min="14591" max="14591" width="4.85546875" style="984" bestFit="1" customWidth="1"/>
    <col min="14592" max="14592" width="9.140625" style="984" bestFit="1" customWidth="1"/>
    <col min="14593" max="14593" width="12.5703125" style="984" customWidth="1"/>
    <col min="14594" max="14594" width="56.7109375" style="984" bestFit="1" customWidth="1"/>
    <col min="14595" max="14833" width="19.5703125" style="984"/>
    <col min="14834" max="14834" width="7.140625" style="984" customWidth="1"/>
    <col min="14835" max="14835" width="24.140625" style="984" customWidth="1"/>
    <col min="14836" max="14836" width="28.42578125" style="984" customWidth="1"/>
    <col min="14837" max="14837" width="19.5703125" style="984" customWidth="1"/>
    <col min="14838" max="14838" width="24.140625" style="984" customWidth="1"/>
    <col min="14839" max="14839" width="19.5703125" style="984"/>
    <col min="14840" max="14840" width="5.5703125" style="984" customWidth="1"/>
    <col min="14841" max="14841" width="24.140625" style="984" customWidth="1"/>
    <col min="14842" max="14842" width="34.140625" style="984" customWidth="1"/>
    <col min="14843" max="14843" width="41.5703125" style="984" customWidth="1"/>
    <col min="14844" max="14844" width="25.140625" style="984" customWidth="1"/>
    <col min="14845" max="14845" width="19.5703125" style="984"/>
    <col min="14846" max="14846" width="7" style="984" customWidth="1"/>
    <col min="14847" max="14847" width="4.85546875" style="984" bestFit="1" customWidth="1"/>
    <col min="14848" max="14848" width="9.140625" style="984" bestFit="1" customWidth="1"/>
    <col min="14849" max="14849" width="12.5703125" style="984" customWidth="1"/>
    <col min="14850" max="14850" width="56.7109375" style="984" bestFit="1" customWidth="1"/>
    <col min="14851" max="15089" width="19.5703125" style="984"/>
    <col min="15090" max="15090" width="7.140625" style="984" customWidth="1"/>
    <col min="15091" max="15091" width="24.140625" style="984" customWidth="1"/>
    <col min="15092" max="15092" width="28.42578125" style="984" customWidth="1"/>
    <col min="15093" max="15093" width="19.5703125" style="984" customWidth="1"/>
    <col min="15094" max="15094" width="24.140625" style="984" customWidth="1"/>
    <col min="15095" max="15095" width="19.5703125" style="984"/>
    <col min="15096" max="15096" width="5.5703125" style="984" customWidth="1"/>
    <col min="15097" max="15097" width="24.140625" style="984" customWidth="1"/>
    <col min="15098" max="15098" width="34.140625" style="984" customWidth="1"/>
    <col min="15099" max="15099" width="41.5703125" style="984" customWidth="1"/>
    <col min="15100" max="15100" width="25.140625" style="984" customWidth="1"/>
    <col min="15101" max="15101" width="19.5703125" style="984"/>
    <col min="15102" max="15102" width="7" style="984" customWidth="1"/>
    <col min="15103" max="15103" width="4.85546875" style="984" bestFit="1" customWidth="1"/>
    <col min="15104" max="15104" width="9.140625" style="984" bestFit="1" customWidth="1"/>
    <col min="15105" max="15105" width="12.5703125" style="984" customWidth="1"/>
    <col min="15106" max="15106" width="56.7109375" style="984" bestFit="1" customWidth="1"/>
    <col min="15107" max="15345" width="19.5703125" style="984"/>
    <col min="15346" max="15346" width="7.140625" style="984" customWidth="1"/>
    <col min="15347" max="15347" width="24.140625" style="984" customWidth="1"/>
    <col min="15348" max="15348" width="28.42578125" style="984" customWidth="1"/>
    <col min="15349" max="15349" width="19.5703125" style="984" customWidth="1"/>
    <col min="15350" max="15350" width="24.140625" style="984" customWidth="1"/>
    <col min="15351" max="15351" width="19.5703125" style="984"/>
    <col min="15352" max="15352" width="5.5703125" style="984" customWidth="1"/>
    <col min="15353" max="15353" width="24.140625" style="984" customWidth="1"/>
    <col min="15354" max="15354" width="34.140625" style="984" customWidth="1"/>
    <col min="15355" max="15355" width="41.5703125" style="984" customWidth="1"/>
    <col min="15356" max="15356" width="25.140625" style="984" customWidth="1"/>
    <col min="15357" max="15357" width="19.5703125" style="984"/>
    <col min="15358" max="15358" width="7" style="984" customWidth="1"/>
    <col min="15359" max="15359" width="4.85546875" style="984" bestFit="1" customWidth="1"/>
    <col min="15360" max="15360" width="9.140625" style="984" bestFit="1" customWidth="1"/>
    <col min="15361" max="15361" width="12.5703125" style="984" customWidth="1"/>
    <col min="15362" max="15362" width="56.7109375" style="984" bestFit="1" customWidth="1"/>
    <col min="15363" max="15601" width="19.5703125" style="984"/>
    <col min="15602" max="15602" width="7.140625" style="984" customWidth="1"/>
    <col min="15603" max="15603" width="24.140625" style="984" customWidth="1"/>
    <col min="15604" max="15604" width="28.42578125" style="984" customWidth="1"/>
    <col min="15605" max="15605" width="19.5703125" style="984" customWidth="1"/>
    <col min="15606" max="15606" width="24.140625" style="984" customWidth="1"/>
    <col min="15607" max="15607" width="19.5703125" style="984"/>
    <col min="15608" max="15608" width="5.5703125" style="984" customWidth="1"/>
    <col min="15609" max="15609" width="24.140625" style="984" customWidth="1"/>
    <col min="15610" max="15610" width="34.140625" style="984" customWidth="1"/>
    <col min="15611" max="15611" width="41.5703125" style="984" customWidth="1"/>
    <col min="15612" max="15612" width="25.140625" style="984" customWidth="1"/>
    <col min="15613" max="15613" width="19.5703125" style="984"/>
    <col min="15614" max="15614" width="7" style="984" customWidth="1"/>
    <col min="15615" max="15615" width="4.85546875" style="984" bestFit="1" customWidth="1"/>
    <col min="15616" max="15616" width="9.140625" style="984" bestFit="1" customWidth="1"/>
    <col min="15617" max="15617" width="12.5703125" style="984" customWidth="1"/>
    <col min="15618" max="15618" width="56.7109375" style="984" bestFit="1" customWidth="1"/>
    <col min="15619" max="15857" width="19.5703125" style="984"/>
    <col min="15858" max="15858" width="7.140625" style="984" customWidth="1"/>
    <col min="15859" max="15859" width="24.140625" style="984" customWidth="1"/>
    <col min="15860" max="15860" width="28.42578125" style="984" customWidth="1"/>
    <col min="15861" max="15861" width="19.5703125" style="984" customWidth="1"/>
    <col min="15862" max="15862" width="24.140625" style="984" customWidth="1"/>
    <col min="15863" max="15863" width="19.5703125" style="984"/>
    <col min="15864" max="15864" width="5.5703125" style="984" customWidth="1"/>
    <col min="15865" max="15865" width="24.140625" style="984" customWidth="1"/>
    <col min="15866" max="15866" width="34.140625" style="984" customWidth="1"/>
    <col min="15867" max="15867" width="41.5703125" style="984" customWidth="1"/>
    <col min="15868" max="15868" width="25.140625" style="984" customWidth="1"/>
    <col min="15869" max="15869" width="19.5703125" style="984"/>
    <col min="15870" max="15870" width="7" style="984" customWidth="1"/>
    <col min="15871" max="15871" width="4.85546875" style="984" bestFit="1" customWidth="1"/>
    <col min="15872" max="15872" width="9.140625" style="984" bestFit="1" customWidth="1"/>
    <col min="15873" max="15873" width="12.5703125" style="984" customWidth="1"/>
    <col min="15874" max="15874" width="56.7109375" style="984" bestFit="1" customWidth="1"/>
    <col min="15875" max="16113" width="19.5703125" style="984"/>
    <col min="16114" max="16114" width="7.140625" style="984" customWidth="1"/>
    <col min="16115" max="16115" width="24.140625" style="984" customWidth="1"/>
    <col min="16116" max="16116" width="28.42578125" style="984" customWidth="1"/>
    <col min="16117" max="16117" width="19.5703125" style="984" customWidth="1"/>
    <col min="16118" max="16118" width="24.140625" style="984" customWidth="1"/>
    <col min="16119" max="16119" width="19.5703125" style="984"/>
    <col min="16120" max="16120" width="5.5703125" style="984" customWidth="1"/>
    <col min="16121" max="16121" width="24.140625" style="984" customWidth="1"/>
    <col min="16122" max="16122" width="34.140625" style="984" customWidth="1"/>
    <col min="16123" max="16123" width="41.5703125" style="984" customWidth="1"/>
    <col min="16124" max="16124" width="25.140625" style="984" customWidth="1"/>
    <col min="16125" max="16125" width="19.5703125" style="984"/>
    <col min="16126" max="16126" width="7" style="984" customWidth="1"/>
    <col min="16127" max="16127" width="4.85546875" style="984" bestFit="1" customWidth="1"/>
    <col min="16128" max="16128" width="9.140625" style="984" bestFit="1" customWidth="1"/>
    <col min="16129" max="16129" width="12.5703125" style="984" customWidth="1"/>
    <col min="16130" max="16130" width="56.7109375" style="984" bestFit="1" customWidth="1"/>
    <col min="16131" max="16369" width="19.5703125" style="984"/>
    <col min="16370" max="16370" width="7.140625" style="984" customWidth="1"/>
    <col min="16371" max="16371" width="24.140625" style="984" customWidth="1"/>
    <col min="16372" max="16372" width="28.42578125" style="984" customWidth="1"/>
    <col min="16373" max="16373" width="19.5703125" style="984" customWidth="1"/>
    <col min="16374" max="16374" width="24.140625" style="984" customWidth="1"/>
    <col min="16375" max="16384" width="19.5703125" style="984"/>
  </cols>
  <sheetData>
    <row r="1" spans="1:6" ht="15.75">
      <c r="A1" s="1602" t="s">
        <v>225</v>
      </c>
      <c r="B1" s="1602"/>
      <c r="C1" s="1602"/>
      <c r="D1" s="1602"/>
      <c r="E1" s="1602"/>
    </row>
    <row r="2" spans="1:6" ht="15" customHeight="1">
      <c r="A2" s="1071" t="s">
        <v>1072</v>
      </c>
      <c r="B2" s="1071"/>
      <c r="C2" s="1071"/>
      <c r="D2" s="1071"/>
      <c r="E2" s="1071"/>
    </row>
    <row r="3" spans="1:6" ht="15">
      <c r="A3" s="1046"/>
      <c r="B3" s="1046"/>
      <c r="C3" s="1046"/>
      <c r="D3" s="1046"/>
      <c r="E3" s="1046"/>
      <c r="F3" s="986"/>
    </row>
    <row r="4" spans="1:6" ht="12.75" customHeight="1">
      <c r="A4" s="1596" t="s">
        <v>1379</v>
      </c>
      <c r="B4" s="1596"/>
      <c r="C4" s="1596"/>
      <c r="D4" s="1596"/>
      <c r="E4" s="1596"/>
      <c r="F4" s="986"/>
    </row>
    <row r="5" spans="1:6">
      <c r="A5" s="1024"/>
      <c r="B5" s="1024"/>
      <c r="C5" s="1024"/>
      <c r="D5" s="1024"/>
      <c r="E5" s="1024"/>
      <c r="F5" s="986"/>
    </row>
    <row r="6" spans="1:6" ht="13.5" thickBot="1">
      <c r="A6" s="1025" t="s">
        <v>8</v>
      </c>
      <c r="B6" s="1026" t="s">
        <v>24</v>
      </c>
      <c r="C6" s="1027"/>
      <c r="D6" s="1026" t="s">
        <v>1059</v>
      </c>
      <c r="E6" s="1025" t="s">
        <v>79</v>
      </c>
    </row>
    <row r="7" spans="1:6">
      <c r="A7" s="1028">
        <v>1</v>
      </c>
      <c r="B7" s="989" t="s">
        <v>1017</v>
      </c>
      <c r="C7" s="985"/>
      <c r="D7" s="1029" t="s">
        <v>1111</v>
      </c>
      <c r="E7" s="1235">
        <f>INDEX(Inputs_EndYrBal,MATCH(D7,Inputs_FF1_Map,0))</f>
        <v>0</v>
      </c>
    </row>
    <row r="8" spans="1:6">
      <c r="A8" s="1028">
        <f>A7+1</f>
        <v>2</v>
      </c>
      <c r="B8" s="989" t="s">
        <v>1018</v>
      </c>
      <c r="C8" s="985"/>
      <c r="D8" s="1029" t="s">
        <v>204</v>
      </c>
      <c r="E8" s="1235">
        <f>INDEX(Inputs_EndYrBal,MATCH(D8,Inputs_FF1_Map,0))</f>
        <v>6954702</v>
      </c>
    </row>
    <row r="9" spans="1:6">
      <c r="A9" s="1028">
        <f>A8+1</f>
        <v>3</v>
      </c>
      <c r="B9" s="989" t="s">
        <v>1019</v>
      </c>
      <c r="C9" s="985"/>
      <c r="D9" s="1029" t="s">
        <v>423</v>
      </c>
      <c r="E9" s="1235">
        <f>INDEX(Inputs_EndYrBal,MATCH(D9,Inputs_FF1_Map,0))</f>
        <v>0</v>
      </c>
    </row>
    <row r="10" spans="1:6">
      <c r="A10" s="1028">
        <f>A9+1</f>
        <v>4</v>
      </c>
      <c r="B10" s="989" t="s">
        <v>1020</v>
      </c>
      <c r="C10" s="985"/>
      <c r="D10" s="1029" t="s">
        <v>205</v>
      </c>
      <c r="E10" s="1235">
        <f>INDEX(Inputs_EndYrBal,MATCH(D10,Inputs_FF1_Map,0))</f>
        <v>2007912</v>
      </c>
    </row>
    <row r="11" spans="1:6">
      <c r="A11" s="1028">
        <f>A10+1</f>
        <v>5</v>
      </c>
      <c r="B11" s="989" t="s">
        <v>1021</v>
      </c>
      <c r="C11" s="985"/>
      <c r="D11" s="1029" t="s">
        <v>424</v>
      </c>
      <c r="E11" s="1236">
        <f>INDEX(Inputs_EndYrBal,MATCH(D11,Inputs_FF1_Map,0))</f>
        <v>1674277</v>
      </c>
    </row>
    <row r="12" spans="1:6">
      <c r="A12" s="1028">
        <f>A11+1</f>
        <v>6</v>
      </c>
      <c r="B12" s="1033" t="s">
        <v>1022</v>
      </c>
      <c r="C12" s="1034"/>
      <c r="D12" s="1035" t="str">
        <f>"(Sum Lines "&amp;A7&amp;" through "&amp;A11&amp;")"</f>
        <v>(Sum Lines 1 through 5)</v>
      </c>
      <c r="E12" s="1237">
        <f>SUM(E7:E11)</f>
        <v>10636891</v>
      </c>
    </row>
    <row r="13" spans="1:6">
      <c r="A13" s="1028"/>
      <c r="B13" s="990"/>
      <c r="C13" s="985"/>
      <c r="D13" s="1030"/>
      <c r="E13" s="985"/>
    </row>
    <row r="14" spans="1:6">
      <c r="A14" s="1028"/>
      <c r="B14" s="990"/>
      <c r="C14" s="985"/>
      <c r="D14" s="1030"/>
      <c r="E14" s="985"/>
    </row>
    <row r="15" spans="1:6">
      <c r="A15" s="1028">
        <f>A12+1</f>
        <v>7</v>
      </c>
      <c r="B15" s="989" t="s">
        <v>1023</v>
      </c>
      <c r="C15" s="985"/>
      <c r="D15" s="1035" t="str">
        <f>"(Line "&amp;A12&amp;")"</f>
        <v>(Line 6)</v>
      </c>
      <c r="E15" s="1237">
        <f>E12</f>
        <v>10636891</v>
      </c>
      <c r="F15" s="987"/>
    </row>
    <row r="16" spans="1:6">
      <c r="A16" s="1028"/>
      <c r="B16" s="1036"/>
      <c r="C16" s="1034"/>
      <c r="D16" s="1037"/>
      <c r="E16" s="1032"/>
      <c r="F16" s="987"/>
    </row>
    <row r="17" spans="1:6">
      <c r="A17" s="1028"/>
      <c r="B17" s="1031" t="s">
        <v>1061</v>
      </c>
      <c r="C17" s="985"/>
      <c r="D17" s="1031"/>
      <c r="E17" s="990"/>
      <c r="F17" s="987"/>
    </row>
    <row r="18" spans="1:6">
      <c r="A18" s="1028"/>
      <c r="B18" s="990"/>
      <c r="C18" s="985"/>
      <c r="D18" s="1030"/>
      <c r="E18" s="990"/>
      <c r="F18" s="987"/>
    </row>
    <row r="19" spans="1:6">
      <c r="A19" s="1028">
        <f>A15+1</f>
        <v>8</v>
      </c>
      <c r="B19" s="1033" t="s">
        <v>1024</v>
      </c>
      <c r="C19" s="1034"/>
      <c r="D19" s="1035" t="s">
        <v>745</v>
      </c>
      <c r="E19" s="1238">
        <f>'Att 9b - 2017 True-up'!AF43*1000</f>
        <v>13933257.916666668</v>
      </c>
      <c r="F19" s="987"/>
    </row>
    <row r="20" spans="1:6">
      <c r="A20" s="1028"/>
      <c r="B20" s="989"/>
      <c r="C20" s="985"/>
      <c r="D20" s="1030"/>
      <c r="E20" s="989"/>
      <c r="F20" s="987"/>
    </row>
    <row r="21" spans="1:6">
      <c r="A21" s="1028">
        <f>A19+1</f>
        <v>9</v>
      </c>
      <c r="B21" s="989" t="s">
        <v>1025</v>
      </c>
      <c r="C21" s="985"/>
      <c r="D21" s="1035" t="str">
        <f>"(Line "&amp;A15&amp;" / Line "&amp;A19&amp;")"</f>
        <v>(Line 7 / Line 8)</v>
      </c>
      <c r="E21" s="1665">
        <f>ROUND(E15/E19,6)</f>
        <v>0.76341700000000001</v>
      </c>
      <c r="F21" s="987"/>
    </row>
    <row r="22" spans="1:6">
      <c r="A22" s="1028">
        <f>A21+1</f>
        <v>10</v>
      </c>
      <c r="B22" s="989" t="s">
        <v>1026</v>
      </c>
      <c r="C22" s="985"/>
      <c r="D22" s="1035" t="str">
        <f>"((Line "&amp;A15&amp;" / Line "&amp;A19&amp;") / 12)"</f>
        <v>((Line 7 / Line 8) / 12)</v>
      </c>
      <c r="E22" s="1670">
        <f>ROUND(($E$15/$E$19)/12,5)</f>
        <v>6.3619999999999996E-2</v>
      </c>
      <c r="F22" s="987"/>
    </row>
    <row r="23" spans="1:6">
      <c r="A23" s="1028">
        <f>A22+1</f>
        <v>11</v>
      </c>
      <c r="B23" s="989" t="s">
        <v>1027</v>
      </c>
      <c r="C23" s="985"/>
      <c r="D23" s="1035" t="str">
        <f>"((Line "&amp;A15&amp;" / Line "&amp;A19&amp;") / 52)"</f>
        <v>((Line 7 / Line 8) / 52)</v>
      </c>
      <c r="E23" s="1670">
        <f>ROUND(($E$15/$E$19)/52,5)</f>
        <v>1.468E-2</v>
      </c>
      <c r="F23" s="987"/>
    </row>
    <row r="24" spans="1:6">
      <c r="A24" s="1028"/>
      <c r="B24" s="989"/>
      <c r="C24" s="985"/>
      <c r="D24" s="1029"/>
      <c r="E24" s="1666"/>
      <c r="F24" s="987"/>
    </row>
    <row r="25" spans="1:6">
      <c r="A25" s="1028">
        <f>A23+1</f>
        <v>12</v>
      </c>
      <c r="B25" s="989" t="s">
        <v>1028</v>
      </c>
      <c r="C25" s="985"/>
      <c r="D25" s="1035" t="str">
        <f>"(Line "&amp;A23&amp;" / 5)"</f>
        <v>(Line 11 / 5)</v>
      </c>
      <c r="E25" s="1670">
        <f>ROUND($E$23/5,5)</f>
        <v>2.9399999999999999E-3</v>
      </c>
      <c r="F25" s="987"/>
    </row>
    <row r="26" spans="1:6">
      <c r="A26" s="1028">
        <f>A25+1</f>
        <v>13</v>
      </c>
      <c r="B26" s="989" t="s">
        <v>1029</v>
      </c>
      <c r="C26" s="985"/>
      <c r="D26" s="1035" t="str">
        <f>"(Line "&amp;A23&amp;" / 7)"</f>
        <v>(Line 11 / 7)</v>
      </c>
      <c r="E26" s="1670">
        <f>ROUND($E$23/7,5)</f>
        <v>2.0999999999999999E-3</v>
      </c>
      <c r="F26" s="987"/>
    </row>
    <row r="27" spans="1:6">
      <c r="A27" s="1028"/>
      <c r="B27" s="989"/>
      <c r="C27" s="985"/>
      <c r="D27" s="1029"/>
      <c r="E27" s="1666"/>
      <c r="F27" s="987"/>
    </row>
    <row r="28" spans="1:6">
      <c r="A28" s="1028">
        <f>A26+1</f>
        <v>14</v>
      </c>
      <c r="B28" s="989" t="s">
        <v>1030</v>
      </c>
      <c r="C28" s="985"/>
      <c r="D28" s="1035" t="str">
        <f>"((Line "&amp;A25&amp;" / 16) * 1000)"</f>
        <v>((Line 12 / 16) * 1000)</v>
      </c>
      <c r="E28" s="1666">
        <f>ROUND(($E$25/16)*1000,2)</f>
        <v>0.18</v>
      </c>
      <c r="F28" s="987"/>
    </row>
    <row r="29" spans="1:6">
      <c r="A29" s="1028">
        <f>A28+1</f>
        <v>15</v>
      </c>
      <c r="B29" s="989" t="s">
        <v>1031</v>
      </c>
      <c r="C29" s="985"/>
      <c r="D29" s="1035" t="str">
        <f>"((Line "&amp;A26&amp;" / 24) * 1000)"</f>
        <v>((Line 13 / 24) * 1000)</v>
      </c>
      <c r="E29" s="1666">
        <f>ROUND(($E$26/24)*1000,2)</f>
        <v>0.09</v>
      </c>
      <c r="F29" s="987"/>
    </row>
    <row r="30" spans="1:6" ht="13.5" thickBot="1">
      <c r="A30" s="1047"/>
      <c r="B30" s="1048"/>
      <c r="C30" s="1047"/>
      <c r="D30" s="1049"/>
      <c r="E30" s="1048"/>
      <c r="F30" s="987"/>
    </row>
    <row r="31" spans="1:6">
      <c r="A31" s="1050"/>
      <c r="B31" s="1051"/>
      <c r="C31" s="1050"/>
      <c r="D31" s="1052"/>
      <c r="E31" s="1053"/>
      <c r="F31" s="987"/>
    </row>
    <row r="32" spans="1:6">
      <c r="A32" s="985"/>
      <c r="B32" s="985"/>
      <c r="C32" s="985"/>
      <c r="D32" s="988"/>
      <c r="E32" s="990"/>
      <c r="F32" s="987"/>
    </row>
    <row r="33" spans="5:6">
      <c r="E33" s="405"/>
      <c r="F33" s="987"/>
    </row>
    <row r="34" spans="5:6">
      <c r="E34" s="992"/>
      <c r="F34" s="987"/>
    </row>
    <row r="35" spans="5:6">
      <c r="E35" s="992"/>
      <c r="F35" s="987"/>
    </row>
    <row r="36" spans="5:6">
      <c r="E36" s="992"/>
      <c r="F36" s="987"/>
    </row>
    <row r="37" spans="5:6">
      <c r="E37" s="992"/>
      <c r="F37" s="987"/>
    </row>
    <row r="38" spans="5:6">
      <c r="F38" s="987"/>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26"/>
      <c r="B1" s="1555" t="s">
        <v>365</v>
      </c>
      <c r="C1" s="1555"/>
      <c r="D1" s="1555"/>
      <c r="E1" s="1555"/>
      <c r="F1" s="1527"/>
      <c r="G1" s="1527"/>
      <c r="H1" s="1527"/>
      <c r="I1" s="1527"/>
      <c r="J1" s="1527"/>
      <c r="K1" s="1527"/>
      <c r="L1" s="1527"/>
      <c r="M1" s="1527"/>
      <c r="N1" s="1527"/>
      <c r="O1" s="1527"/>
      <c r="P1" s="1527"/>
      <c r="Q1" s="1527"/>
      <c r="R1" s="1527"/>
    </row>
    <row r="2" spans="1:18" s="437" customFormat="1" ht="15.75">
      <c r="A2" s="1526"/>
      <c r="B2" s="1555" t="s">
        <v>465</v>
      </c>
      <c r="C2" s="1555"/>
      <c r="D2" s="1555"/>
      <c r="E2" s="1555"/>
      <c r="F2" s="1527"/>
      <c r="G2" s="1527"/>
      <c r="H2" s="1527"/>
      <c r="I2" s="1527"/>
      <c r="J2" s="1527"/>
      <c r="K2" s="1527"/>
      <c r="L2" s="1527"/>
      <c r="M2" s="1527"/>
      <c r="N2" s="1527"/>
      <c r="O2" s="1527"/>
      <c r="P2" s="1527"/>
      <c r="Q2" s="1527"/>
      <c r="R2" s="1527"/>
    </row>
    <row r="3" spans="1:18" s="437" customFormat="1">
      <c r="A3" s="1526"/>
      <c r="B3" s="1525"/>
      <c r="C3" s="1525"/>
      <c r="D3" s="1525"/>
      <c r="E3" s="1525"/>
      <c r="F3" s="1525"/>
      <c r="G3" s="1525"/>
      <c r="H3" s="1525"/>
      <c r="I3" s="1525"/>
      <c r="J3" s="1525"/>
      <c r="K3" s="1525"/>
      <c r="L3" s="1525"/>
      <c r="M3" s="1525"/>
      <c r="N3" s="1525"/>
      <c r="O3" s="1525"/>
      <c r="P3" s="1525"/>
      <c r="Q3" s="1525"/>
      <c r="R3" s="1525"/>
    </row>
    <row r="4" spans="1:18" s="1522" customFormat="1" ht="15">
      <c r="A4" s="1523"/>
      <c r="B4" s="1523"/>
      <c r="C4" s="1523"/>
      <c r="D4" s="1523"/>
      <c r="E4" s="1523"/>
      <c r="F4" s="1523"/>
    </row>
    <row r="5" spans="1:18" s="1522" customFormat="1" ht="15">
      <c r="A5" s="1523"/>
      <c r="B5" s="1524" t="s">
        <v>2032</v>
      </c>
      <c r="C5" s="1524"/>
      <c r="D5" s="1524"/>
      <c r="E5" s="1523"/>
      <c r="F5" s="1523"/>
    </row>
    <row r="6" spans="1:18" s="1522" customFormat="1" ht="15">
      <c r="A6" s="1523"/>
      <c r="B6" s="1536"/>
      <c r="C6" s="1536"/>
      <c r="D6" s="1536"/>
      <c r="E6" s="1523"/>
      <c r="F6" s="1523"/>
    </row>
    <row r="7" spans="1:18">
      <c r="A7" s="437"/>
      <c r="B7" s="1391"/>
      <c r="C7" s="1391"/>
      <c r="D7" s="1531" t="s">
        <v>1095</v>
      </c>
      <c r="E7" s="1530" t="s">
        <v>1096</v>
      </c>
      <c r="F7" s="437"/>
    </row>
    <row r="8" spans="1:18">
      <c r="A8" s="437"/>
      <c r="B8" s="1535" t="s">
        <v>2226</v>
      </c>
      <c r="C8" s="1535"/>
      <c r="D8" s="1246">
        <v>161943.97</v>
      </c>
      <c r="E8" s="1746">
        <v>161943.97</v>
      </c>
      <c r="F8" s="437"/>
      <c r="G8" s="2061" t="s">
        <v>1875</v>
      </c>
    </row>
    <row r="9" spans="1:18">
      <c r="A9" s="437"/>
      <c r="B9" s="1535" t="s">
        <v>2227</v>
      </c>
      <c r="C9" s="1535"/>
      <c r="D9" s="1746">
        <v>156105.46</v>
      </c>
      <c r="E9" s="1746">
        <v>156105.46</v>
      </c>
      <c r="F9" s="437"/>
      <c r="G9" s="2061" t="s">
        <v>1875</v>
      </c>
    </row>
    <row r="10" spans="1:18">
      <c r="A10" s="437"/>
      <c r="B10" s="1535" t="s">
        <v>2228</v>
      </c>
      <c r="C10" s="1535"/>
      <c r="D10" s="1746">
        <v>396019.55</v>
      </c>
      <c r="E10" s="1746">
        <v>396019.55</v>
      </c>
      <c r="F10" s="437"/>
    </row>
    <row r="11" spans="1:18">
      <c r="A11" s="437"/>
      <c r="B11" s="1535" t="s">
        <v>2229</v>
      </c>
      <c r="C11" s="1535"/>
      <c r="D11" s="1746">
        <v>1013577.16</v>
      </c>
      <c r="E11" s="1746">
        <v>1013577.16</v>
      </c>
      <c r="F11" s="437"/>
    </row>
    <row r="12" spans="1:18">
      <c r="A12" s="437"/>
      <c r="B12" s="1535" t="s">
        <v>2230</v>
      </c>
      <c r="C12" s="1535"/>
      <c r="D12" s="1746">
        <v>964042.97</v>
      </c>
      <c r="E12" s="1746">
        <v>964042.97</v>
      </c>
      <c r="F12" s="437"/>
    </row>
    <row r="13" spans="1:18">
      <c r="A13" s="437"/>
      <c r="B13" s="1535" t="s">
        <v>2231</v>
      </c>
      <c r="C13" s="1535"/>
      <c r="D13" s="1746">
        <v>254753.05</v>
      </c>
      <c r="E13" s="1746">
        <v>254753.05</v>
      </c>
      <c r="F13" s="437"/>
    </row>
    <row r="14" spans="1:18">
      <c r="A14" s="437"/>
      <c r="B14" s="1535" t="s">
        <v>2232</v>
      </c>
      <c r="C14" s="1535"/>
      <c r="D14" s="1746">
        <v>598456.77</v>
      </c>
      <c r="E14" s="1746">
        <v>598456.77</v>
      </c>
      <c r="F14" s="437"/>
    </row>
    <row r="15" spans="1:18">
      <c r="A15" s="437"/>
      <c r="B15" s="1535" t="s">
        <v>2233</v>
      </c>
      <c r="C15" s="1535"/>
      <c r="D15" s="1746">
        <v>112635.55</v>
      </c>
      <c r="E15" s="1746">
        <v>112635.55</v>
      </c>
      <c r="F15" s="437"/>
      <c r="G15" s="2061" t="s">
        <v>1875</v>
      </c>
    </row>
    <row r="16" spans="1:18">
      <c r="A16" s="437"/>
      <c r="B16" s="1534" t="s">
        <v>1064</v>
      </c>
      <c r="C16" s="1534"/>
      <c r="D16" s="1533">
        <f>SUM(D7:D15)</f>
        <v>3657534.48</v>
      </c>
      <c r="E16" s="1533">
        <f>SUM(E7:E15)</f>
        <v>3657534.48</v>
      </c>
      <c r="F16" s="437"/>
    </row>
    <row r="17" spans="1:6">
      <c r="A17" s="437"/>
      <c r="B17" s="1532"/>
      <c r="C17" s="1532"/>
      <c r="D17" s="1532"/>
      <c r="E17" s="1111"/>
      <c r="F17" s="437"/>
    </row>
    <row r="18" spans="1:6">
      <c r="A18" s="437"/>
      <c r="B18" s="1532"/>
      <c r="C18" s="1532"/>
      <c r="D18" s="1532"/>
      <c r="E18" s="1111"/>
      <c r="F18" s="437"/>
    </row>
    <row r="19" spans="1:6">
      <c r="D19" s="1531" t="s">
        <v>1095</v>
      </c>
      <c r="E19" s="1530" t="s">
        <v>1096</v>
      </c>
    </row>
    <row r="20" spans="1:6">
      <c r="A20" s="437"/>
      <c r="B20" s="1529" t="s">
        <v>936</v>
      </c>
      <c r="C20" s="1528" t="s">
        <v>332</v>
      </c>
      <c r="D20" s="1741">
        <v>23502790.160000004</v>
      </c>
      <c r="E20" s="1741">
        <v>26134386.949999999</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workbookViewId="0"/>
  </sheetViews>
  <sheetFormatPr defaultColWidth="9.140625" defaultRowHeight="15"/>
  <cols>
    <col min="1" max="1" width="2.140625" style="2033" customWidth="1"/>
    <col min="2" max="2" width="58" style="2033" bestFit="1" customWidth="1"/>
    <col min="3" max="3" width="2.85546875" style="2033" customWidth="1"/>
    <col min="4" max="4" width="21.7109375" style="2033" customWidth="1"/>
    <col min="5" max="5" width="2.7109375" style="2033" customWidth="1"/>
    <col min="6" max="6" width="21.7109375" style="2033" customWidth="1"/>
    <col min="7" max="7" width="3" style="2033" customWidth="1"/>
    <col min="8" max="8" width="21.7109375" style="2033" customWidth="1"/>
    <col min="9" max="9" width="2.7109375" style="2033" customWidth="1"/>
    <col min="10" max="10" width="31" style="2033" customWidth="1"/>
    <col min="11" max="11" width="13.28515625" style="2033" customWidth="1"/>
    <col min="12" max="12" width="17.140625" style="2033" customWidth="1"/>
    <col min="13" max="13" width="13.28515625" style="2033" customWidth="1"/>
    <col min="14" max="19" width="9.140625" style="2033" customWidth="1"/>
    <col min="20" max="24" width="9.140625" style="2033"/>
    <col min="25" max="26" width="17.28515625" style="2033" bestFit="1" customWidth="1"/>
    <col min="27" max="16384" width="9.140625" style="2033"/>
  </cols>
  <sheetData>
    <row r="1" spans="1:20" s="437" customFormat="1" ht="15.75">
      <c r="A1" s="1555" t="s">
        <v>365</v>
      </c>
      <c r="B1" s="2615"/>
      <c r="C1" s="1554"/>
      <c r="D1" s="1554"/>
      <c r="E1" s="1554"/>
      <c r="F1" s="1554"/>
      <c r="G1" s="1554"/>
      <c r="H1" s="1554"/>
      <c r="I1" s="1554"/>
      <c r="J1" s="1527"/>
      <c r="K1" s="1527"/>
      <c r="L1" s="1527"/>
      <c r="M1" s="1527"/>
      <c r="N1" s="1527"/>
      <c r="O1" s="1527"/>
      <c r="P1" s="1527"/>
      <c r="Q1" s="1527"/>
      <c r="R1" s="1527"/>
      <c r="S1" s="1527"/>
    </row>
    <row r="2" spans="1:20" s="437" customFormat="1" ht="15.75">
      <c r="A2" s="1555" t="s">
        <v>939</v>
      </c>
      <c r="B2" s="1555"/>
      <c r="C2" s="1554"/>
      <c r="D2" s="1554"/>
      <c r="E2" s="1554"/>
      <c r="F2" s="1554"/>
      <c r="G2" s="1554"/>
      <c r="H2" s="1554"/>
      <c r="I2" s="1554"/>
      <c r="J2" s="1527"/>
      <c r="K2" s="1527"/>
      <c r="L2" s="1527"/>
      <c r="M2" s="1527"/>
      <c r="N2" s="1527"/>
      <c r="O2" s="1527"/>
      <c r="P2" s="1527"/>
      <c r="Q2" s="1527"/>
      <c r="R2" s="1527"/>
      <c r="S2" s="1527"/>
    </row>
    <row r="3" spans="1:20" s="436" customFormat="1" ht="10.5" customHeight="1"/>
    <row r="4" spans="1:20" ht="15.75">
      <c r="A4" s="2030" t="s">
        <v>938</v>
      </c>
      <c r="B4" s="2031"/>
      <c r="C4" s="2031"/>
      <c r="D4" s="2031"/>
      <c r="E4" s="2031"/>
      <c r="F4" s="2031"/>
      <c r="G4" s="2031"/>
      <c r="H4" s="2031"/>
      <c r="I4" s="2032"/>
      <c r="J4" s="2032"/>
      <c r="K4" s="2032"/>
      <c r="L4" s="2032"/>
      <c r="M4" s="2032"/>
      <c r="N4" s="2032"/>
      <c r="O4" s="2032"/>
      <c r="P4" s="2032"/>
      <c r="Q4" s="2032"/>
      <c r="R4" s="2032"/>
      <c r="S4" s="2032"/>
      <c r="T4" s="2032"/>
    </row>
    <row r="5" spans="1:20">
      <c r="A5" s="2034"/>
      <c r="B5" s="2032"/>
      <c r="C5" s="2032"/>
      <c r="D5" s="2032"/>
      <c r="E5" s="2032"/>
      <c r="F5" s="2032"/>
      <c r="G5" s="2032"/>
      <c r="H5" s="2032"/>
      <c r="I5" s="2032"/>
      <c r="J5" s="2032"/>
      <c r="K5" s="2032"/>
      <c r="L5" s="2032"/>
      <c r="M5" s="2032"/>
      <c r="N5" s="2032"/>
      <c r="O5" s="2032"/>
      <c r="P5" s="2032"/>
      <c r="Q5" s="2032"/>
      <c r="R5" s="2032"/>
      <c r="S5" s="2032"/>
      <c r="T5" s="2032"/>
    </row>
    <row r="6" spans="1:20" ht="15.75">
      <c r="A6" s="2035"/>
      <c r="B6" s="2032"/>
      <c r="C6" s="2032"/>
      <c r="D6" s="2032"/>
      <c r="E6" s="2032"/>
      <c r="F6" s="2032"/>
      <c r="G6" s="2032"/>
      <c r="H6" s="2036"/>
      <c r="I6" s="2036"/>
      <c r="J6" s="2036"/>
      <c r="K6" s="2036"/>
      <c r="L6" s="2036"/>
      <c r="M6" s="2036"/>
      <c r="N6" s="2032"/>
      <c r="O6" s="2032"/>
      <c r="P6" s="2032"/>
      <c r="Q6" s="2032"/>
      <c r="R6" s="2032"/>
      <c r="S6" s="2032"/>
      <c r="T6" s="2032"/>
    </row>
    <row r="7" spans="1:20" ht="15.75">
      <c r="A7" s="2037" t="s">
        <v>949</v>
      </c>
      <c r="B7" s="2038"/>
      <c r="C7" s="2032"/>
      <c r="D7" s="2032"/>
      <c r="E7" s="2032"/>
      <c r="F7" s="2032"/>
      <c r="G7" s="2032"/>
      <c r="H7" s="2032"/>
      <c r="I7" s="2032"/>
      <c r="J7" s="2032"/>
      <c r="K7" s="2032"/>
      <c r="L7" s="2032"/>
      <c r="M7" s="2032"/>
      <c r="N7" s="2032"/>
      <c r="O7" s="2032"/>
      <c r="P7" s="2032"/>
      <c r="Q7" s="2032"/>
      <c r="R7" s="2032"/>
      <c r="S7" s="2032"/>
      <c r="T7" s="2032"/>
    </row>
    <row r="8" spans="1:20" ht="15.75">
      <c r="A8" s="2032"/>
      <c r="B8" s="2038"/>
      <c r="C8" s="2032"/>
      <c r="D8" s="2032"/>
      <c r="E8" s="2032"/>
      <c r="F8" s="2032"/>
      <c r="G8" s="2032"/>
      <c r="H8" s="2032"/>
      <c r="I8" s="2032"/>
      <c r="J8" s="2032"/>
      <c r="K8" s="2032"/>
      <c r="L8" s="2032"/>
      <c r="M8" s="2032"/>
      <c r="N8" s="2032"/>
      <c r="O8" s="2032"/>
      <c r="P8" s="2032"/>
      <c r="Q8" s="2032"/>
      <c r="R8" s="2032"/>
      <c r="S8" s="2032"/>
      <c r="T8" s="2032"/>
    </row>
    <row r="9" spans="1:20" ht="58.5">
      <c r="A9" s="2032"/>
      <c r="B9" s="2039" t="s">
        <v>24</v>
      </c>
      <c r="C9" s="2032"/>
      <c r="D9" s="2040" t="s">
        <v>93</v>
      </c>
      <c r="E9" s="2041"/>
      <c r="F9" s="2040" t="s">
        <v>643</v>
      </c>
      <c r="G9" s="2032"/>
      <c r="H9" s="2042" t="s">
        <v>941</v>
      </c>
      <c r="I9" s="2032"/>
      <c r="J9" s="2032"/>
      <c r="K9" s="2032"/>
      <c r="L9" s="2032"/>
      <c r="M9" s="2032"/>
      <c r="N9" s="2032"/>
      <c r="O9" s="2032"/>
      <c r="P9" s="2032"/>
      <c r="Q9" s="2032"/>
      <c r="R9" s="2032"/>
      <c r="S9" s="2032"/>
      <c r="T9" s="2032"/>
    </row>
    <row r="10" spans="1:20">
      <c r="A10" s="2032"/>
      <c r="B10" s="2456" t="s">
        <v>2168</v>
      </c>
      <c r="C10" s="2043"/>
      <c r="D10" s="2044" t="s">
        <v>934</v>
      </c>
      <c r="E10" s="2062"/>
      <c r="F10" s="2045">
        <f>'Att 9b - 2017 True-up'!AB23</f>
        <v>0</v>
      </c>
      <c r="G10" s="2055"/>
      <c r="H10" s="2063">
        <v>0</v>
      </c>
      <c r="I10" s="2032"/>
      <c r="J10" s="2571" t="s">
        <v>2126</v>
      </c>
      <c r="K10" s="2032"/>
      <c r="L10" s="2032"/>
      <c r="M10" s="2032"/>
      <c r="N10" s="2032"/>
      <c r="O10" s="2032"/>
      <c r="P10" s="2032"/>
      <c r="Q10" s="2032"/>
      <c r="R10" s="2032"/>
      <c r="S10" s="2032"/>
      <c r="T10" s="2032"/>
    </row>
    <row r="11" spans="1:20">
      <c r="A11" s="2032"/>
      <c r="B11" s="2456" t="s">
        <v>2169</v>
      </c>
      <c r="C11" s="2043"/>
      <c r="D11" s="2044">
        <v>4563932.21</v>
      </c>
      <c r="E11" s="2062"/>
      <c r="F11" s="2045" t="s">
        <v>2196</v>
      </c>
      <c r="G11" s="2055"/>
      <c r="H11" s="2063">
        <v>1</v>
      </c>
      <c r="I11" s="2032"/>
      <c r="J11" s="2046"/>
      <c r="K11" s="2032"/>
      <c r="L11" s="2032"/>
      <c r="M11" s="2032"/>
      <c r="N11" s="2032"/>
      <c r="O11" s="2032"/>
      <c r="P11" s="2032"/>
      <c r="Q11" s="2032"/>
      <c r="R11" s="2032"/>
      <c r="S11" s="2032"/>
      <c r="T11" s="2032"/>
    </row>
    <row r="12" spans="1:20">
      <c r="A12" s="2032"/>
      <c r="B12" s="2456" t="s">
        <v>2170</v>
      </c>
      <c r="C12" s="2043"/>
      <c r="D12" s="2044">
        <v>253584</v>
      </c>
      <c r="E12" s="2064"/>
      <c r="F12" s="2045" t="s">
        <v>2196</v>
      </c>
      <c r="G12" s="2055"/>
      <c r="H12" s="2063">
        <v>1</v>
      </c>
      <c r="I12" s="2032"/>
      <c r="J12" s="2046"/>
      <c r="K12" s="2032"/>
      <c r="L12" s="2032"/>
      <c r="M12" s="2032"/>
      <c r="N12" s="2032"/>
      <c r="O12" s="2032"/>
      <c r="P12" s="2032"/>
      <c r="Q12" s="2032"/>
      <c r="R12" s="2032"/>
      <c r="S12" s="2032"/>
      <c r="T12" s="2032"/>
    </row>
    <row r="13" spans="1:20">
      <c r="A13" s="2032"/>
      <c r="B13" s="2456" t="s">
        <v>2171</v>
      </c>
      <c r="C13" s="2043"/>
      <c r="D13" s="2044">
        <v>0</v>
      </c>
      <c r="E13" s="2064"/>
      <c r="F13" s="2045" t="s">
        <v>2196</v>
      </c>
      <c r="G13" s="2055"/>
      <c r="H13" s="2063">
        <v>1</v>
      </c>
      <c r="I13" s="2032"/>
      <c r="J13" s="2046"/>
      <c r="K13" s="2032"/>
      <c r="L13" s="2032"/>
      <c r="M13" s="2032"/>
      <c r="N13" s="2032"/>
      <c r="O13" s="2032"/>
      <c r="P13" s="2032"/>
      <c r="Q13" s="2032"/>
      <c r="R13" s="2032"/>
      <c r="S13" s="2032"/>
      <c r="T13" s="2032"/>
    </row>
    <row r="14" spans="1:20">
      <c r="A14" s="2032"/>
      <c r="B14" s="2456" t="s">
        <v>2172</v>
      </c>
      <c r="C14" s="2043"/>
      <c r="D14" s="2044">
        <v>168684.03</v>
      </c>
      <c r="E14" s="2064"/>
      <c r="F14" s="2045" t="s">
        <v>2196</v>
      </c>
      <c r="G14" s="2065"/>
      <c r="H14" s="2063">
        <v>1</v>
      </c>
      <c r="I14" s="2032"/>
      <c r="J14" s="2046"/>
      <c r="K14" s="2032"/>
      <c r="L14" s="2032"/>
      <c r="M14" s="2032"/>
      <c r="N14" s="2032"/>
      <c r="O14" s="2032"/>
      <c r="P14" s="2032"/>
      <c r="Q14" s="2032"/>
      <c r="R14" s="2032"/>
      <c r="S14" s="2032"/>
      <c r="T14" s="2032"/>
    </row>
    <row r="15" spans="1:20">
      <c r="A15" s="2032"/>
      <c r="B15" s="2456" t="s">
        <v>2173</v>
      </c>
      <c r="C15" s="2043"/>
      <c r="D15" s="2044" t="s">
        <v>934</v>
      </c>
      <c r="E15" s="2064"/>
      <c r="F15" s="2045">
        <f>'Att 9b - 2017 True-up'!Z23</f>
        <v>90.080833333333331</v>
      </c>
      <c r="G15" s="2065"/>
      <c r="H15" s="2063">
        <v>0</v>
      </c>
      <c r="I15" s="2032"/>
      <c r="J15" s="2571" t="s">
        <v>1573</v>
      </c>
      <c r="K15" s="2032"/>
      <c r="L15" s="2032"/>
      <c r="M15" s="2032"/>
      <c r="N15" s="2032"/>
      <c r="O15" s="2032"/>
      <c r="P15" s="2032"/>
      <c r="Q15" s="2032"/>
      <c r="R15" s="2032"/>
      <c r="S15" s="2032"/>
      <c r="T15" s="2032"/>
    </row>
    <row r="16" spans="1:20">
      <c r="A16" s="2032"/>
      <c r="B16" s="2456" t="s">
        <v>2174</v>
      </c>
      <c r="C16" s="2043"/>
      <c r="D16" s="2044">
        <v>151308</v>
      </c>
      <c r="E16" s="2064"/>
      <c r="F16" s="2045" t="s">
        <v>2196</v>
      </c>
      <c r="G16" s="2055"/>
      <c r="H16" s="2063">
        <v>1</v>
      </c>
      <c r="I16" s="2032"/>
      <c r="J16" s="2046"/>
      <c r="K16" s="2032"/>
      <c r="L16" s="2032"/>
      <c r="M16" s="2032"/>
      <c r="N16" s="2032"/>
      <c r="O16" s="2032"/>
      <c r="P16" s="2032"/>
      <c r="Q16" s="2032"/>
      <c r="R16" s="2032"/>
      <c r="S16" s="2032"/>
      <c r="T16" s="2032"/>
    </row>
    <row r="17" spans="1:20">
      <c r="A17" s="2032"/>
      <c r="B17" s="2456" t="s">
        <v>2175</v>
      </c>
      <c r="C17" s="2043"/>
      <c r="D17" s="2044">
        <v>12408.25</v>
      </c>
      <c r="E17" s="2064"/>
      <c r="F17" s="2045" t="s">
        <v>2196</v>
      </c>
      <c r="G17" s="2055"/>
      <c r="H17" s="2063">
        <v>1</v>
      </c>
      <c r="I17" s="2032"/>
      <c r="J17" s="2046"/>
      <c r="K17" s="2032"/>
      <c r="L17" s="2032"/>
      <c r="M17" s="2032"/>
      <c r="N17" s="2032"/>
      <c r="O17" s="2032"/>
      <c r="P17" s="2032"/>
      <c r="Q17" s="2032"/>
      <c r="R17" s="2032"/>
      <c r="S17" s="2032"/>
      <c r="T17" s="2032"/>
    </row>
    <row r="18" spans="1:20">
      <c r="A18" s="2032"/>
      <c r="B18" s="2456" t="s">
        <v>2176</v>
      </c>
      <c r="C18" s="2043"/>
      <c r="D18" s="2044">
        <v>0</v>
      </c>
      <c r="E18" s="2064"/>
      <c r="F18" s="2045" t="s">
        <v>2196</v>
      </c>
      <c r="G18" s="2055"/>
      <c r="H18" s="2063">
        <v>1</v>
      </c>
      <c r="I18" s="2032"/>
      <c r="J18" s="2046"/>
      <c r="K18" s="2032"/>
      <c r="L18" s="2032"/>
      <c r="M18" s="2032"/>
      <c r="N18" s="2032"/>
      <c r="O18" s="2032"/>
      <c r="P18" s="2032"/>
      <c r="Q18" s="2032"/>
      <c r="R18" s="2032"/>
      <c r="S18" s="2032"/>
      <c r="T18" s="2032"/>
    </row>
    <row r="19" spans="1:20">
      <c r="A19" s="2032"/>
      <c r="B19" s="2456" t="s">
        <v>2177</v>
      </c>
      <c r="C19" s="2043"/>
      <c r="D19" s="2044">
        <v>19261.68</v>
      </c>
      <c r="E19" s="2064"/>
      <c r="F19" s="2045" t="s">
        <v>2196</v>
      </c>
      <c r="G19" s="2055"/>
      <c r="H19" s="2063">
        <v>1</v>
      </c>
      <c r="I19" s="2032"/>
      <c r="J19" s="2046"/>
      <c r="K19" s="2032"/>
      <c r="L19" s="2032"/>
      <c r="M19" s="2032"/>
      <c r="N19" s="2032"/>
      <c r="O19" s="2032"/>
      <c r="P19" s="2032"/>
      <c r="Q19" s="2032"/>
      <c r="R19" s="2032"/>
      <c r="S19" s="2032"/>
      <c r="T19" s="2032"/>
    </row>
    <row r="20" spans="1:20">
      <c r="A20" s="2032"/>
      <c r="B20" s="2456" t="s">
        <v>2178</v>
      </c>
      <c r="C20" s="2043"/>
      <c r="D20" s="2044">
        <v>12500000</v>
      </c>
      <c r="E20" s="2064"/>
      <c r="F20" s="2045" t="s">
        <v>2196</v>
      </c>
      <c r="G20" s="2055"/>
      <c r="H20" s="2063">
        <v>1</v>
      </c>
      <c r="I20" s="2032"/>
      <c r="J20" s="2046"/>
      <c r="K20" s="2032"/>
      <c r="L20" s="2032"/>
      <c r="M20" s="2032"/>
      <c r="N20" s="2032"/>
      <c r="O20" s="2032"/>
      <c r="P20" s="2032"/>
      <c r="Q20" s="2032"/>
      <c r="R20" s="2032"/>
      <c r="S20" s="2032"/>
      <c r="T20" s="2032"/>
    </row>
    <row r="21" spans="1:20">
      <c r="A21" s="2032"/>
      <c r="B21" s="2456" t="s">
        <v>2179</v>
      </c>
      <c r="C21" s="2043"/>
      <c r="D21" s="2044">
        <v>184048</v>
      </c>
      <c r="E21" s="2064"/>
      <c r="F21" s="2045" t="s">
        <v>2196</v>
      </c>
      <c r="G21" s="2055"/>
      <c r="H21" s="2063">
        <v>1</v>
      </c>
      <c r="I21" s="2032"/>
      <c r="J21" s="2046"/>
      <c r="K21" s="2032"/>
      <c r="L21" s="2032"/>
      <c r="M21" s="2032"/>
      <c r="N21" s="2032"/>
      <c r="O21" s="2032"/>
      <c r="P21" s="2032"/>
      <c r="Q21" s="2032"/>
      <c r="R21" s="2032"/>
      <c r="S21" s="2032"/>
      <c r="T21" s="2032"/>
    </row>
    <row r="22" spans="1:20">
      <c r="A22" s="2032"/>
      <c r="B22" s="2456" t="s">
        <v>2180</v>
      </c>
      <c r="C22" s="2043"/>
      <c r="D22" s="2044">
        <v>3314</v>
      </c>
      <c r="E22" s="2064"/>
      <c r="F22" s="2045" t="s">
        <v>2196</v>
      </c>
      <c r="G22" s="2055"/>
      <c r="H22" s="2063">
        <v>1</v>
      </c>
      <c r="I22" s="2032"/>
      <c r="J22" s="2046"/>
      <c r="K22" s="2032"/>
      <c r="L22" s="2032"/>
      <c r="M22" s="2032"/>
      <c r="N22" s="2032"/>
      <c r="O22" s="2032"/>
      <c r="P22" s="2032"/>
      <c r="Q22" s="2032"/>
      <c r="R22" s="2032"/>
      <c r="S22" s="2032"/>
      <c r="T22" s="2032"/>
    </row>
    <row r="23" spans="1:20">
      <c r="A23" s="2032"/>
      <c r="B23" s="2456" t="s">
        <v>2181</v>
      </c>
      <c r="C23" s="2043"/>
      <c r="D23" s="2044">
        <v>29057.99</v>
      </c>
      <c r="E23" s="2064"/>
      <c r="F23" s="2045" t="s">
        <v>2196</v>
      </c>
      <c r="G23" s="2065"/>
      <c r="H23" s="2063">
        <v>1</v>
      </c>
      <c r="I23" s="2032"/>
      <c r="J23" s="2046"/>
      <c r="K23" s="2032"/>
      <c r="L23" s="2032"/>
      <c r="M23" s="2032"/>
      <c r="N23" s="2032"/>
      <c r="O23" s="2032"/>
      <c r="P23" s="2032"/>
      <c r="Q23" s="2032"/>
      <c r="R23" s="2032"/>
      <c r="S23" s="2032"/>
      <c r="T23" s="2032"/>
    </row>
    <row r="24" spans="1:20">
      <c r="A24" s="2032"/>
      <c r="B24" s="2456" t="s">
        <v>2182</v>
      </c>
      <c r="C24" s="2043"/>
      <c r="D24" s="2044">
        <v>184048</v>
      </c>
      <c r="E24" s="2064"/>
      <c r="F24" s="2045" t="s">
        <v>2196</v>
      </c>
      <c r="G24" s="2055"/>
      <c r="H24" s="2063">
        <v>1</v>
      </c>
      <c r="I24" s="2032"/>
      <c r="J24" s="2046"/>
      <c r="K24" s="2032"/>
      <c r="L24" s="2032"/>
      <c r="M24" s="2032"/>
      <c r="N24" s="2032"/>
      <c r="O24" s="2032"/>
      <c r="P24" s="2032"/>
      <c r="Q24" s="2032"/>
      <c r="R24" s="2032"/>
      <c r="S24" s="2032"/>
      <c r="T24" s="2032"/>
    </row>
    <row r="25" spans="1:20">
      <c r="A25" s="2032"/>
      <c r="B25" s="2456" t="s">
        <v>2183</v>
      </c>
      <c r="C25" s="2043"/>
      <c r="D25" s="2044">
        <v>0</v>
      </c>
      <c r="E25" s="2064"/>
      <c r="F25" s="2045" t="s">
        <v>2196</v>
      </c>
      <c r="G25" s="2055"/>
      <c r="H25" s="2063">
        <v>1</v>
      </c>
      <c r="I25" s="2032"/>
      <c r="J25" s="2046"/>
      <c r="K25" s="2032"/>
      <c r="L25" s="2032"/>
      <c r="M25" s="2032"/>
      <c r="N25" s="2032"/>
      <c r="O25" s="2032"/>
      <c r="P25" s="2032"/>
      <c r="Q25" s="2032"/>
      <c r="R25" s="2032"/>
      <c r="S25" s="2032"/>
      <c r="T25" s="2032"/>
    </row>
    <row r="26" spans="1:20">
      <c r="A26" s="2032"/>
      <c r="B26" s="2456" t="s">
        <v>2184</v>
      </c>
      <c r="C26" s="2043"/>
      <c r="D26" s="2044">
        <v>10516</v>
      </c>
      <c r="E26" s="2064"/>
      <c r="F26" s="2045" t="s">
        <v>2196</v>
      </c>
      <c r="G26" s="2055"/>
      <c r="H26" s="2063">
        <v>1</v>
      </c>
      <c r="I26" s="2032"/>
      <c r="J26" s="2046"/>
      <c r="K26" s="2032"/>
      <c r="L26" s="2032"/>
      <c r="M26" s="2032"/>
      <c r="N26" s="2032"/>
      <c r="O26" s="2032"/>
      <c r="P26" s="2032"/>
      <c r="Q26" s="2032"/>
      <c r="R26" s="2032"/>
      <c r="S26" s="2032"/>
      <c r="T26" s="2032"/>
    </row>
    <row r="27" spans="1:20">
      <c r="A27" s="2032"/>
      <c r="B27" s="2456" t="s">
        <v>2185</v>
      </c>
      <c r="C27" s="2043"/>
      <c r="D27" s="2044">
        <v>20886</v>
      </c>
      <c r="E27" s="2064"/>
      <c r="F27" s="2045" t="s">
        <v>2196</v>
      </c>
      <c r="G27" s="2065"/>
      <c r="H27" s="2063">
        <v>1</v>
      </c>
      <c r="I27" s="2032"/>
      <c r="J27" s="2046"/>
      <c r="K27" s="2032"/>
      <c r="L27" s="2032"/>
      <c r="M27" s="2032"/>
      <c r="N27" s="2032"/>
      <c r="O27" s="2032"/>
      <c r="P27" s="2032"/>
      <c r="Q27" s="2032"/>
      <c r="R27" s="2032"/>
      <c r="S27" s="2032"/>
      <c r="T27" s="2032"/>
    </row>
    <row r="28" spans="1:20">
      <c r="A28" s="2032"/>
      <c r="B28" s="2456" t="s">
        <v>2186</v>
      </c>
      <c r="C28" s="2043"/>
      <c r="D28" s="2044" t="s">
        <v>934</v>
      </c>
      <c r="E28" s="2064"/>
      <c r="F28" s="2045">
        <f>'Att 9b - 2017 True-up'!X23</f>
        <v>503.51099999999997</v>
      </c>
      <c r="G28" s="2055"/>
      <c r="H28" s="2063">
        <v>0</v>
      </c>
      <c r="I28" s="2032"/>
      <c r="J28" s="2571" t="s">
        <v>1573</v>
      </c>
      <c r="K28" s="2032"/>
      <c r="L28" s="2032"/>
      <c r="M28" s="2032"/>
      <c r="N28" s="2032"/>
      <c r="O28" s="2032"/>
      <c r="P28" s="2032"/>
      <c r="Q28" s="2032"/>
      <c r="R28" s="2032"/>
      <c r="S28" s="2032"/>
      <c r="T28" s="2032"/>
    </row>
    <row r="29" spans="1:20">
      <c r="A29" s="2032"/>
      <c r="B29" s="2456" t="s">
        <v>2187</v>
      </c>
      <c r="C29" s="2043"/>
      <c r="D29" s="2044" t="s">
        <v>934</v>
      </c>
      <c r="E29" s="2064"/>
      <c r="F29" s="2045">
        <f>'Att 9b - 2017 True-up'!Y23</f>
        <v>101.12583333333332</v>
      </c>
      <c r="G29" s="2055"/>
      <c r="H29" s="2063">
        <v>0</v>
      </c>
      <c r="I29" s="2032"/>
      <c r="J29" s="2571" t="s">
        <v>1573</v>
      </c>
      <c r="K29" s="2032"/>
      <c r="L29" s="2032"/>
      <c r="M29" s="2032"/>
      <c r="N29" s="2032"/>
      <c r="O29" s="2032"/>
      <c r="P29" s="2032"/>
      <c r="Q29" s="2032"/>
      <c r="R29" s="2032"/>
      <c r="S29" s="2032"/>
      <c r="T29" s="2032"/>
    </row>
    <row r="30" spans="1:20">
      <c r="A30" s="2032"/>
      <c r="B30" s="2456" t="s">
        <v>2188</v>
      </c>
      <c r="C30" s="2043"/>
      <c r="D30" s="2044">
        <v>119700</v>
      </c>
      <c r="E30" s="2064"/>
      <c r="F30" s="2045" t="s">
        <v>2196</v>
      </c>
      <c r="G30" s="2055"/>
      <c r="H30" s="2063">
        <v>1</v>
      </c>
      <c r="I30" s="2032"/>
      <c r="J30" s="2571"/>
      <c r="K30" s="2032"/>
      <c r="L30" s="2032"/>
      <c r="M30" s="2032"/>
      <c r="N30" s="2032"/>
      <c r="O30" s="2032"/>
      <c r="P30" s="2032"/>
      <c r="Q30" s="2032"/>
      <c r="R30" s="2032"/>
      <c r="S30" s="2032"/>
      <c r="T30" s="2032"/>
    </row>
    <row r="31" spans="1:20">
      <c r="A31" s="2032"/>
      <c r="B31" s="2456" t="s">
        <v>2189</v>
      </c>
      <c r="C31" s="2043"/>
      <c r="D31" s="2044" t="s">
        <v>934</v>
      </c>
      <c r="E31" s="2064"/>
      <c r="F31" s="2045">
        <f>'Att 9b - 2017 True-up'!AA23</f>
        <v>319.91666666666669</v>
      </c>
      <c r="G31" s="2055"/>
      <c r="H31" s="2063">
        <v>0</v>
      </c>
      <c r="I31" s="2032"/>
      <c r="J31" s="2571" t="s">
        <v>1717</v>
      </c>
      <c r="K31" s="2032"/>
      <c r="L31" s="2032"/>
      <c r="M31" s="2032"/>
      <c r="N31" s="2032"/>
      <c r="O31" s="2032"/>
      <c r="P31" s="2032"/>
      <c r="Q31" s="2032"/>
      <c r="R31" s="2032"/>
      <c r="S31" s="2032"/>
      <c r="T31" s="2032"/>
    </row>
    <row r="32" spans="1:20">
      <c r="A32" s="2032"/>
      <c r="B32" s="2456" t="s">
        <v>2190</v>
      </c>
      <c r="C32" s="2043"/>
      <c r="D32" s="2044">
        <v>600000</v>
      </c>
      <c r="E32" s="2064"/>
      <c r="F32" s="2045" t="s">
        <v>2196</v>
      </c>
      <c r="G32" s="2055"/>
      <c r="H32" s="2063">
        <v>1</v>
      </c>
      <c r="I32" s="2032"/>
      <c r="J32" s="2571"/>
      <c r="K32" s="2032"/>
      <c r="L32" s="2032"/>
      <c r="M32" s="2032"/>
      <c r="N32" s="2032"/>
      <c r="O32" s="2032"/>
      <c r="P32" s="2032"/>
      <c r="Q32" s="2032"/>
      <c r="R32" s="2032"/>
      <c r="S32" s="2032"/>
      <c r="T32" s="2032"/>
    </row>
    <row r="33" spans="1:20">
      <c r="A33" s="2032"/>
      <c r="B33" s="2456" t="s">
        <v>2191</v>
      </c>
      <c r="C33" s="2043"/>
      <c r="D33" s="2044">
        <v>50327</v>
      </c>
      <c r="E33" s="2064"/>
      <c r="F33" s="2045" t="s">
        <v>2196</v>
      </c>
      <c r="G33" s="2055"/>
      <c r="H33" s="2063">
        <v>1</v>
      </c>
      <c r="I33" s="2032"/>
      <c r="J33" s="2571"/>
      <c r="K33" s="2032"/>
      <c r="L33" s="2032"/>
      <c r="M33" s="2032"/>
      <c r="N33" s="2032"/>
      <c r="O33" s="2032"/>
      <c r="P33" s="2032"/>
      <c r="Q33" s="2032"/>
      <c r="R33" s="2032"/>
      <c r="S33" s="2032"/>
      <c r="T33" s="2032"/>
    </row>
    <row r="34" spans="1:20">
      <c r="A34" s="2032"/>
      <c r="B34" s="2456" t="s">
        <v>2192</v>
      </c>
      <c r="C34" s="2043"/>
      <c r="D34" s="2044">
        <v>0</v>
      </c>
      <c r="E34" s="2064"/>
      <c r="F34" s="2045" t="s">
        <v>2196</v>
      </c>
      <c r="G34" s="2055"/>
      <c r="H34" s="2063">
        <v>1</v>
      </c>
      <c r="I34" s="2032"/>
      <c r="J34" s="2571"/>
      <c r="K34" s="2032"/>
      <c r="L34" s="2032"/>
      <c r="M34" s="2032"/>
      <c r="N34" s="2032"/>
      <c r="O34" s="2032"/>
      <c r="P34" s="2032"/>
      <c r="Q34" s="2032"/>
      <c r="R34" s="2032"/>
      <c r="S34" s="2032"/>
      <c r="T34" s="2032"/>
    </row>
    <row r="35" spans="1:20">
      <c r="A35" s="2032"/>
      <c r="B35" s="2456" t="s">
        <v>2193</v>
      </c>
      <c r="C35" s="2043"/>
      <c r="D35" s="2044">
        <v>0</v>
      </c>
      <c r="E35" s="2064"/>
      <c r="F35" s="2045" t="s">
        <v>2196</v>
      </c>
      <c r="G35" s="2055"/>
      <c r="H35" s="2063">
        <v>1</v>
      </c>
      <c r="I35" s="2032"/>
      <c r="J35" s="2571"/>
      <c r="K35" s="2032"/>
      <c r="L35" s="2032"/>
      <c r="M35" s="2032"/>
      <c r="N35" s="2032"/>
      <c r="O35" s="2032"/>
      <c r="P35" s="2032"/>
      <c r="Q35" s="2032"/>
      <c r="R35" s="2032"/>
      <c r="S35" s="2032"/>
      <c r="T35" s="2032"/>
    </row>
    <row r="36" spans="1:20">
      <c r="A36" s="2032"/>
      <c r="B36" s="2456" t="s">
        <v>2194</v>
      </c>
      <c r="C36" s="2043"/>
      <c r="D36" s="2044">
        <v>0</v>
      </c>
      <c r="E36" s="2064"/>
      <c r="F36" s="2045" t="s">
        <v>2196</v>
      </c>
      <c r="G36" s="2055"/>
      <c r="H36" s="2063">
        <v>1</v>
      </c>
      <c r="I36" s="2032"/>
      <c r="J36" s="2046"/>
      <c r="K36" s="2032"/>
      <c r="L36" s="2032"/>
      <c r="M36" s="2032"/>
      <c r="N36" s="2032"/>
      <c r="O36" s="2032"/>
      <c r="P36" s="2032"/>
      <c r="Q36" s="2032"/>
      <c r="R36" s="2032"/>
      <c r="S36" s="2032"/>
      <c r="T36" s="2032"/>
    </row>
    <row r="37" spans="1:20">
      <c r="A37" s="2032"/>
      <c r="B37" s="2456" t="s">
        <v>2195</v>
      </c>
      <c r="C37" s="2043"/>
      <c r="D37" s="2044">
        <v>13958.575000000001</v>
      </c>
      <c r="E37" s="2064"/>
      <c r="F37" s="2045" t="s">
        <v>2196</v>
      </c>
      <c r="G37" s="2055"/>
      <c r="H37" s="2063">
        <v>1</v>
      </c>
      <c r="I37" s="2032"/>
      <c r="J37" s="2571" t="s">
        <v>1576</v>
      </c>
      <c r="K37" s="2032"/>
      <c r="L37" s="2032"/>
      <c r="M37" s="2032"/>
      <c r="N37" s="2032"/>
      <c r="O37" s="2032"/>
      <c r="P37" s="2032"/>
      <c r="Q37" s="2032"/>
      <c r="R37" s="2032"/>
      <c r="S37" s="2032"/>
      <c r="T37" s="2032"/>
    </row>
    <row r="38" spans="1:20">
      <c r="A38" s="2032"/>
      <c r="B38" s="2047" t="s">
        <v>1062</v>
      </c>
      <c r="C38" s="2032"/>
      <c r="D38" s="2048">
        <f>SUM(D10:D37)</f>
        <v>18885033.734999999</v>
      </c>
      <c r="E38" s="2049"/>
      <c r="F38" s="2050">
        <f>SUM(F10:F37)</f>
        <v>1014.6343333333332</v>
      </c>
      <c r="G38" s="2032"/>
      <c r="H38" s="2032"/>
      <c r="I38" s="2032"/>
      <c r="J38" s="2571" t="s">
        <v>1034</v>
      </c>
      <c r="K38" s="2032"/>
      <c r="L38" s="2032"/>
      <c r="M38" s="2032"/>
      <c r="N38" s="2032"/>
      <c r="O38" s="2032"/>
      <c r="P38" s="2032"/>
      <c r="Q38" s="2032"/>
      <c r="R38" s="2032"/>
      <c r="S38" s="2032"/>
      <c r="T38" s="2032"/>
    </row>
    <row r="39" spans="1:20">
      <c r="A39" s="2032"/>
      <c r="B39" s="2043"/>
      <c r="C39" s="2032"/>
      <c r="D39" s="436"/>
      <c r="E39" s="436"/>
      <c r="F39" s="436"/>
      <c r="G39" s="436"/>
      <c r="H39" s="436"/>
      <c r="I39" s="436"/>
      <c r="J39" s="436"/>
      <c r="K39" s="436"/>
      <c r="L39" s="436"/>
      <c r="M39" s="2032"/>
      <c r="N39" s="2032"/>
      <c r="O39" s="2032"/>
      <c r="P39" s="2032"/>
      <c r="Q39" s="2032"/>
      <c r="R39" s="2032"/>
      <c r="S39" s="2032"/>
      <c r="T39" s="2032"/>
    </row>
    <row r="40" spans="1:20">
      <c r="A40" s="2032"/>
      <c r="B40" s="2032"/>
      <c r="C40" s="2032"/>
      <c r="D40" s="2032"/>
      <c r="E40" s="2032"/>
      <c r="F40" s="2032"/>
      <c r="G40" s="2032"/>
      <c r="H40" s="2032"/>
      <c r="I40" s="2032"/>
      <c r="J40" s="2032"/>
      <c r="K40" s="2032"/>
      <c r="L40" s="2032"/>
      <c r="M40" s="2032"/>
      <c r="N40" s="2032"/>
      <c r="O40" s="2032"/>
      <c r="P40" s="2032"/>
      <c r="Q40" s="2032"/>
      <c r="R40" s="2032"/>
      <c r="S40" s="2032"/>
      <c r="T40" s="2032"/>
    </row>
    <row r="41" spans="1:20" ht="15.75">
      <c r="A41" s="2037" t="s">
        <v>945</v>
      </c>
      <c r="B41" s="2038"/>
      <c r="C41" s="2032"/>
      <c r="D41" s="2032"/>
      <c r="E41" s="2032"/>
      <c r="F41" s="2032"/>
      <c r="G41" s="2032"/>
      <c r="H41" s="2032"/>
      <c r="I41" s="2032"/>
      <c r="J41" s="2032"/>
      <c r="K41" s="2032"/>
      <c r="L41" s="2032"/>
      <c r="M41" s="2032"/>
      <c r="N41" s="2032"/>
      <c r="O41" s="2032"/>
      <c r="P41" s="2032"/>
      <c r="Q41" s="2032"/>
      <c r="R41" s="2032"/>
      <c r="S41" s="2032"/>
      <c r="T41" s="2032"/>
    </row>
    <row r="42" spans="1:20">
      <c r="A42" s="2032"/>
      <c r="B42" s="2032"/>
      <c r="C42" s="2032"/>
      <c r="D42" s="2032"/>
      <c r="E42" s="2032"/>
      <c r="F42" s="2032"/>
      <c r="G42" s="2032"/>
      <c r="H42" s="2032"/>
      <c r="I42" s="2032"/>
      <c r="J42" s="2032"/>
      <c r="M42" s="2032"/>
      <c r="N42" s="2032"/>
      <c r="O42" s="2032"/>
      <c r="P42" s="2032"/>
      <c r="Q42" s="2032"/>
      <c r="R42" s="2032"/>
      <c r="S42" s="2032"/>
      <c r="T42" s="2032"/>
    </row>
    <row r="43" spans="1:20">
      <c r="A43" s="2032"/>
      <c r="B43" s="2036" t="s">
        <v>644</v>
      </c>
      <c r="C43" s="2043"/>
      <c r="D43" s="2032"/>
      <c r="E43" s="2032"/>
      <c r="F43" s="2032"/>
      <c r="G43" s="2032"/>
      <c r="H43" s="2032"/>
      <c r="I43" s="2032"/>
      <c r="J43" s="2032"/>
      <c r="M43" s="2032"/>
      <c r="N43" s="2032"/>
      <c r="O43" s="2032"/>
      <c r="P43" s="2032"/>
      <c r="Q43" s="2032"/>
      <c r="R43" s="2032"/>
      <c r="S43" s="2032"/>
      <c r="T43" s="2032"/>
    </row>
    <row r="44" spans="1:20">
      <c r="A44" s="2032"/>
      <c r="B44" s="2051" t="s">
        <v>947</v>
      </c>
      <c r="C44" s="2043"/>
      <c r="D44" s="2052">
        <v>28678367.608532846</v>
      </c>
      <c r="E44" s="2032"/>
      <c r="F44" s="2036"/>
      <c r="G44" s="2036"/>
      <c r="H44" s="2032"/>
      <c r="I44" s="2032"/>
      <c r="J44" s="2032"/>
      <c r="M44" s="2032"/>
      <c r="N44" s="2032"/>
      <c r="O44" s="2032"/>
      <c r="P44" s="2032"/>
      <c r="Q44" s="2032"/>
      <c r="R44" s="2032"/>
      <c r="S44" s="2032"/>
      <c r="T44" s="2032"/>
    </row>
    <row r="45" spans="1:20">
      <c r="A45" s="2032"/>
      <c r="B45" s="2051" t="s">
        <v>942</v>
      </c>
      <c r="C45" s="2043"/>
      <c r="D45" s="2053">
        <v>1882904.8959331496</v>
      </c>
      <c r="E45" s="2032"/>
      <c r="F45" s="2032"/>
      <c r="G45" s="2032"/>
      <c r="H45" s="2032"/>
      <c r="I45" s="2032"/>
      <c r="J45" s="2032"/>
      <c r="M45" s="2032"/>
      <c r="N45" s="2032"/>
      <c r="O45" s="2032"/>
      <c r="P45" s="2032"/>
      <c r="Q45" s="2032"/>
      <c r="R45" s="2032"/>
      <c r="S45" s="2032"/>
      <c r="T45" s="2032"/>
    </row>
    <row r="46" spans="1:20">
      <c r="A46" s="2032"/>
      <c r="B46" s="2054" t="s">
        <v>943</v>
      </c>
      <c r="C46" s="2043"/>
      <c r="D46" s="2055">
        <f>+D44+D45</f>
        <v>30561272.504465997</v>
      </c>
      <c r="E46" s="2032"/>
      <c r="F46" s="2032"/>
      <c r="G46" s="2032"/>
      <c r="H46" s="2032"/>
      <c r="I46" s="2032"/>
      <c r="J46" s="2032"/>
      <c r="M46" s="2032"/>
      <c r="N46" s="2032"/>
      <c r="O46" s="2032"/>
      <c r="P46" s="2032"/>
      <c r="Q46" s="2032"/>
      <c r="R46" s="2032"/>
      <c r="S46" s="2032"/>
      <c r="T46" s="2032"/>
    </row>
    <row r="47" spans="1:20">
      <c r="A47" s="2032"/>
      <c r="B47" s="2032"/>
      <c r="C47" s="2043"/>
      <c r="D47" s="2056"/>
      <c r="E47" s="2032"/>
      <c r="F47" s="2032"/>
      <c r="G47" s="2032"/>
      <c r="H47" s="2032"/>
      <c r="I47" s="2032"/>
      <c r="J47" s="2032"/>
      <c r="M47" s="2032"/>
      <c r="N47" s="2032"/>
      <c r="O47" s="2032"/>
      <c r="P47" s="2032"/>
      <c r="Q47" s="2032"/>
      <c r="R47" s="2032"/>
      <c r="S47" s="2032"/>
      <c r="T47" s="2032"/>
    </row>
    <row r="48" spans="1:20">
      <c r="A48" s="2032"/>
      <c r="B48" s="2036" t="s">
        <v>645</v>
      </c>
      <c r="C48" s="2043"/>
      <c r="D48" s="2032"/>
      <c r="E48" s="2032"/>
      <c r="F48" s="2032"/>
      <c r="G48" s="2032"/>
      <c r="H48" s="2032"/>
      <c r="I48" s="2032"/>
      <c r="J48" s="2032"/>
      <c r="M48" s="2032"/>
      <c r="N48" s="2032"/>
      <c r="O48" s="2032"/>
      <c r="P48" s="2032"/>
      <c r="Q48" s="2032"/>
      <c r="R48" s="2032"/>
      <c r="S48" s="2032"/>
      <c r="T48" s="2032"/>
    </row>
    <row r="49" spans="1:20">
      <c r="A49" s="2032"/>
      <c r="B49" s="2051" t="s">
        <v>947</v>
      </c>
      <c r="C49" s="2043"/>
      <c r="D49" s="2052">
        <v>21210379.612583138</v>
      </c>
      <c r="E49" s="2032"/>
      <c r="F49" s="2036"/>
      <c r="G49" s="2036"/>
      <c r="H49" s="2032"/>
      <c r="I49" s="2032"/>
      <c r="J49" s="2032"/>
      <c r="M49" s="2032"/>
      <c r="N49" s="2032"/>
      <c r="O49" s="2032"/>
      <c r="P49" s="2032"/>
      <c r="Q49" s="2032"/>
      <c r="R49" s="2032"/>
      <c r="S49" s="2032"/>
      <c r="T49" s="2032"/>
    </row>
    <row r="50" spans="1:20">
      <c r="A50" s="2032"/>
      <c r="B50" s="2051" t="s">
        <v>942</v>
      </c>
      <c r="C50" s="2043"/>
      <c r="D50" s="2053">
        <v>14390227.932950877</v>
      </c>
      <c r="E50" s="2032"/>
      <c r="F50" s="2032"/>
      <c r="G50" s="2032"/>
      <c r="H50" s="2032"/>
      <c r="I50" s="2032"/>
      <c r="J50" s="2032"/>
      <c r="M50" s="2032"/>
      <c r="N50" s="2032"/>
      <c r="O50" s="2032"/>
      <c r="P50" s="2032"/>
      <c r="Q50" s="2032"/>
      <c r="R50" s="2032"/>
      <c r="S50" s="2032"/>
      <c r="T50" s="2032"/>
    </row>
    <row r="51" spans="1:20">
      <c r="A51" s="2032"/>
      <c r="B51" s="2054" t="s">
        <v>944</v>
      </c>
      <c r="C51" s="2043"/>
      <c r="D51" s="2055">
        <f>+D50+D49</f>
        <v>35600607.545534015</v>
      </c>
      <c r="E51" s="2032"/>
      <c r="F51" s="2032"/>
      <c r="G51" s="2032"/>
      <c r="H51" s="2032"/>
      <c r="I51" s="2032"/>
      <c r="J51" s="2032"/>
      <c r="M51" s="2032"/>
      <c r="N51" s="2032"/>
      <c r="O51" s="2032"/>
      <c r="P51" s="2032"/>
      <c r="Q51" s="2032"/>
      <c r="R51" s="2032"/>
      <c r="S51" s="2032"/>
      <c r="T51" s="2032"/>
    </row>
    <row r="52" spans="1:20">
      <c r="A52" s="2032"/>
      <c r="B52" s="2032"/>
      <c r="C52" s="2043"/>
      <c r="D52" s="2032"/>
      <c r="E52" s="2032"/>
      <c r="F52" s="2032"/>
      <c r="G52" s="2032"/>
      <c r="H52" s="2032"/>
      <c r="I52" s="2032"/>
      <c r="J52" s="2032"/>
      <c r="M52" s="2032"/>
      <c r="N52" s="2032"/>
      <c r="O52" s="2032"/>
      <c r="P52" s="2032"/>
      <c r="Q52" s="2032"/>
      <c r="R52" s="2032"/>
      <c r="S52" s="2032"/>
      <c r="T52" s="2032"/>
    </row>
    <row r="53" spans="1:20">
      <c r="A53" s="2032"/>
      <c r="B53" s="2032"/>
      <c r="C53" s="2043"/>
      <c r="D53" s="2032"/>
      <c r="E53" s="2032"/>
      <c r="F53" s="2032"/>
      <c r="G53" s="2032"/>
      <c r="H53" s="2032"/>
      <c r="I53" s="2032"/>
      <c r="J53" s="2032"/>
      <c r="M53" s="2032"/>
      <c r="N53" s="2032"/>
      <c r="O53" s="2032"/>
      <c r="P53" s="2032"/>
      <c r="Q53" s="2032"/>
      <c r="R53" s="2032"/>
      <c r="S53" s="2032"/>
      <c r="T53" s="2032"/>
    </row>
    <row r="54" spans="1:20" ht="15.75">
      <c r="A54" s="2037" t="s">
        <v>960</v>
      </c>
      <c r="B54" s="2036"/>
      <c r="C54" s="2043"/>
      <c r="D54" s="2032"/>
      <c r="E54" s="2032"/>
      <c r="F54" s="2032"/>
      <c r="G54" s="2032"/>
      <c r="H54" s="2032"/>
      <c r="I54" s="2032"/>
      <c r="J54" s="2032"/>
      <c r="M54" s="2032"/>
      <c r="N54" s="2032"/>
      <c r="O54" s="2032"/>
      <c r="P54" s="2032"/>
      <c r="Q54" s="2032"/>
      <c r="R54" s="2032"/>
      <c r="S54" s="2032"/>
      <c r="T54" s="2032"/>
    </row>
    <row r="55" spans="1:20">
      <c r="A55" s="2032"/>
      <c r="B55" s="2051" t="s">
        <v>947</v>
      </c>
      <c r="C55" s="2043"/>
      <c r="D55" s="2055">
        <f>SUM(D44,D49)</f>
        <v>49888747.221115984</v>
      </c>
      <c r="E55" s="2032"/>
      <c r="F55" s="2032"/>
      <c r="G55" s="2032"/>
      <c r="H55" s="2032"/>
      <c r="I55" s="2032"/>
      <c r="J55" s="2032"/>
      <c r="M55" s="2032"/>
      <c r="N55" s="2032"/>
      <c r="O55" s="2032"/>
      <c r="P55" s="2032"/>
      <c r="Q55" s="2032"/>
      <c r="R55" s="2032"/>
      <c r="S55" s="2032"/>
      <c r="T55" s="2032"/>
    </row>
    <row r="56" spans="1:20">
      <c r="A56" s="2032"/>
      <c r="B56" s="2051" t="s">
        <v>942</v>
      </c>
      <c r="C56" s="2043"/>
      <c r="D56" s="2055">
        <f>SUM(D45,D50)</f>
        <v>16273132.828884026</v>
      </c>
      <c r="E56" s="2032"/>
      <c r="F56" s="436"/>
      <c r="G56" s="2036"/>
      <c r="H56" s="2032"/>
      <c r="I56" s="2032"/>
      <c r="J56" s="2032"/>
      <c r="M56" s="2032"/>
      <c r="N56" s="2032"/>
      <c r="O56" s="2032"/>
      <c r="P56" s="2032"/>
      <c r="Q56" s="2032"/>
      <c r="R56" s="2032"/>
      <c r="S56" s="2032"/>
      <c r="T56" s="2032"/>
    </row>
    <row r="57" spans="1:20">
      <c r="A57" s="2032"/>
      <c r="B57" s="2057" t="s">
        <v>1063</v>
      </c>
      <c r="C57" s="2043"/>
      <c r="D57" s="2058">
        <f>SUM(D55:D56)</f>
        <v>66161880.050000012</v>
      </c>
      <c r="E57" s="2032"/>
      <c r="F57" s="436"/>
      <c r="G57" s="436"/>
      <c r="H57" s="436"/>
      <c r="I57" s="436"/>
      <c r="J57" s="2046" t="s">
        <v>1034</v>
      </c>
      <c r="M57" s="2032"/>
      <c r="N57" s="2032"/>
      <c r="O57" s="2032"/>
      <c r="P57" s="2032"/>
      <c r="Q57" s="2032"/>
      <c r="R57" s="2032"/>
      <c r="S57" s="2032"/>
      <c r="T57" s="2032"/>
    </row>
    <row r="58" spans="1:20">
      <c r="C58" s="2059"/>
      <c r="G58" s="2060"/>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sheetViews>
  <sheetFormatPr defaultRowHeight="12.75"/>
  <cols>
    <col min="1" max="1" width="12.7109375" style="881" customWidth="1"/>
    <col min="2" max="3" width="17.28515625" style="881" customWidth="1"/>
    <col min="4" max="4" width="56.28515625" style="881" bestFit="1" customWidth="1"/>
    <col min="5" max="5" width="30.42578125" style="881" bestFit="1" customWidth="1"/>
    <col min="6" max="13" width="14.7109375" style="881"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1" bestFit="1" customWidth="1"/>
    <col min="26" max="16384" width="9.140625" style="881"/>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1068</v>
      </c>
      <c r="B2" s="600"/>
      <c r="C2" s="600"/>
      <c r="D2" s="482"/>
      <c r="E2" s="482"/>
      <c r="F2" s="482"/>
      <c r="G2" s="482"/>
      <c r="H2" s="482"/>
      <c r="I2" s="482"/>
      <c r="J2" s="482"/>
      <c r="K2" s="486"/>
      <c r="L2" s="486"/>
      <c r="M2" s="486"/>
      <c r="N2" s="487"/>
      <c r="O2" s="486"/>
      <c r="P2" s="486"/>
      <c r="Q2" s="486"/>
      <c r="R2" s="486"/>
    </row>
    <row r="3" spans="1:22" s="434" customFormat="1" ht="15.75" thickBot="1">
      <c r="A3" s="1073"/>
      <c r="B3" s="488"/>
      <c r="C3" s="488"/>
      <c r="D3" s="488"/>
      <c r="E3" s="488"/>
      <c r="F3" s="488"/>
      <c r="G3" s="488"/>
      <c r="H3" s="489"/>
      <c r="I3" s="489"/>
      <c r="J3" s="486"/>
      <c r="K3" s="486"/>
      <c r="L3" s="486"/>
      <c r="M3" s="486"/>
      <c r="N3" s="487"/>
      <c r="O3" s="486"/>
      <c r="P3" s="486"/>
      <c r="Q3" s="486"/>
      <c r="R3" s="486"/>
    </row>
    <row r="4" spans="1:22" ht="26.25" thickBot="1">
      <c r="D4" s="481"/>
      <c r="F4" s="712" t="s">
        <v>950</v>
      </c>
      <c r="G4" s="713" t="s">
        <v>951</v>
      </c>
      <c r="H4" s="714"/>
      <c r="I4" s="715"/>
      <c r="J4" s="715"/>
      <c r="K4" s="714"/>
      <c r="L4" s="715"/>
      <c r="M4" s="715"/>
      <c r="N4" s="716"/>
      <c r="O4" s="717"/>
      <c r="P4" s="717"/>
      <c r="Q4" s="717"/>
      <c r="R4" s="718"/>
    </row>
    <row r="5" spans="1:22" ht="84" customHeight="1" thickBot="1">
      <c r="A5" s="688" t="s">
        <v>874</v>
      </c>
      <c r="B5" s="693" t="s">
        <v>988</v>
      </c>
      <c r="C5" s="693" t="s">
        <v>996</v>
      </c>
      <c r="D5" s="1697" t="s">
        <v>928</v>
      </c>
      <c r="E5" s="1698" t="s">
        <v>525</v>
      </c>
      <c r="F5" s="1699" t="s">
        <v>358</v>
      </c>
      <c r="G5" s="1700" t="s">
        <v>350</v>
      </c>
      <c r="H5" s="1701" t="s">
        <v>351</v>
      </c>
      <c r="I5" s="1701" t="s">
        <v>352</v>
      </c>
      <c r="J5" s="1701" t="s">
        <v>143</v>
      </c>
      <c r="K5" s="1701" t="s">
        <v>144</v>
      </c>
      <c r="L5" s="1701" t="s">
        <v>145</v>
      </c>
      <c r="M5" s="1701" t="s">
        <v>353</v>
      </c>
      <c r="N5" s="1701" t="s">
        <v>354</v>
      </c>
      <c r="O5" s="1701" t="s">
        <v>355</v>
      </c>
      <c r="P5" s="1701" t="s">
        <v>356</v>
      </c>
      <c r="Q5" s="1701" t="s">
        <v>357</v>
      </c>
      <c r="R5" s="1702" t="s">
        <v>358</v>
      </c>
      <c r="S5" s="881"/>
      <c r="T5" s="881"/>
      <c r="U5" s="881"/>
      <c r="V5" s="881"/>
    </row>
    <row r="6" spans="1:22" ht="14.25" customHeight="1">
      <c r="A6" s="689">
        <v>86</v>
      </c>
      <c r="B6" s="694" t="s">
        <v>857</v>
      </c>
      <c r="C6" s="751">
        <f>AVERAGE(F6:R6)</f>
        <v>7046645769.2307692</v>
      </c>
      <c r="D6" s="1703" t="s">
        <v>723</v>
      </c>
      <c r="E6" s="1704" t="s">
        <v>860</v>
      </c>
      <c r="F6" s="1725">
        <v>7093197000</v>
      </c>
      <c r="G6" s="1705">
        <v>7043197000</v>
      </c>
      <c r="H6" s="1705">
        <v>7043197000</v>
      </c>
      <c r="I6" s="1705">
        <v>7043197000</v>
      </c>
      <c r="J6" s="1705">
        <v>7043197000</v>
      </c>
      <c r="K6" s="1705">
        <v>7043197000</v>
      </c>
      <c r="L6" s="1705">
        <v>7043197000</v>
      </c>
      <c r="M6" s="1705">
        <v>7043197000</v>
      </c>
      <c r="N6" s="1705">
        <v>7043197000</v>
      </c>
      <c r="O6" s="1705">
        <v>7043197000</v>
      </c>
      <c r="P6" s="1705">
        <v>7041475000</v>
      </c>
      <c r="Q6" s="1705">
        <v>7041475000</v>
      </c>
      <c r="R6" s="1706">
        <v>7041475000</v>
      </c>
      <c r="S6" s="881"/>
      <c r="T6" s="881"/>
      <c r="U6" s="881"/>
      <c r="V6" s="881"/>
    </row>
    <row r="7" spans="1:22" ht="14.25" customHeight="1">
      <c r="A7" s="690">
        <v>87</v>
      </c>
      <c r="B7" s="695" t="s">
        <v>857</v>
      </c>
      <c r="C7" s="752">
        <f t="shared" ref="C7:C14" si="0">AVERAGE(F7:R7)</f>
        <v>0</v>
      </c>
      <c r="D7" s="1707" t="s">
        <v>724</v>
      </c>
      <c r="E7" s="1708" t="s">
        <v>861</v>
      </c>
      <c r="F7" s="1726">
        <v>0</v>
      </c>
      <c r="G7" s="1709">
        <v>0</v>
      </c>
      <c r="H7" s="1709">
        <v>0</v>
      </c>
      <c r="I7" s="1709">
        <v>0</v>
      </c>
      <c r="J7" s="1709">
        <v>0</v>
      </c>
      <c r="K7" s="1709">
        <v>0</v>
      </c>
      <c r="L7" s="1709">
        <v>0</v>
      </c>
      <c r="M7" s="1709">
        <v>0</v>
      </c>
      <c r="N7" s="1709">
        <v>0</v>
      </c>
      <c r="O7" s="1709">
        <v>0</v>
      </c>
      <c r="P7" s="1709">
        <v>0</v>
      </c>
      <c r="Q7" s="1709">
        <v>0</v>
      </c>
      <c r="R7" s="1710">
        <v>0</v>
      </c>
      <c r="S7" s="881"/>
      <c r="T7" s="881"/>
      <c r="U7" s="881"/>
      <c r="V7" s="881"/>
    </row>
    <row r="8" spans="1:22" ht="14.25" customHeight="1">
      <c r="A8" s="690">
        <v>88</v>
      </c>
      <c r="B8" s="695" t="s">
        <v>857</v>
      </c>
      <c r="C8" s="752">
        <f t="shared" si="0"/>
        <v>0</v>
      </c>
      <c r="D8" s="1707" t="s">
        <v>725</v>
      </c>
      <c r="E8" s="1708" t="s">
        <v>708</v>
      </c>
      <c r="F8" s="1726">
        <v>0</v>
      </c>
      <c r="G8" s="1709">
        <v>0</v>
      </c>
      <c r="H8" s="1709">
        <v>0</v>
      </c>
      <c r="I8" s="1709">
        <v>0</v>
      </c>
      <c r="J8" s="1709">
        <v>0</v>
      </c>
      <c r="K8" s="1709">
        <v>0</v>
      </c>
      <c r="L8" s="1709">
        <v>0</v>
      </c>
      <c r="M8" s="1709">
        <v>0</v>
      </c>
      <c r="N8" s="1709">
        <v>0</v>
      </c>
      <c r="O8" s="1709">
        <v>0</v>
      </c>
      <c r="P8" s="1709">
        <v>0</v>
      </c>
      <c r="Q8" s="1709">
        <v>0</v>
      </c>
      <c r="R8" s="1711">
        <v>0</v>
      </c>
      <c r="S8" s="881"/>
      <c r="T8" s="881"/>
      <c r="U8" s="881"/>
      <c r="V8" s="881"/>
    </row>
    <row r="9" spans="1:22" ht="14.25" customHeight="1">
      <c r="A9" s="690">
        <v>89</v>
      </c>
      <c r="B9" s="695" t="s">
        <v>857</v>
      </c>
      <c r="C9" s="752">
        <f t="shared" si="0"/>
        <v>0</v>
      </c>
      <c r="D9" s="1707" t="s">
        <v>726</v>
      </c>
      <c r="E9" s="1708" t="s">
        <v>862</v>
      </c>
      <c r="F9" s="1726">
        <v>0</v>
      </c>
      <c r="G9" s="1709">
        <v>0</v>
      </c>
      <c r="H9" s="1709">
        <v>0</v>
      </c>
      <c r="I9" s="1709">
        <v>0</v>
      </c>
      <c r="J9" s="1709">
        <v>0</v>
      </c>
      <c r="K9" s="1709">
        <v>0</v>
      </c>
      <c r="L9" s="1709">
        <v>0</v>
      </c>
      <c r="M9" s="1709">
        <v>0</v>
      </c>
      <c r="N9" s="1709">
        <v>0</v>
      </c>
      <c r="O9" s="1709">
        <v>0</v>
      </c>
      <c r="P9" s="1709">
        <v>0</v>
      </c>
      <c r="Q9" s="1709">
        <v>0</v>
      </c>
      <c r="R9" s="1711">
        <v>0</v>
      </c>
      <c r="S9" s="881"/>
      <c r="T9" s="881"/>
      <c r="U9" s="881"/>
      <c r="V9" s="881"/>
    </row>
    <row r="10" spans="1:22" ht="14.25" customHeight="1">
      <c r="A10" s="690">
        <v>91</v>
      </c>
      <c r="B10" s="695" t="s">
        <v>857</v>
      </c>
      <c r="C10" s="752">
        <f t="shared" si="0"/>
        <v>10973949.676923078</v>
      </c>
      <c r="D10" s="1707" t="s">
        <v>728</v>
      </c>
      <c r="E10" s="1708" t="s">
        <v>970</v>
      </c>
      <c r="F10" s="1726">
        <v>11483368.340000009</v>
      </c>
      <c r="G10" s="1709">
        <v>11398465.23</v>
      </c>
      <c r="H10" s="1709">
        <v>11313562.119999999</v>
      </c>
      <c r="I10" s="1709">
        <v>11228659.01</v>
      </c>
      <c r="J10" s="1709">
        <v>11143755.9</v>
      </c>
      <c r="K10" s="1709">
        <v>11058852.789999999</v>
      </c>
      <c r="L10" s="1709">
        <v>10973949.68</v>
      </c>
      <c r="M10" s="1709">
        <v>10889046.57</v>
      </c>
      <c r="N10" s="1709">
        <v>10804143.460000001</v>
      </c>
      <c r="O10" s="1709">
        <v>10719240.35</v>
      </c>
      <c r="P10" s="1709">
        <v>10634337.23</v>
      </c>
      <c r="Q10" s="1709">
        <v>10549434.119999999</v>
      </c>
      <c r="R10" s="700">
        <v>10464531</v>
      </c>
      <c r="S10" s="881"/>
      <c r="T10" s="881"/>
      <c r="U10" s="881"/>
      <c r="V10" s="881"/>
    </row>
    <row r="11" spans="1:22" ht="14.25" customHeight="1">
      <c r="A11" s="690">
        <v>92</v>
      </c>
      <c r="B11" s="695" t="s">
        <v>857</v>
      </c>
      <c r="C11" s="752">
        <f t="shared" si="0"/>
        <v>28336965.896153845</v>
      </c>
      <c r="D11" s="1712" t="s">
        <v>893</v>
      </c>
      <c r="E11" s="881" t="s">
        <v>971</v>
      </c>
      <c r="F11" s="1726">
        <v>29888533.969999999</v>
      </c>
      <c r="G11" s="1709">
        <v>29629939.239999998</v>
      </c>
      <c r="H11" s="1709">
        <v>29371344.609999999</v>
      </c>
      <c r="I11" s="1709">
        <v>29112749.890000001</v>
      </c>
      <c r="J11" s="1709">
        <v>28854155.27</v>
      </c>
      <c r="K11" s="1709">
        <v>28595560.539999999</v>
      </c>
      <c r="L11" s="1709">
        <v>28336965.920000002</v>
      </c>
      <c r="M11" s="1709">
        <v>28078371.190000001</v>
      </c>
      <c r="N11" s="1709">
        <v>27819776.57</v>
      </c>
      <c r="O11" s="1709">
        <v>27561181.850000001</v>
      </c>
      <c r="P11" s="1709">
        <v>27302587.219999999</v>
      </c>
      <c r="Q11" s="1709">
        <v>27043992.510000002</v>
      </c>
      <c r="R11" s="1713">
        <v>26785397.870000001</v>
      </c>
      <c r="S11" s="881"/>
      <c r="T11" s="881"/>
      <c r="U11" s="881"/>
      <c r="V11" s="881"/>
    </row>
    <row r="12" spans="1:22" s="435" customFormat="1" ht="14.25" customHeight="1">
      <c r="A12" s="690">
        <v>93</v>
      </c>
      <c r="B12" s="695" t="s">
        <v>857</v>
      </c>
      <c r="C12" s="752">
        <f t="shared" si="0"/>
        <v>5459590.7430769242</v>
      </c>
      <c r="D12" s="1714" t="s">
        <v>830</v>
      </c>
      <c r="E12" s="881" t="s">
        <v>972</v>
      </c>
      <c r="F12" s="1726">
        <v>5779388.2800000003</v>
      </c>
      <c r="G12" s="1709">
        <v>5726088.6399999997</v>
      </c>
      <c r="H12" s="1709">
        <v>5672789.1100000003</v>
      </c>
      <c r="I12" s="1709">
        <v>5619489.4699999997</v>
      </c>
      <c r="J12" s="1709">
        <v>5566189.9400000004</v>
      </c>
      <c r="K12" s="1709">
        <v>5512890.2999999998</v>
      </c>
      <c r="L12" s="1709">
        <v>5459590.7699999996</v>
      </c>
      <c r="M12" s="1709">
        <v>5406291.1299999999</v>
      </c>
      <c r="N12" s="1709">
        <v>5352991.5999999996</v>
      </c>
      <c r="O12" s="1709">
        <v>5299691.96</v>
      </c>
      <c r="P12" s="1709">
        <v>5246392.43</v>
      </c>
      <c r="Q12" s="1709">
        <v>5193092.78</v>
      </c>
      <c r="R12" s="1711">
        <v>5139793.25</v>
      </c>
      <c r="S12" s="881"/>
      <c r="T12" s="881"/>
      <c r="U12" s="881"/>
    </row>
    <row r="13" spans="1:22" s="435" customFormat="1" ht="14.25" customHeight="1">
      <c r="A13" s="690">
        <v>94</v>
      </c>
      <c r="B13" s="695" t="s">
        <v>857</v>
      </c>
      <c r="C13" s="752">
        <f t="shared" si="0"/>
        <v>52560.979230769219</v>
      </c>
      <c r="D13" s="1707" t="s">
        <v>727</v>
      </c>
      <c r="E13" s="881" t="s">
        <v>973</v>
      </c>
      <c r="F13" s="1726">
        <v>58073.919999999925</v>
      </c>
      <c r="G13" s="1709">
        <v>57155.1</v>
      </c>
      <c r="H13" s="1709">
        <v>56236.27</v>
      </c>
      <c r="I13" s="1709">
        <v>55317.45</v>
      </c>
      <c r="J13" s="1709">
        <v>54398.62</v>
      </c>
      <c r="K13" s="1709">
        <v>53479.8</v>
      </c>
      <c r="L13" s="1709">
        <v>52560.97</v>
      </c>
      <c r="M13" s="1709">
        <v>51642.15</v>
      </c>
      <c r="N13" s="1709">
        <v>50723.33</v>
      </c>
      <c r="O13" s="1709">
        <v>49804.51</v>
      </c>
      <c r="P13" s="1709">
        <v>48885.69</v>
      </c>
      <c r="Q13" s="1709">
        <v>47966.87</v>
      </c>
      <c r="R13" s="1711">
        <v>47048.05</v>
      </c>
      <c r="S13" s="881"/>
      <c r="T13" s="881"/>
      <c r="U13" s="881"/>
    </row>
    <row r="14" spans="1:22" s="435" customFormat="1" ht="14.25" customHeight="1">
      <c r="A14" s="690">
        <v>95</v>
      </c>
      <c r="B14" s="695" t="s">
        <v>857</v>
      </c>
      <c r="C14" s="752">
        <f t="shared" si="0"/>
        <v>0</v>
      </c>
      <c r="D14" s="1714" t="s">
        <v>729</v>
      </c>
      <c r="E14" s="881" t="s">
        <v>974</v>
      </c>
      <c r="F14" s="1726">
        <v>0</v>
      </c>
      <c r="G14" s="1709">
        <v>0</v>
      </c>
      <c r="H14" s="1709">
        <v>0</v>
      </c>
      <c r="I14" s="1709">
        <v>0</v>
      </c>
      <c r="J14" s="1709">
        <v>0</v>
      </c>
      <c r="K14" s="1709">
        <v>0</v>
      </c>
      <c r="L14" s="1709">
        <v>0</v>
      </c>
      <c r="M14" s="1709">
        <v>0</v>
      </c>
      <c r="N14" s="1709">
        <v>0</v>
      </c>
      <c r="O14" s="1709">
        <v>0</v>
      </c>
      <c r="P14" s="1709">
        <v>0</v>
      </c>
      <c r="Q14" s="1709">
        <v>0</v>
      </c>
      <c r="R14" s="1711">
        <v>0</v>
      </c>
      <c r="S14" s="881"/>
      <c r="T14" s="1715"/>
    </row>
    <row r="15" spans="1:22" ht="25.5">
      <c r="A15" s="690">
        <v>97</v>
      </c>
      <c r="B15" s="695" t="s">
        <v>858</v>
      </c>
      <c r="C15" s="752">
        <f t="shared" ref="C15:C20" si="1">SUM(G15:R15)</f>
        <v>360014410.24000001</v>
      </c>
      <c r="D15" s="1716" t="s">
        <v>999</v>
      </c>
      <c r="E15" s="1717" t="s">
        <v>969</v>
      </c>
      <c r="F15" s="1726">
        <v>30008954.309999999</v>
      </c>
      <c r="G15" s="1709">
        <v>29985584.800000001</v>
      </c>
      <c r="H15" s="1709">
        <v>29957261.109999999</v>
      </c>
      <c r="I15" s="1709">
        <v>29951890.149999999</v>
      </c>
      <c r="J15" s="1709">
        <v>30016569.23</v>
      </c>
      <c r="K15" s="1709">
        <v>30002109.129999999</v>
      </c>
      <c r="L15" s="1709">
        <v>30001366.91</v>
      </c>
      <c r="M15" s="1709">
        <v>30008476.300000001</v>
      </c>
      <c r="N15" s="1709">
        <v>29992792.100000001</v>
      </c>
      <c r="O15" s="1709">
        <v>29983645.390000001</v>
      </c>
      <c r="P15" s="1709">
        <v>30005991.5</v>
      </c>
      <c r="Q15" s="1709">
        <v>30004975.420000002</v>
      </c>
      <c r="R15" s="1711">
        <v>30103748.199999999</v>
      </c>
      <c r="S15" s="881"/>
      <c r="U15" s="881"/>
      <c r="V15" s="881"/>
    </row>
    <row r="16" spans="1:22" ht="14.25" customHeight="1">
      <c r="A16" s="690">
        <v>98</v>
      </c>
      <c r="B16" s="695" t="s">
        <v>858</v>
      </c>
      <c r="C16" s="752">
        <f t="shared" si="1"/>
        <v>0</v>
      </c>
      <c r="D16" s="1707" t="s">
        <v>981</v>
      </c>
      <c r="E16" s="1708" t="s">
        <v>963</v>
      </c>
      <c r="F16" s="1726">
        <v>0</v>
      </c>
      <c r="G16" s="1709">
        <v>0</v>
      </c>
      <c r="H16" s="1709">
        <v>0</v>
      </c>
      <c r="I16" s="1709">
        <v>0</v>
      </c>
      <c r="J16" s="1709">
        <v>0</v>
      </c>
      <c r="K16" s="1709">
        <v>0</v>
      </c>
      <c r="L16" s="1709">
        <v>0</v>
      </c>
      <c r="M16" s="1709">
        <v>0</v>
      </c>
      <c r="N16" s="1709">
        <v>0</v>
      </c>
      <c r="O16" s="1709">
        <v>0</v>
      </c>
      <c r="P16" s="1709">
        <v>0</v>
      </c>
      <c r="Q16" s="1709">
        <v>0</v>
      </c>
      <c r="R16" s="1713">
        <v>0</v>
      </c>
      <c r="S16" s="881"/>
      <c r="T16" s="881"/>
      <c r="U16" s="881"/>
      <c r="V16" s="881"/>
    </row>
    <row r="17" spans="1:22" ht="14.25" customHeight="1">
      <c r="A17" s="690">
        <v>99</v>
      </c>
      <c r="B17" s="695" t="s">
        <v>858</v>
      </c>
      <c r="C17" s="752">
        <f t="shared" si="1"/>
        <v>4121973.4400000004</v>
      </c>
      <c r="D17" s="1712" t="s">
        <v>889</v>
      </c>
      <c r="E17" s="1708" t="s">
        <v>980</v>
      </c>
      <c r="F17" s="1726">
        <v>344762.31</v>
      </c>
      <c r="G17" s="1709">
        <v>343497.84</v>
      </c>
      <c r="H17" s="1709">
        <v>343497.74</v>
      </c>
      <c r="I17" s="1709">
        <v>343497.83</v>
      </c>
      <c r="J17" s="1709">
        <v>343497.73</v>
      </c>
      <c r="K17" s="1709">
        <v>343497.84</v>
      </c>
      <c r="L17" s="1709">
        <v>343497.73</v>
      </c>
      <c r="M17" s="1709">
        <v>343497.84</v>
      </c>
      <c r="N17" s="1709">
        <v>343497.73</v>
      </c>
      <c r="O17" s="1709">
        <v>343497.83</v>
      </c>
      <c r="P17" s="1709">
        <v>343497.75</v>
      </c>
      <c r="Q17" s="1709">
        <v>343497.82</v>
      </c>
      <c r="R17" s="1713">
        <v>343497.76</v>
      </c>
      <c r="S17" s="881"/>
      <c r="T17" s="1718"/>
      <c r="U17" s="881"/>
      <c r="V17" s="881"/>
    </row>
    <row r="18" spans="1:22" ht="14.25" customHeight="1">
      <c r="A18" s="690">
        <v>100</v>
      </c>
      <c r="B18" s="695" t="s">
        <v>858</v>
      </c>
      <c r="C18" s="752">
        <f t="shared" si="1"/>
        <v>639595.03000000014</v>
      </c>
      <c r="D18" s="1712" t="s">
        <v>890</v>
      </c>
      <c r="E18" s="1708" t="s">
        <v>979</v>
      </c>
      <c r="F18" s="1726">
        <v>55834.3</v>
      </c>
      <c r="G18" s="1709">
        <v>53299.64</v>
      </c>
      <c r="H18" s="1709">
        <v>53299.53</v>
      </c>
      <c r="I18" s="1709">
        <v>53299.64</v>
      </c>
      <c r="J18" s="1709">
        <v>53299.53</v>
      </c>
      <c r="K18" s="1709">
        <v>53299.64</v>
      </c>
      <c r="L18" s="1709">
        <v>53299.53</v>
      </c>
      <c r="M18" s="1709">
        <v>53299.64</v>
      </c>
      <c r="N18" s="1709">
        <v>53299.53</v>
      </c>
      <c r="O18" s="1709">
        <v>53299.64</v>
      </c>
      <c r="P18" s="1709">
        <v>53299.53</v>
      </c>
      <c r="Q18" s="1709">
        <v>53299.65</v>
      </c>
      <c r="R18" s="1713">
        <v>53299.53</v>
      </c>
      <c r="S18" s="881"/>
      <c r="T18" s="1718"/>
      <c r="U18" s="881"/>
      <c r="V18" s="881"/>
    </row>
    <row r="19" spans="1:22" ht="14.25" customHeight="1">
      <c r="A19" s="690">
        <v>101</v>
      </c>
      <c r="B19" s="695" t="s">
        <v>858</v>
      </c>
      <c r="C19" s="752">
        <f t="shared" si="1"/>
        <v>11025.9</v>
      </c>
      <c r="D19" s="1712" t="s">
        <v>891</v>
      </c>
      <c r="E19" s="1708" t="s">
        <v>978</v>
      </c>
      <c r="F19" s="1726">
        <v>918.83</v>
      </c>
      <c r="G19" s="1709">
        <v>918.82</v>
      </c>
      <c r="H19" s="1709">
        <v>918.83</v>
      </c>
      <c r="I19" s="1709">
        <v>918.82</v>
      </c>
      <c r="J19" s="1709">
        <v>918.83</v>
      </c>
      <c r="K19" s="1709">
        <v>918.82</v>
      </c>
      <c r="L19" s="1709">
        <v>918.83</v>
      </c>
      <c r="M19" s="1709">
        <v>918.82</v>
      </c>
      <c r="N19" s="1709">
        <v>918.83</v>
      </c>
      <c r="O19" s="1709">
        <v>918.82</v>
      </c>
      <c r="P19" s="1709">
        <v>918.83</v>
      </c>
      <c r="Q19" s="1709">
        <v>918.82</v>
      </c>
      <c r="R19" s="1713">
        <v>918.83</v>
      </c>
      <c r="S19" s="881"/>
      <c r="T19" s="1718"/>
      <c r="U19" s="881"/>
      <c r="V19" s="881"/>
    </row>
    <row r="20" spans="1:22" ht="14.25" customHeight="1">
      <c r="A20" s="690">
        <v>102</v>
      </c>
      <c r="B20" s="695" t="s">
        <v>858</v>
      </c>
      <c r="C20" s="752">
        <f t="shared" si="1"/>
        <v>0</v>
      </c>
      <c r="D20" s="1712" t="s">
        <v>892</v>
      </c>
      <c r="E20" s="1708" t="s">
        <v>977</v>
      </c>
      <c r="F20" s="1726">
        <v>0</v>
      </c>
      <c r="G20" s="1709">
        <v>0</v>
      </c>
      <c r="H20" s="1709">
        <v>0</v>
      </c>
      <c r="I20" s="1709">
        <v>0</v>
      </c>
      <c r="J20" s="1709">
        <v>0</v>
      </c>
      <c r="K20" s="1709">
        <v>0</v>
      </c>
      <c r="L20" s="1709">
        <v>0</v>
      </c>
      <c r="M20" s="1709">
        <v>0</v>
      </c>
      <c r="N20" s="1709">
        <v>0</v>
      </c>
      <c r="O20" s="1709">
        <v>0</v>
      </c>
      <c r="P20" s="1709">
        <v>0</v>
      </c>
      <c r="Q20" s="1709">
        <v>0</v>
      </c>
      <c r="R20" s="1713">
        <v>0</v>
      </c>
      <c r="S20" s="881"/>
      <c r="T20" s="881"/>
      <c r="U20" s="881"/>
      <c r="V20" s="881"/>
    </row>
    <row r="21" spans="1:22" ht="14.25" customHeight="1">
      <c r="A21" s="690">
        <v>104</v>
      </c>
      <c r="B21" s="695" t="s">
        <v>857</v>
      </c>
      <c r="C21" s="752">
        <f t="shared" ref="C21:C26" si="2">AVERAGE(F21:R21)</f>
        <v>2397600</v>
      </c>
      <c r="D21" s="1714" t="s">
        <v>719</v>
      </c>
      <c r="E21" s="1708" t="s">
        <v>711</v>
      </c>
      <c r="F21" s="1726">
        <v>2397600</v>
      </c>
      <c r="G21" s="1709">
        <v>2397600</v>
      </c>
      <c r="H21" s="1709">
        <v>2397600</v>
      </c>
      <c r="I21" s="1709">
        <v>2397600</v>
      </c>
      <c r="J21" s="1709">
        <v>2397600</v>
      </c>
      <c r="K21" s="1709">
        <v>2397600</v>
      </c>
      <c r="L21" s="1709">
        <v>2397600</v>
      </c>
      <c r="M21" s="1709">
        <v>2397600</v>
      </c>
      <c r="N21" s="1709">
        <v>2397600</v>
      </c>
      <c r="O21" s="1709">
        <v>2397600</v>
      </c>
      <c r="P21" s="1709">
        <v>2397600</v>
      </c>
      <c r="Q21" s="1709">
        <v>2397600</v>
      </c>
      <c r="R21" s="1711">
        <v>2397600</v>
      </c>
      <c r="S21" s="881"/>
      <c r="T21" s="881"/>
      <c r="U21" s="881"/>
      <c r="V21" s="881"/>
    </row>
    <row r="22" spans="1:22" ht="14.25" customHeight="1">
      <c r="A22" s="690">
        <v>105</v>
      </c>
      <c r="B22" s="695" t="s">
        <v>857</v>
      </c>
      <c r="C22" s="752">
        <f t="shared" si="2"/>
        <v>0</v>
      </c>
      <c r="D22" s="1707" t="s">
        <v>884</v>
      </c>
      <c r="E22" s="1708" t="s">
        <v>712</v>
      </c>
      <c r="F22" s="1726">
        <v>0</v>
      </c>
      <c r="G22" s="1709">
        <v>0</v>
      </c>
      <c r="H22" s="1709">
        <v>0</v>
      </c>
      <c r="I22" s="1709">
        <v>0</v>
      </c>
      <c r="J22" s="1709">
        <v>0</v>
      </c>
      <c r="K22" s="1709">
        <v>0</v>
      </c>
      <c r="L22" s="1709">
        <v>0</v>
      </c>
      <c r="M22" s="1709">
        <v>0</v>
      </c>
      <c r="N22" s="1709">
        <v>0</v>
      </c>
      <c r="O22" s="1709">
        <v>0</v>
      </c>
      <c r="P22" s="1709">
        <v>0</v>
      </c>
      <c r="Q22" s="1709">
        <v>0</v>
      </c>
      <c r="R22" s="1711">
        <v>0</v>
      </c>
      <c r="S22" s="881"/>
      <c r="T22" s="881"/>
      <c r="U22" s="881"/>
      <c r="V22" s="881"/>
    </row>
    <row r="23" spans="1:22" ht="14.25" customHeight="1">
      <c r="A23" s="690">
        <v>106</v>
      </c>
      <c r="B23" s="695" t="s">
        <v>857</v>
      </c>
      <c r="C23" s="752">
        <f t="shared" si="2"/>
        <v>0</v>
      </c>
      <c r="D23" s="1707" t="s">
        <v>720</v>
      </c>
      <c r="E23" s="1708" t="s">
        <v>713</v>
      </c>
      <c r="F23" s="1726">
        <v>0</v>
      </c>
      <c r="G23" s="1709">
        <v>0</v>
      </c>
      <c r="H23" s="1709">
        <v>0</v>
      </c>
      <c r="I23" s="1709">
        <v>0</v>
      </c>
      <c r="J23" s="1709">
        <v>0</v>
      </c>
      <c r="K23" s="1709">
        <v>0</v>
      </c>
      <c r="L23" s="1709">
        <v>0</v>
      </c>
      <c r="M23" s="1709">
        <v>0</v>
      </c>
      <c r="N23" s="1709">
        <v>0</v>
      </c>
      <c r="O23" s="1709">
        <v>0</v>
      </c>
      <c r="P23" s="1709">
        <v>0</v>
      </c>
      <c r="Q23" s="1709">
        <v>0</v>
      </c>
      <c r="R23" s="1711">
        <v>0</v>
      </c>
      <c r="S23" s="881"/>
      <c r="T23" s="881"/>
      <c r="U23" s="881"/>
      <c r="V23" s="881"/>
    </row>
    <row r="24" spans="1:22" ht="14.25" customHeight="1">
      <c r="A24" s="690">
        <v>107</v>
      </c>
      <c r="B24" s="695" t="s">
        <v>857</v>
      </c>
      <c r="C24" s="752">
        <f t="shared" si="2"/>
        <v>0</v>
      </c>
      <c r="D24" s="1714" t="s">
        <v>885</v>
      </c>
      <c r="E24" s="1708" t="s">
        <v>975</v>
      </c>
      <c r="F24" s="1726">
        <v>0</v>
      </c>
      <c r="G24" s="1709">
        <v>0</v>
      </c>
      <c r="H24" s="1709">
        <v>0</v>
      </c>
      <c r="I24" s="1709">
        <v>0</v>
      </c>
      <c r="J24" s="1709">
        <v>0</v>
      </c>
      <c r="K24" s="1709">
        <v>0</v>
      </c>
      <c r="L24" s="1709">
        <v>0</v>
      </c>
      <c r="M24" s="1709">
        <v>0</v>
      </c>
      <c r="N24" s="1709">
        <v>0</v>
      </c>
      <c r="O24" s="1709">
        <v>0</v>
      </c>
      <c r="P24" s="1709">
        <v>0</v>
      </c>
      <c r="Q24" s="1709">
        <v>0</v>
      </c>
      <c r="R24" s="1711">
        <v>0</v>
      </c>
      <c r="S24" s="881"/>
      <c r="T24" s="881"/>
      <c r="U24" s="881"/>
      <c r="V24" s="881"/>
    </row>
    <row r="25" spans="1:22" ht="14.25" customHeight="1">
      <c r="A25" s="690">
        <v>108</v>
      </c>
      <c r="B25" s="695" t="s">
        <v>857</v>
      </c>
      <c r="C25" s="752">
        <f t="shared" si="2"/>
        <v>0</v>
      </c>
      <c r="D25" s="1707" t="s">
        <v>886</v>
      </c>
      <c r="E25" s="1708" t="s">
        <v>976</v>
      </c>
      <c r="F25" s="1726">
        <v>0</v>
      </c>
      <c r="G25" s="1709">
        <v>0</v>
      </c>
      <c r="H25" s="1709">
        <v>0</v>
      </c>
      <c r="I25" s="1709">
        <v>0</v>
      </c>
      <c r="J25" s="1709">
        <v>0</v>
      </c>
      <c r="K25" s="1709">
        <v>0</v>
      </c>
      <c r="L25" s="1709">
        <v>0</v>
      </c>
      <c r="M25" s="1709">
        <v>0</v>
      </c>
      <c r="N25" s="1709">
        <v>0</v>
      </c>
      <c r="O25" s="1709">
        <v>0</v>
      </c>
      <c r="P25" s="1709">
        <v>0</v>
      </c>
      <c r="Q25" s="1709">
        <v>0</v>
      </c>
      <c r="R25" s="1711">
        <v>0</v>
      </c>
      <c r="S25" s="881"/>
      <c r="T25" s="881"/>
      <c r="U25" s="881"/>
      <c r="V25" s="881"/>
    </row>
    <row r="26" spans="1:22" ht="14.25" customHeight="1">
      <c r="A26" s="690">
        <v>109</v>
      </c>
      <c r="B26" s="695" t="s">
        <v>857</v>
      </c>
      <c r="C26" s="752">
        <f t="shared" si="2"/>
        <v>0</v>
      </c>
      <c r="D26" s="1714" t="s">
        <v>887</v>
      </c>
      <c r="E26" s="1708" t="s">
        <v>714</v>
      </c>
      <c r="F26" s="1726">
        <v>0</v>
      </c>
      <c r="G26" s="1709">
        <v>0</v>
      </c>
      <c r="H26" s="1709">
        <v>0</v>
      </c>
      <c r="I26" s="1709">
        <v>0</v>
      </c>
      <c r="J26" s="1709">
        <v>0</v>
      </c>
      <c r="K26" s="1709">
        <v>0</v>
      </c>
      <c r="L26" s="1709">
        <v>0</v>
      </c>
      <c r="M26" s="1709">
        <v>0</v>
      </c>
      <c r="N26" s="1709">
        <v>0</v>
      </c>
      <c r="O26" s="1709">
        <v>0</v>
      </c>
      <c r="P26" s="1709">
        <v>0</v>
      </c>
      <c r="Q26" s="1709">
        <v>0</v>
      </c>
      <c r="R26" s="1711">
        <v>0</v>
      </c>
      <c r="S26" s="881"/>
      <c r="T26" s="881"/>
      <c r="U26" s="881"/>
      <c r="V26" s="881"/>
    </row>
    <row r="27" spans="1:22" ht="25.5">
      <c r="A27" s="690">
        <v>111</v>
      </c>
      <c r="B27" s="696" t="s">
        <v>859</v>
      </c>
      <c r="C27" s="752">
        <f>ABS(SUM(G27:R27))</f>
        <v>161901.96</v>
      </c>
      <c r="D27" s="1707" t="s">
        <v>716</v>
      </c>
      <c r="E27" s="1717" t="s">
        <v>717</v>
      </c>
      <c r="F27" s="1726">
        <v>40475.49</v>
      </c>
      <c r="G27" s="1719">
        <v>0</v>
      </c>
      <c r="H27" s="1719">
        <v>0</v>
      </c>
      <c r="I27" s="1719">
        <v>40475.49</v>
      </c>
      <c r="J27" s="1719">
        <v>0</v>
      </c>
      <c r="K27" s="1719">
        <v>0</v>
      </c>
      <c r="L27" s="1719">
        <v>40475.49</v>
      </c>
      <c r="M27" s="1719">
        <v>0</v>
      </c>
      <c r="N27" s="1719">
        <v>0</v>
      </c>
      <c r="O27" s="1709">
        <v>40475.49</v>
      </c>
      <c r="P27" s="1709">
        <v>0</v>
      </c>
      <c r="Q27" s="1719">
        <v>0</v>
      </c>
      <c r="R27" s="1711">
        <v>40475.49</v>
      </c>
      <c r="S27" s="881"/>
      <c r="T27" s="881"/>
      <c r="U27" s="881"/>
      <c r="V27" s="881"/>
    </row>
    <row r="28" spans="1:22">
      <c r="A28" s="690">
        <v>112</v>
      </c>
      <c r="B28" s="695" t="s">
        <v>857</v>
      </c>
      <c r="C28" s="752">
        <f>AVERAGE(F28:R28)</f>
        <v>7497597603.7146158</v>
      </c>
      <c r="D28" s="1714" t="s">
        <v>1641</v>
      </c>
      <c r="E28" s="1708" t="s">
        <v>865</v>
      </c>
      <c r="F28" s="1726">
        <v>7389258660.1599998</v>
      </c>
      <c r="G28" s="1719">
        <v>7475104801.2299995</v>
      </c>
      <c r="H28" s="1719">
        <v>7420274351.3599997</v>
      </c>
      <c r="I28" s="1719">
        <v>7467984669.21</v>
      </c>
      <c r="J28" s="1719">
        <v>7498245241.1199999</v>
      </c>
      <c r="K28" s="1719">
        <v>7461454295.0799999</v>
      </c>
      <c r="L28" s="1719">
        <v>7543470677.7399998</v>
      </c>
      <c r="M28" s="1719">
        <v>7658777188.3299999</v>
      </c>
      <c r="N28" s="1709">
        <v>7448554216.7200003</v>
      </c>
      <c r="O28" s="1709">
        <v>7506080603.5900002</v>
      </c>
      <c r="P28" s="1709">
        <v>7551671607.5100002</v>
      </c>
      <c r="Q28" s="1709">
        <v>7493030675.0600004</v>
      </c>
      <c r="R28" s="1711">
        <v>7554861861.1800003</v>
      </c>
      <c r="S28" s="881"/>
      <c r="T28" s="881"/>
      <c r="U28" s="881"/>
      <c r="V28" s="881"/>
    </row>
    <row r="29" spans="1:22">
      <c r="A29" s="690">
        <v>114</v>
      </c>
      <c r="B29" s="695" t="s">
        <v>857</v>
      </c>
      <c r="C29" s="752">
        <f>AVERAGE(F29:R29)</f>
        <v>116833918.79538462</v>
      </c>
      <c r="D29" s="1707" t="s">
        <v>831</v>
      </c>
      <c r="E29" s="1708" t="s">
        <v>863</v>
      </c>
      <c r="F29" s="1726">
        <v>116946442.13999999</v>
      </c>
      <c r="G29" s="1719">
        <v>119747171.10999998</v>
      </c>
      <c r="H29" s="1719">
        <v>120224203.69999999</v>
      </c>
      <c r="I29" s="1719">
        <v>117730908.63999999</v>
      </c>
      <c r="J29" s="1719">
        <v>116592255.56999999</v>
      </c>
      <c r="K29" s="1719">
        <v>116612755.08</v>
      </c>
      <c r="L29" s="1719">
        <v>117547436.64</v>
      </c>
      <c r="M29" s="1719">
        <v>119779219.02</v>
      </c>
      <c r="N29" s="1709">
        <v>120852197.89</v>
      </c>
      <c r="O29" s="1709">
        <v>121936884.86</v>
      </c>
      <c r="P29" s="1709">
        <v>124486837.90000001</v>
      </c>
      <c r="Q29" s="1709">
        <v>102047336.25</v>
      </c>
      <c r="R29" s="1711">
        <v>104337295.54000001</v>
      </c>
      <c r="S29" s="881"/>
      <c r="T29" s="881"/>
      <c r="U29" s="881"/>
      <c r="V29" s="881"/>
    </row>
    <row r="30" spans="1:22" ht="25.5">
      <c r="A30" s="690">
        <v>115</v>
      </c>
      <c r="B30" s="696" t="s">
        <v>866</v>
      </c>
      <c r="C30" s="752">
        <f>AVERAGE(F30:R30)</f>
        <v>-12567850.549230771</v>
      </c>
      <c r="D30" s="1714" t="s">
        <v>722</v>
      </c>
      <c r="E30" s="1717" t="s">
        <v>864</v>
      </c>
      <c r="F30" s="1726">
        <v>-12594197.84</v>
      </c>
      <c r="G30" s="1709">
        <v>-12548523.67</v>
      </c>
      <c r="H30" s="1709">
        <v>-12502849.5</v>
      </c>
      <c r="I30" s="1709">
        <v>-12457175.35</v>
      </c>
      <c r="J30" s="1709">
        <v>-12411501.18</v>
      </c>
      <c r="K30" s="1709">
        <v>-12365827.01</v>
      </c>
      <c r="L30" s="1709">
        <v>-12320152.83</v>
      </c>
      <c r="M30" s="1709">
        <v>-12274478.65</v>
      </c>
      <c r="N30" s="1709">
        <v>-12228804.48</v>
      </c>
      <c r="O30" s="1709">
        <v>-12183130.32</v>
      </c>
      <c r="P30" s="1709">
        <v>-12137456.140000001</v>
      </c>
      <c r="Q30" s="1709">
        <v>-12091781.98</v>
      </c>
      <c r="R30" s="1711">
        <v>-15266178.190000001</v>
      </c>
      <c r="S30" s="881"/>
      <c r="T30" s="881"/>
      <c r="U30" s="881"/>
      <c r="V30" s="881"/>
    </row>
    <row r="31" spans="1:22">
      <c r="A31" s="690" t="s">
        <v>934</v>
      </c>
      <c r="B31" s="937" t="s">
        <v>1000</v>
      </c>
      <c r="C31" s="935" t="s">
        <v>1000</v>
      </c>
      <c r="D31" s="1707" t="s">
        <v>718</v>
      </c>
      <c r="E31" s="963" t="s">
        <v>963</v>
      </c>
      <c r="F31" s="1726">
        <v>3417945896.2399998</v>
      </c>
      <c r="G31" s="1709">
        <v>3417945896</v>
      </c>
      <c r="H31" s="1709">
        <v>3417945896</v>
      </c>
      <c r="I31" s="1709">
        <v>3417945896</v>
      </c>
      <c r="J31" s="1709">
        <v>3417945896</v>
      </c>
      <c r="K31" s="1709">
        <v>3417945896</v>
      </c>
      <c r="L31" s="1709">
        <v>3417945896</v>
      </c>
      <c r="M31" s="1709">
        <v>3417945896</v>
      </c>
      <c r="N31" s="1709">
        <v>3417945896</v>
      </c>
      <c r="O31" s="1709">
        <v>3417945896</v>
      </c>
      <c r="P31" s="1709">
        <v>3417945896</v>
      </c>
      <c r="Q31" s="1709">
        <v>3417945896</v>
      </c>
      <c r="R31" s="709">
        <v>3417945896.2399998</v>
      </c>
      <c r="S31" s="881"/>
      <c r="T31" s="881"/>
      <c r="U31" s="881"/>
      <c r="V31" s="881"/>
    </row>
    <row r="32" spans="1:22" ht="13.5" thickBot="1">
      <c r="A32" s="691" t="s">
        <v>934</v>
      </c>
      <c r="B32" s="934" t="s">
        <v>1000</v>
      </c>
      <c r="C32" s="933" t="s">
        <v>1000</v>
      </c>
      <c r="D32" s="1720" t="s">
        <v>721</v>
      </c>
      <c r="E32" s="932" t="s">
        <v>963</v>
      </c>
      <c r="F32" s="1727">
        <v>1102063956.3800001</v>
      </c>
      <c r="G32" s="1721">
        <v>1102063956</v>
      </c>
      <c r="H32" s="1721">
        <v>1102063956</v>
      </c>
      <c r="I32" s="1721">
        <v>1102063956</v>
      </c>
      <c r="J32" s="1721">
        <v>1102063956</v>
      </c>
      <c r="K32" s="1721">
        <v>1102063956</v>
      </c>
      <c r="L32" s="1721">
        <v>1102063956</v>
      </c>
      <c r="M32" s="1721">
        <v>1102063956</v>
      </c>
      <c r="N32" s="1721">
        <v>1102063956</v>
      </c>
      <c r="O32" s="1721">
        <v>1102063956</v>
      </c>
      <c r="P32" s="1721">
        <v>1102063956</v>
      </c>
      <c r="Q32" s="1721">
        <v>1102063956</v>
      </c>
      <c r="R32" s="922">
        <v>1102063956.3800001</v>
      </c>
      <c r="S32" s="881"/>
      <c r="T32" s="881"/>
      <c r="U32" s="881"/>
      <c r="V32" s="881"/>
    </row>
    <row r="33" spans="4:22" ht="14.25" customHeight="1">
      <c r="N33" s="881"/>
      <c r="O33" s="881"/>
      <c r="P33" s="881"/>
      <c r="Q33" s="881"/>
      <c r="R33" s="881"/>
      <c r="S33" s="881"/>
      <c r="T33" s="881"/>
      <c r="U33" s="881"/>
      <c r="V33" s="881"/>
    </row>
    <row r="34" spans="4:22" ht="14.25" customHeight="1" thickBot="1">
      <c r="N34" s="881"/>
      <c r="O34" s="881"/>
      <c r="P34" s="881"/>
      <c r="Q34" s="881"/>
      <c r="R34" s="881"/>
      <c r="S34" s="881"/>
      <c r="T34" s="881"/>
      <c r="U34" s="881"/>
      <c r="V34" s="881"/>
    </row>
    <row r="35" spans="4:22" ht="13.5" thickBot="1">
      <c r="D35" s="1013" t="s">
        <v>24</v>
      </c>
      <c r="E35" s="1014"/>
      <c r="F35" s="1017" t="s">
        <v>282</v>
      </c>
      <c r="G35" s="1018" t="s">
        <v>1046</v>
      </c>
      <c r="H35" s="1019" t="s">
        <v>104</v>
      </c>
    </row>
    <row r="36" spans="4:22">
      <c r="D36" s="1011" t="s">
        <v>993</v>
      </c>
      <c r="E36" s="1012" t="s">
        <v>1045</v>
      </c>
      <c r="F36" s="1015">
        <v>0</v>
      </c>
      <c r="G36" s="1015">
        <v>0</v>
      </c>
      <c r="H36" s="1016">
        <v>0</v>
      </c>
    </row>
    <row r="37" spans="4:22" ht="13.5" thickBot="1">
      <c r="D37" s="1010" t="s">
        <v>992</v>
      </c>
      <c r="E37" s="1722" t="s">
        <v>1045</v>
      </c>
      <c r="F37" s="1723">
        <v>0</v>
      </c>
      <c r="G37" s="1723">
        <v>0</v>
      </c>
      <c r="H37" s="1724">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729" t="s">
        <v>365</v>
      </c>
      <c r="C1" s="2729"/>
      <c r="D1" s="1527"/>
      <c r="E1" s="1527"/>
      <c r="F1" s="1527"/>
      <c r="G1" s="1527"/>
      <c r="H1" s="1527"/>
      <c r="I1" s="1527"/>
      <c r="J1" s="1527"/>
      <c r="K1" s="1527"/>
      <c r="L1" s="1527"/>
      <c r="M1" s="1527"/>
    </row>
    <row r="2" spans="1:13" s="437" customFormat="1" ht="15.75">
      <c r="B2" s="2729" t="s">
        <v>473</v>
      </c>
      <c r="C2" s="2729"/>
      <c r="D2" s="1527"/>
      <c r="E2" s="1527"/>
      <c r="F2" s="1527"/>
      <c r="G2" s="1527"/>
      <c r="H2" s="1527"/>
      <c r="I2" s="1527"/>
      <c r="J2" s="1527"/>
      <c r="K2" s="1527"/>
      <c r="L2" s="1527"/>
      <c r="M2" s="1527"/>
    </row>
    <row r="3" spans="1:13" s="437" customFormat="1">
      <c r="B3" s="2731"/>
      <c r="C3" s="2731"/>
      <c r="D3" s="1525"/>
      <c r="E3" s="1525"/>
      <c r="F3" s="1525"/>
      <c r="G3" s="1525"/>
      <c r="H3" s="1525"/>
      <c r="I3" s="1525"/>
      <c r="J3" s="1525"/>
      <c r="K3" s="1525"/>
      <c r="L3" s="1525"/>
      <c r="M3" s="1525"/>
    </row>
    <row r="4" spans="1:13" s="1680" customFormat="1" ht="15">
      <c r="A4" s="1679"/>
      <c r="B4" s="1679"/>
      <c r="C4" s="1679"/>
    </row>
    <row r="5" spans="1:13" ht="25.5" customHeight="1">
      <c r="A5" s="437"/>
      <c r="B5" s="2732" t="s">
        <v>1004</v>
      </c>
      <c r="C5" s="2732"/>
    </row>
    <row r="6" spans="1:13">
      <c r="A6" s="437"/>
      <c r="B6" s="1340" t="s">
        <v>2033</v>
      </c>
      <c r="C6" s="437"/>
      <c r="D6" s="1545"/>
    </row>
    <row r="7" spans="1:13">
      <c r="A7" s="437"/>
      <c r="B7" s="1544"/>
      <c r="C7" s="437"/>
    </row>
    <row r="8" spans="1:13">
      <c r="A8" s="437"/>
      <c r="B8" s="437"/>
      <c r="C8" s="437"/>
    </row>
    <row r="9" spans="1:13" s="1540" customFormat="1">
      <c r="A9" s="1543"/>
      <c r="B9" s="1542" t="s">
        <v>920</v>
      </c>
      <c r="C9" s="1541" t="s">
        <v>470</v>
      </c>
    </row>
    <row r="10" spans="1:13">
      <c r="A10" s="437"/>
      <c r="B10" s="1539" t="s">
        <v>2234</v>
      </c>
      <c r="C10" s="1247">
        <v>27811.03</v>
      </c>
    </row>
    <row r="11" spans="1:13">
      <c r="A11" s="437"/>
      <c r="B11" s="1539" t="s">
        <v>2235</v>
      </c>
      <c r="C11" s="1247">
        <v>4837417.6999999955</v>
      </c>
    </row>
    <row r="12" spans="1:13">
      <c r="A12" s="437"/>
      <c r="B12" s="1539" t="s">
        <v>2236</v>
      </c>
      <c r="C12" s="1247">
        <v>1419002.4900000005</v>
      </c>
    </row>
    <row r="13" spans="1:13">
      <c r="A13" s="437"/>
      <c r="B13" s="1539" t="s">
        <v>2237</v>
      </c>
      <c r="C13" s="1247">
        <v>988087.30000000016</v>
      </c>
    </row>
    <row r="14" spans="1:13">
      <c r="A14" s="437"/>
      <c r="B14" s="1539" t="s">
        <v>2238</v>
      </c>
      <c r="C14" s="1247">
        <v>2333149.3400000003</v>
      </c>
    </row>
    <row r="15" spans="1:13">
      <c r="A15" s="437"/>
      <c r="B15" s="1539" t="s">
        <v>2239</v>
      </c>
      <c r="C15" s="1247">
        <v>68954.48000000001</v>
      </c>
    </row>
    <row r="16" spans="1:13">
      <c r="A16" s="437"/>
      <c r="B16" s="1539" t="s">
        <v>2240</v>
      </c>
      <c r="C16" s="1247">
        <v>259869.03000000003</v>
      </c>
    </row>
    <row r="17" spans="1:5">
      <c r="A17" s="437"/>
      <c r="B17" s="1539" t="s">
        <v>2241</v>
      </c>
      <c r="C17" s="1247">
        <v>1688703.0499999993</v>
      </c>
    </row>
    <row r="18" spans="1:5">
      <c r="A18" s="437"/>
      <c r="B18" s="1539" t="s">
        <v>2242</v>
      </c>
      <c r="C18" s="1247">
        <v>2535515.5799999991</v>
      </c>
    </row>
    <row r="19" spans="1:5">
      <c r="A19" s="437"/>
      <c r="B19" s="1539" t="s">
        <v>2243</v>
      </c>
      <c r="C19" s="1247">
        <v>274162.54999999993</v>
      </c>
    </row>
    <row r="20" spans="1:5">
      <c r="A20" s="437"/>
      <c r="B20" s="1539" t="s">
        <v>2244</v>
      </c>
      <c r="C20" s="1247">
        <v>147401709.76000002</v>
      </c>
    </row>
    <row r="21" spans="1:5">
      <c r="A21" s="437"/>
      <c r="B21" s="1681" t="s">
        <v>921</v>
      </c>
      <c r="C21" s="1682">
        <f>SUM(C10:C20)</f>
        <v>161834382.31</v>
      </c>
    </row>
    <row r="22" spans="1:5">
      <c r="A22" s="437"/>
      <c r="B22" s="1538"/>
      <c r="C22" s="679"/>
    </row>
    <row r="23" spans="1:5">
      <c r="A23" s="437"/>
      <c r="B23" s="1681" t="s">
        <v>669</v>
      </c>
      <c r="C23" s="1683">
        <f>SUM( Inputs!E100,Inputs!E101)</f>
        <v>948287.2362029918</v>
      </c>
      <c r="E23" s="2061" t="s">
        <v>1946</v>
      </c>
    </row>
    <row r="25" spans="1:5">
      <c r="A25" s="437"/>
      <c r="B25" s="1681" t="s">
        <v>670</v>
      </c>
      <c r="C25" s="1683">
        <v>8107640.2300000004</v>
      </c>
    </row>
    <row r="26" spans="1:5">
      <c r="A26" s="437"/>
      <c r="B26" s="437"/>
      <c r="C26" s="437"/>
    </row>
    <row r="27" spans="1:5" ht="13.5" thickBot="1">
      <c r="A27" s="437"/>
      <c r="B27" s="1537" t="s">
        <v>1066</v>
      </c>
      <c r="C27" s="1684">
        <f>SUM(C21,C23,C25)</f>
        <v>170890309.77620298</v>
      </c>
      <c r="E27" s="2061" t="s">
        <v>1033</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4"/>
  <sheetViews>
    <sheetView workbookViewId="0"/>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5.75">
      <c r="A1" s="2616" t="s">
        <v>365</v>
      </c>
      <c r="B1" s="682"/>
      <c r="C1" s="682"/>
      <c r="D1" s="827"/>
      <c r="E1" s="682"/>
      <c r="F1" s="682"/>
      <c r="G1" s="682"/>
      <c r="H1" s="682"/>
      <c r="I1" s="682"/>
      <c r="J1" s="827"/>
      <c r="K1" s="683"/>
      <c r="L1" s="683"/>
      <c r="M1" s="683"/>
      <c r="N1" s="683"/>
      <c r="O1" s="683"/>
      <c r="P1" s="683"/>
      <c r="Q1" s="683"/>
      <c r="R1" s="683"/>
      <c r="S1" s="683"/>
      <c r="T1" s="683"/>
      <c r="U1" s="683"/>
      <c r="V1" s="683"/>
      <c r="W1" s="684"/>
      <c r="X1" s="682"/>
      <c r="Y1" s="682"/>
      <c r="Z1" s="827"/>
      <c r="AA1" s="682"/>
      <c r="AB1" s="827"/>
      <c r="AC1" s="682"/>
      <c r="AD1" s="682"/>
      <c r="AE1" s="682"/>
      <c r="AF1" s="682"/>
      <c r="AG1" s="682"/>
      <c r="AH1" s="437"/>
    </row>
    <row r="2" spans="1:35" ht="15.75">
      <c r="A2" s="2616" t="s">
        <v>1070</v>
      </c>
      <c r="B2" s="682"/>
      <c r="C2" s="682"/>
      <c r="D2" s="827"/>
      <c r="E2" s="682"/>
      <c r="F2" s="682"/>
      <c r="G2" s="682"/>
      <c r="H2" s="682"/>
      <c r="I2" s="682"/>
      <c r="J2" s="827"/>
      <c r="K2" s="683"/>
      <c r="L2" s="683"/>
      <c r="M2" s="683"/>
      <c r="N2" s="683"/>
      <c r="O2" s="683"/>
      <c r="P2" s="683"/>
      <c r="Q2" s="683"/>
      <c r="R2" s="683"/>
      <c r="S2" s="683"/>
      <c r="T2" s="683"/>
      <c r="U2" s="683"/>
      <c r="V2" s="683"/>
      <c r="W2" s="684"/>
      <c r="X2" s="682"/>
      <c r="Y2" s="682"/>
      <c r="Z2" s="827"/>
      <c r="AA2" s="682"/>
      <c r="AB2" s="827"/>
      <c r="AC2" s="682"/>
      <c r="AD2" s="682"/>
      <c r="AE2" s="682"/>
      <c r="AF2" s="682"/>
      <c r="AG2" s="682"/>
      <c r="AH2" s="437"/>
    </row>
    <row r="3" spans="1:35">
      <c r="A3" s="604"/>
      <c r="B3" s="437"/>
      <c r="C3" s="437"/>
      <c r="D3" s="828"/>
      <c r="E3" s="601"/>
      <c r="F3" s="601"/>
      <c r="G3" s="601"/>
      <c r="H3" s="601"/>
      <c r="I3" s="601"/>
      <c r="J3" s="828"/>
      <c r="K3" s="602"/>
      <c r="L3" s="602"/>
      <c r="M3" s="602"/>
      <c r="N3" s="602"/>
      <c r="O3" s="602"/>
      <c r="P3" s="602"/>
      <c r="Q3" s="602"/>
      <c r="R3" s="602"/>
      <c r="S3" s="602"/>
      <c r="T3" s="602"/>
      <c r="U3" s="602"/>
      <c r="V3" s="602"/>
      <c r="W3" s="603"/>
      <c r="X3" s="437"/>
      <c r="Y3" s="437"/>
      <c r="Z3" s="832"/>
      <c r="AA3" s="437"/>
      <c r="AB3" s="832"/>
      <c r="AC3" s="437"/>
      <c r="AD3" s="437"/>
      <c r="AE3" s="437"/>
      <c r="AF3" s="437"/>
      <c r="AG3" s="437"/>
      <c r="AH3" s="437"/>
    </row>
    <row r="4" spans="1:35" ht="25.5">
      <c r="A4" s="825" t="s">
        <v>914</v>
      </c>
      <c r="B4" s="606"/>
      <c r="C4" s="606"/>
      <c r="D4" s="833"/>
      <c r="E4" s="607"/>
      <c r="F4" s="607"/>
      <c r="G4" s="607"/>
      <c r="H4" s="607"/>
      <c r="I4" s="607"/>
      <c r="J4" s="829"/>
      <c r="K4" s="602"/>
      <c r="L4" s="602"/>
      <c r="M4" s="602"/>
      <c r="N4" s="602"/>
      <c r="O4" s="602"/>
      <c r="P4" s="602"/>
      <c r="Q4" s="602"/>
      <c r="R4" s="602"/>
      <c r="S4" s="602"/>
      <c r="T4" s="602"/>
      <c r="U4" s="602"/>
      <c r="V4" s="602"/>
      <c r="W4" s="608"/>
      <c r="X4" s="437"/>
      <c r="Y4" s="437"/>
      <c r="Z4" s="832"/>
      <c r="AA4" s="437"/>
      <c r="AB4" s="832"/>
      <c r="AC4" s="437"/>
      <c r="AE4" s="437"/>
      <c r="AF4" s="437"/>
      <c r="AG4" s="437"/>
      <c r="AH4" s="437"/>
    </row>
    <row r="5" spans="1:35">
      <c r="A5" s="604" t="s">
        <v>952</v>
      </c>
      <c r="B5" s="606"/>
      <c r="C5" s="606"/>
      <c r="D5" s="833"/>
      <c r="E5" s="607"/>
      <c r="F5" s="607"/>
      <c r="G5" s="607"/>
      <c r="H5" s="607"/>
      <c r="I5" s="607"/>
      <c r="J5" s="829"/>
      <c r="K5" s="602"/>
      <c r="L5" s="602"/>
      <c r="M5" s="602"/>
      <c r="N5" s="602"/>
      <c r="O5" s="602"/>
      <c r="P5" s="602"/>
      <c r="Q5" s="602"/>
      <c r="R5" s="602"/>
      <c r="S5" s="602"/>
      <c r="T5" s="602"/>
      <c r="U5" s="602"/>
      <c r="V5" s="602"/>
      <c r="W5" s="608"/>
      <c r="X5" s="437"/>
      <c r="Y5" s="437"/>
      <c r="Z5" s="832"/>
      <c r="AA5" s="437"/>
      <c r="AB5" s="832"/>
      <c r="AC5" s="437"/>
      <c r="AD5" s="437"/>
      <c r="AE5" s="437"/>
      <c r="AF5" s="437"/>
      <c r="AG5" s="437"/>
      <c r="AH5" s="437"/>
    </row>
    <row r="6" spans="1:35">
      <c r="A6" s="611"/>
      <c r="B6" s="609"/>
      <c r="C6" s="610"/>
      <c r="D6" s="830"/>
      <c r="E6" s="622" t="s">
        <v>821</v>
      </c>
      <c r="F6" s="622"/>
      <c r="G6" s="610"/>
      <c r="H6" s="2733" t="s">
        <v>820</v>
      </c>
      <c r="I6" s="2733"/>
      <c r="J6" s="830"/>
      <c r="K6" s="1020" t="s">
        <v>1389</v>
      </c>
      <c r="L6" s="1020" t="s">
        <v>1388</v>
      </c>
      <c r="M6" s="1020"/>
      <c r="N6" s="1020"/>
      <c r="O6" s="1020"/>
      <c r="P6" s="1020"/>
      <c r="Q6" s="1020"/>
      <c r="R6" s="1020"/>
      <c r="S6" s="1020"/>
      <c r="T6" s="1020"/>
      <c r="U6" s="1020"/>
      <c r="V6" s="1020"/>
      <c r="W6" s="1020" t="s">
        <v>632</v>
      </c>
      <c r="X6" s="832"/>
      <c r="Y6" s="1023" t="str">
        <f>Toggle</f>
        <v>True-up</v>
      </c>
      <c r="Z6" s="832"/>
      <c r="AA6" s="437"/>
      <c r="AB6" s="832"/>
      <c r="AC6" s="622" t="s">
        <v>968</v>
      </c>
      <c r="AD6" s="685"/>
      <c r="AE6" s="685"/>
      <c r="AF6" s="685"/>
      <c r="AG6" s="437"/>
      <c r="AH6" s="437"/>
    </row>
    <row r="7" spans="1:35" ht="51" customHeight="1">
      <c r="A7" s="681" t="s">
        <v>24</v>
      </c>
      <c r="B7" s="612" t="s">
        <v>819</v>
      </c>
      <c r="C7" s="613" t="s">
        <v>917</v>
      </c>
      <c r="D7" s="614"/>
      <c r="E7" s="621" t="s">
        <v>916</v>
      </c>
      <c r="F7" s="621" t="s">
        <v>366</v>
      </c>
      <c r="G7" s="614"/>
      <c r="H7" s="621" t="s">
        <v>916</v>
      </c>
      <c r="I7" s="621" t="s">
        <v>366</v>
      </c>
      <c r="J7" s="614"/>
      <c r="K7" s="1021" t="s">
        <v>1047</v>
      </c>
      <c r="L7" s="1021" t="s">
        <v>1048</v>
      </c>
      <c r="M7" s="1021" t="s">
        <v>1049</v>
      </c>
      <c r="N7" s="1021" t="s">
        <v>1050</v>
      </c>
      <c r="O7" s="1021" t="s">
        <v>1051</v>
      </c>
      <c r="P7" s="1021" t="s">
        <v>1052</v>
      </c>
      <c r="Q7" s="1021" t="s">
        <v>1053</v>
      </c>
      <c r="R7" s="1021" t="s">
        <v>1054</v>
      </c>
      <c r="S7" s="1021" t="s">
        <v>1055</v>
      </c>
      <c r="T7" s="1021" t="s">
        <v>1056</v>
      </c>
      <c r="U7" s="1021" t="s">
        <v>1057</v>
      </c>
      <c r="V7" s="1021" t="s">
        <v>1058</v>
      </c>
      <c r="W7" s="1021" t="s">
        <v>1047</v>
      </c>
      <c r="X7" s="832"/>
      <c r="Y7" s="1022" t="str">
        <f>IF(Toggle=Projection,"Beg-/End-of-Year Average",IF(Toggle=True_up,"13-month Average","Set Toggle!"))</f>
        <v>13-month Average</v>
      </c>
      <c r="Z7" s="832"/>
      <c r="AA7" s="1390" t="s">
        <v>855</v>
      </c>
      <c r="AB7" s="832"/>
      <c r="AC7" s="613" t="s">
        <v>818</v>
      </c>
      <c r="AD7" s="1672" t="s">
        <v>675</v>
      </c>
      <c r="AE7" s="1672" t="s">
        <v>63</v>
      </c>
      <c r="AF7" s="1672" t="s">
        <v>104</v>
      </c>
      <c r="AG7" s="613" t="s">
        <v>915</v>
      </c>
      <c r="AH7" s="437"/>
    </row>
    <row r="8" spans="1:35" s="459" customFormat="1">
      <c r="A8" s="719" t="s">
        <v>2245</v>
      </c>
      <c r="B8" s="723" t="s">
        <v>2246</v>
      </c>
      <c r="C8" s="721" t="s">
        <v>2247</v>
      </c>
      <c r="D8" s="834"/>
      <c r="E8" s="722">
        <v>248020</v>
      </c>
      <c r="F8" s="722">
        <v>242</v>
      </c>
      <c r="G8" s="722">
        <v>0</v>
      </c>
      <c r="H8" s="722">
        <v>546526</v>
      </c>
      <c r="I8" s="722">
        <v>555.66999999999996</v>
      </c>
      <c r="J8" s="831">
        <v>0</v>
      </c>
      <c r="K8" s="1248">
        <v>-11.109143960000001</v>
      </c>
      <c r="L8" s="1248">
        <v>-11.748101349999999</v>
      </c>
      <c r="M8" s="1248">
        <v>-11.6850767</v>
      </c>
      <c r="N8" s="1248">
        <v>-12.151136810000001</v>
      </c>
      <c r="O8" s="1248">
        <v>-12.49131749</v>
      </c>
      <c r="P8" s="1248">
        <v>-12.91756273</v>
      </c>
      <c r="Q8" s="1248">
        <v>-13.345398749999999</v>
      </c>
      <c r="R8" s="1248">
        <v>-14.009318550000001</v>
      </c>
      <c r="S8" s="1248">
        <v>-14.654936939999999</v>
      </c>
      <c r="T8" s="1248">
        <v>-15.26470859</v>
      </c>
      <c r="U8" s="1248">
        <v>-13.91215665</v>
      </c>
      <c r="V8" s="1248">
        <v>-14.4998301</v>
      </c>
      <c r="W8" s="1248">
        <v>-15.16768158</v>
      </c>
      <c r="X8" s="826">
        <v>0</v>
      </c>
      <c r="Y8" s="1251">
        <f t="shared" ref="Y8:Y72" si="0">IF(Toggle=Projection,AVERAGE(K8,W8),IF(Toggle=True_up,AVERAGE(K8:W8),"Set Toggle!"))</f>
        <v>-13.304336169230769</v>
      </c>
      <c r="Z8" s="832">
        <v>0</v>
      </c>
      <c r="AA8" s="1696" t="s">
        <v>104</v>
      </c>
      <c r="AB8" s="832">
        <v>0</v>
      </c>
      <c r="AC8" s="1252" t="str">
        <f t="shared" ref="AC8:AF23" si="1">IF($AA8=AC$7,$Y8,"")</f>
        <v/>
      </c>
      <c r="AD8" s="1252" t="str">
        <f t="shared" si="1"/>
        <v/>
      </c>
      <c r="AE8" s="1252" t="str">
        <f t="shared" si="1"/>
        <v/>
      </c>
      <c r="AF8" s="1252">
        <f t="shared" si="1"/>
        <v>-13.304336169230769</v>
      </c>
      <c r="AG8" s="617"/>
      <c r="AH8" s="616"/>
      <c r="AI8" s="1695"/>
    </row>
    <row r="9" spans="1:35" s="459" customFormat="1">
      <c r="A9" s="719" t="s">
        <v>2248</v>
      </c>
      <c r="B9" s="723" t="s">
        <v>2246</v>
      </c>
      <c r="C9" s="721" t="s">
        <v>2247</v>
      </c>
      <c r="D9" s="834"/>
      <c r="E9" s="722">
        <v>248028</v>
      </c>
      <c r="F9" s="722">
        <v>242</v>
      </c>
      <c r="G9" s="722">
        <v>0</v>
      </c>
      <c r="H9" s="722">
        <v>546516</v>
      </c>
      <c r="I9" s="722">
        <v>555.66999999999996</v>
      </c>
      <c r="J9" s="831">
        <v>0</v>
      </c>
      <c r="K9" s="1248">
        <v>-7.3580135199999992</v>
      </c>
      <c r="L9" s="1248">
        <v>-8.1737030700000002</v>
      </c>
      <c r="M9" s="1248">
        <v>-9.218004070000001</v>
      </c>
      <c r="N9" s="1248">
        <v>-9.6342730700000008</v>
      </c>
      <c r="O9" s="1248">
        <v>-9.7169690700000011</v>
      </c>
      <c r="P9" s="1248">
        <v>-9.790048070000001</v>
      </c>
      <c r="Q9" s="1248">
        <v>-9.9310050699999994</v>
      </c>
      <c r="R9" s="1248">
        <v>-10.05492407</v>
      </c>
      <c r="S9" s="1248">
        <v>-10.502845070000001</v>
      </c>
      <c r="T9" s="1248">
        <v>-11.542711070000001</v>
      </c>
      <c r="U9" s="1248">
        <v>-10.22594355</v>
      </c>
      <c r="V9" s="1248">
        <v>-10.35644055</v>
      </c>
      <c r="W9" s="1248">
        <v>-10.68668055</v>
      </c>
      <c r="X9" s="826">
        <v>0</v>
      </c>
      <c r="Y9" s="1251">
        <f t="shared" si="0"/>
        <v>-9.7839662153846163</v>
      </c>
      <c r="Z9" s="832">
        <v>0</v>
      </c>
      <c r="AA9" s="1696" t="s">
        <v>104</v>
      </c>
      <c r="AB9" s="832">
        <v>0</v>
      </c>
      <c r="AC9" s="1252" t="str">
        <f t="shared" si="1"/>
        <v/>
      </c>
      <c r="AD9" s="1252" t="str">
        <f t="shared" si="1"/>
        <v/>
      </c>
      <c r="AE9" s="1252" t="str">
        <f t="shared" si="1"/>
        <v/>
      </c>
      <c r="AF9" s="1252">
        <f t="shared" si="1"/>
        <v>-9.7839662153846163</v>
      </c>
      <c r="AG9" s="617"/>
      <c r="AH9" s="616"/>
      <c r="AI9" s="1695"/>
    </row>
    <row r="10" spans="1:35" s="459" customFormat="1">
      <c r="A10" s="719" t="s">
        <v>2249</v>
      </c>
      <c r="B10" s="723" t="s">
        <v>2250</v>
      </c>
      <c r="C10" s="721" t="s">
        <v>2247</v>
      </c>
      <c r="D10" s="834"/>
      <c r="E10" s="722">
        <v>248070</v>
      </c>
      <c r="F10" s="722">
        <v>242</v>
      </c>
      <c r="G10" s="722">
        <v>0</v>
      </c>
      <c r="H10" s="722">
        <v>545510</v>
      </c>
      <c r="I10" s="722">
        <v>426.3</v>
      </c>
      <c r="J10" s="831">
        <v>0</v>
      </c>
      <c r="K10" s="1248">
        <v>-1</v>
      </c>
      <c r="L10" s="1248">
        <v>-1.02346</v>
      </c>
      <c r="M10" s="1248">
        <v>-1.02346</v>
      </c>
      <c r="N10" s="1248">
        <v>-1</v>
      </c>
      <c r="O10" s="1248">
        <v>-1</v>
      </c>
      <c r="P10" s="1248">
        <v>-1</v>
      </c>
      <c r="Q10" s="1248">
        <v>-1</v>
      </c>
      <c r="R10" s="1248">
        <v>-1</v>
      </c>
      <c r="S10" s="1248">
        <v>-1</v>
      </c>
      <c r="T10" s="1248">
        <v>-1</v>
      </c>
      <c r="U10" s="1248">
        <v>-1</v>
      </c>
      <c r="V10" s="1248">
        <v>-1</v>
      </c>
      <c r="W10" s="1248">
        <v>-1</v>
      </c>
      <c r="X10" s="826">
        <v>0</v>
      </c>
      <c r="Y10" s="1251">
        <f t="shared" si="0"/>
        <v>-1.0036092307692308</v>
      </c>
      <c r="Z10" s="832">
        <v>0</v>
      </c>
      <c r="AA10" s="1696" t="s">
        <v>104</v>
      </c>
      <c r="AB10" s="832">
        <v>0</v>
      </c>
      <c r="AC10" s="1252" t="str">
        <f t="shared" si="1"/>
        <v/>
      </c>
      <c r="AD10" s="1252" t="str">
        <f t="shared" si="1"/>
        <v/>
      </c>
      <c r="AE10" s="1252" t="str">
        <f t="shared" si="1"/>
        <v/>
      </c>
      <c r="AF10" s="1252">
        <f t="shared" si="1"/>
        <v>-1.0036092307692308</v>
      </c>
      <c r="AG10" s="617"/>
      <c r="AH10" s="616"/>
      <c r="AI10" s="1695"/>
    </row>
    <row r="11" spans="1:35" s="459" customFormat="1">
      <c r="A11" s="719" t="s">
        <v>2251</v>
      </c>
      <c r="B11" s="723" t="s">
        <v>2250</v>
      </c>
      <c r="C11" s="721" t="s">
        <v>2247</v>
      </c>
      <c r="D11" s="834"/>
      <c r="E11" s="722">
        <v>248070</v>
      </c>
      <c r="F11" s="722">
        <v>242</v>
      </c>
      <c r="G11" s="722">
        <v>0</v>
      </c>
      <c r="H11" s="722">
        <v>545510</v>
      </c>
      <c r="I11" s="722">
        <v>426.3</v>
      </c>
      <c r="J11" s="831">
        <v>0</v>
      </c>
      <c r="K11" s="1248">
        <v>0</v>
      </c>
      <c r="L11" s="1248">
        <v>0</v>
      </c>
      <c r="M11" s="1248">
        <v>0</v>
      </c>
      <c r="N11" s="1248">
        <v>0</v>
      </c>
      <c r="O11" s="1248">
        <v>0</v>
      </c>
      <c r="P11" s="1248">
        <v>0</v>
      </c>
      <c r="Q11" s="1248">
        <v>0</v>
      </c>
      <c r="R11" s="1248">
        <v>0</v>
      </c>
      <c r="S11" s="1248">
        <v>0</v>
      </c>
      <c r="T11" s="1248">
        <v>0</v>
      </c>
      <c r="U11" s="1248">
        <v>0</v>
      </c>
      <c r="V11" s="1248">
        <v>0</v>
      </c>
      <c r="W11" s="1248">
        <v>0</v>
      </c>
      <c r="X11" s="826">
        <v>0</v>
      </c>
      <c r="Y11" s="1251">
        <f t="shared" si="0"/>
        <v>0</v>
      </c>
      <c r="Z11" s="832">
        <v>0</v>
      </c>
      <c r="AA11" s="1696" t="s">
        <v>104</v>
      </c>
      <c r="AB11" s="832">
        <v>0</v>
      </c>
      <c r="AC11" s="1252" t="str">
        <f t="shared" si="1"/>
        <v/>
      </c>
      <c r="AD11" s="1252" t="str">
        <f t="shared" si="1"/>
        <v/>
      </c>
      <c r="AE11" s="1252" t="str">
        <f t="shared" si="1"/>
        <v/>
      </c>
      <c r="AF11" s="1252">
        <f t="shared" si="1"/>
        <v>0</v>
      </c>
      <c r="AG11" s="617"/>
      <c r="AH11" s="616"/>
      <c r="AI11" s="1695"/>
    </row>
    <row r="12" spans="1:35" s="459" customFormat="1">
      <c r="A12" s="719" t="s">
        <v>2252</v>
      </c>
      <c r="B12" s="723" t="s">
        <v>2250</v>
      </c>
      <c r="C12" s="721" t="s">
        <v>2247</v>
      </c>
      <c r="D12" s="834"/>
      <c r="E12" s="722">
        <v>248070</v>
      </c>
      <c r="F12" s="722">
        <v>242</v>
      </c>
      <c r="G12" s="722">
        <v>0</v>
      </c>
      <c r="H12" s="722">
        <v>545500</v>
      </c>
      <c r="I12" s="722">
        <v>598</v>
      </c>
      <c r="J12" s="831">
        <v>0</v>
      </c>
      <c r="K12" s="1248">
        <v>0</v>
      </c>
      <c r="L12" s="1248">
        <v>0</v>
      </c>
      <c r="M12" s="1248">
        <v>0</v>
      </c>
      <c r="N12" s="1248">
        <v>0</v>
      </c>
      <c r="O12" s="1248">
        <v>0</v>
      </c>
      <c r="P12" s="1248">
        <v>0</v>
      </c>
      <c r="Q12" s="1248">
        <v>0</v>
      </c>
      <c r="R12" s="1248">
        <v>0</v>
      </c>
      <c r="S12" s="1248">
        <v>0</v>
      </c>
      <c r="T12" s="1248">
        <v>0</v>
      </c>
      <c r="U12" s="1248">
        <v>0</v>
      </c>
      <c r="V12" s="1248">
        <v>0</v>
      </c>
      <c r="W12" s="1248">
        <v>0</v>
      </c>
      <c r="X12" s="826">
        <v>0</v>
      </c>
      <c r="Y12" s="1251">
        <f t="shared" si="0"/>
        <v>0</v>
      </c>
      <c r="Z12" s="832">
        <v>0</v>
      </c>
      <c r="AA12" s="1696" t="s">
        <v>104</v>
      </c>
      <c r="AB12" s="832">
        <v>0</v>
      </c>
      <c r="AC12" s="1252" t="str">
        <f t="shared" si="1"/>
        <v/>
      </c>
      <c r="AD12" s="1252" t="str">
        <f t="shared" si="1"/>
        <v/>
      </c>
      <c r="AE12" s="1252" t="str">
        <f t="shared" si="1"/>
        <v/>
      </c>
      <c r="AF12" s="1252">
        <f t="shared" si="1"/>
        <v>0</v>
      </c>
      <c r="AG12" s="617"/>
      <c r="AH12" s="616"/>
      <c r="AI12" s="1695"/>
    </row>
    <row r="13" spans="1:35" s="459" customFormat="1">
      <c r="A13" s="719" t="s">
        <v>2253</v>
      </c>
      <c r="B13" s="723" t="s">
        <v>2250</v>
      </c>
      <c r="C13" s="721" t="s">
        <v>2247</v>
      </c>
      <c r="D13" s="834"/>
      <c r="E13" s="722">
        <v>248070</v>
      </c>
      <c r="F13" s="722">
        <v>242</v>
      </c>
      <c r="G13" s="722">
        <v>0</v>
      </c>
      <c r="H13" s="722">
        <v>506059</v>
      </c>
      <c r="I13" s="722">
        <v>565.1</v>
      </c>
      <c r="J13" s="831">
        <v>0</v>
      </c>
      <c r="K13" s="1248">
        <v>0</v>
      </c>
      <c r="L13" s="1248">
        <v>0</v>
      </c>
      <c r="M13" s="1248">
        <v>0</v>
      </c>
      <c r="N13" s="1248">
        <v>0</v>
      </c>
      <c r="O13" s="1248">
        <v>0</v>
      </c>
      <c r="P13" s="1248">
        <v>0</v>
      </c>
      <c r="Q13" s="1248">
        <v>0</v>
      </c>
      <c r="R13" s="1248">
        <v>0</v>
      </c>
      <c r="S13" s="1248">
        <v>0</v>
      </c>
      <c r="T13" s="1248">
        <v>0</v>
      </c>
      <c r="U13" s="1248">
        <v>0</v>
      </c>
      <c r="V13" s="1248">
        <v>0</v>
      </c>
      <c r="W13" s="1248">
        <v>0</v>
      </c>
      <c r="X13" s="826">
        <v>0</v>
      </c>
      <c r="Y13" s="1251">
        <f t="shared" si="0"/>
        <v>0</v>
      </c>
      <c r="Z13" s="832">
        <v>0</v>
      </c>
      <c r="AA13" s="1696" t="s">
        <v>104</v>
      </c>
      <c r="AB13" s="832">
        <v>0</v>
      </c>
      <c r="AC13" s="1252" t="str">
        <f t="shared" si="1"/>
        <v/>
      </c>
      <c r="AD13" s="1252" t="str">
        <f t="shared" si="1"/>
        <v/>
      </c>
      <c r="AE13" s="1252" t="str">
        <f t="shared" si="1"/>
        <v/>
      </c>
      <c r="AF13" s="1252">
        <f t="shared" si="1"/>
        <v>0</v>
      </c>
      <c r="AG13" s="617"/>
      <c r="AH13" s="616"/>
      <c r="AI13" s="1695"/>
    </row>
    <row r="14" spans="1:35" s="459" customFormat="1">
      <c r="A14" s="719" t="s">
        <v>2254</v>
      </c>
      <c r="B14" s="723" t="s">
        <v>2250</v>
      </c>
      <c r="C14" s="721" t="s">
        <v>2247</v>
      </c>
      <c r="D14" s="834"/>
      <c r="E14" s="722">
        <v>248070</v>
      </c>
      <c r="F14" s="722">
        <v>242</v>
      </c>
      <c r="G14" s="722">
        <v>0</v>
      </c>
      <c r="H14" s="722">
        <v>545502</v>
      </c>
      <c r="I14" s="722">
        <v>426.5</v>
      </c>
      <c r="J14" s="831">
        <v>0</v>
      </c>
      <c r="K14" s="1248">
        <v>-2.3460000000000002E-2</v>
      </c>
      <c r="L14" s="1248">
        <v>0</v>
      </c>
      <c r="M14" s="1248">
        <v>0</v>
      </c>
      <c r="N14" s="1248">
        <v>0</v>
      </c>
      <c r="O14" s="1248">
        <v>0</v>
      </c>
      <c r="P14" s="1248">
        <v>0</v>
      </c>
      <c r="Q14" s="1248">
        <v>0</v>
      </c>
      <c r="R14" s="1248">
        <v>0</v>
      </c>
      <c r="S14" s="1248">
        <v>0</v>
      </c>
      <c r="T14" s="1248">
        <v>0</v>
      </c>
      <c r="U14" s="1248">
        <v>0</v>
      </c>
      <c r="V14" s="1248">
        <v>0</v>
      </c>
      <c r="W14" s="1248">
        <v>0</v>
      </c>
      <c r="X14" s="826">
        <v>0</v>
      </c>
      <c r="Y14" s="1251">
        <f t="shared" si="0"/>
        <v>-1.8046153846153848E-3</v>
      </c>
      <c r="Z14" s="832">
        <v>0</v>
      </c>
      <c r="AA14" s="1696" t="s">
        <v>104</v>
      </c>
      <c r="AB14" s="832">
        <v>0</v>
      </c>
      <c r="AC14" s="1252" t="str">
        <f t="shared" si="1"/>
        <v/>
      </c>
      <c r="AD14" s="1252" t="str">
        <f t="shared" si="1"/>
        <v/>
      </c>
      <c r="AE14" s="1252" t="str">
        <f t="shared" si="1"/>
        <v/>
      </c>
      <c r="AF14" s="1252">
        <f t="shared" si="1"/>
        <v>-1.8046153846153848E-3</v>
      </c>
      <c r="AG14" s="617"/>
      <c r="AH14" s="616"/>
      <c r="AI14" s="1695"/>
    </row>
    <row r="15" spans="1:35" s="459" customFormat="1">
      <c r="A15" s="719" t="s">
        <v>2255</v>
      </c>
      <c r="B15" s="723" t="s">
        <v>2250</v>
      </c>
      <c r="C15" s="721" t="s">
        <v>2247</v>
      </c>
      <c r="D15" s="834"/>
      <c r="E15" s="722">
        <v>289950</v>
      </c>
      <c r="F15" s="722">
        <v>253.99</v>
      </c>
      <c r="G15" s="722">
        <v>0</v>
      </c>
      <c r="H15" s="722">
        <v>545502</v>
      </c>
      <c r="I15" s="722">
        <v>426.5</v>
      </c>
      <c r="J15" s="831">
        <v>0</v>
      </c>
      <c r="K15" s="1248">
        <v>0</v>
      </c>
      <c r="L15" s="1248">
        <v>0</v>
      </c>
      <c r="M15" s="1248">
        <v>0</v>
      </c>
      <c r="N15" s="1248">
        <v>0</v>
      </c>
      <c r="O15" s="1248">
        <v>0</v>
      </c>
      <c r="P15" s="1248">
        <v>0</v>
      </c>
      <c r="Q15" s="1248">
        <v>0</v>
      </c>
      <c r="R15" s="1248">
        <v>0</v>
      </c>
      <c r="S15" s="1248">
        <v>0</v>
      </c>
      <c r="T15" s="1248">
        <v>0</v>
      </c>
      <c r="U15" s="1248">
        <v>0</v>
      </c>
      <c r="V15" s="1248">
        <v>0</v>
      </c>
      <c r="W15" s="1248">
        <v>0</v>
      </c>
      <c r="X15" s="826">
        <v>0</v>
      </c>
      <c r="Y15" s="1251">
        <f t="shared" si="0"/>
        <v>0</v>
      </c>
      <c r="Z15" s="832">
        <v>0</v>
      </c>
      <c r="AA15" s="1696" t="s">
        <v>104</v>
      </c>
      <c r="AB15" s="832">
        <v>0</v>
      </c>
      <c r="AC15" s="1252" t="str">
        <f t="shared" si="1"/>
        <v/>
      </c>
      <c r="AD15" s="1252" t="str">
        <f t="shared" si="1"/>
        <v/>
      </c>
      <c r="AE15" s="1252" t="str">
        <f t="shared" si="1"/>
        <v/>
      </c>
      <c r="AF15" s="1252">
        <f t="shared" si="1"/>
        <v>0</v>
      </c>
      <c r="AG15" s="617"/>
      <c r="AH15" s="616"/>
      <c r="AI15" s="1695"/>
    </row>
    <row r="16" spans="1:35" s="459" customFormat="1">
      <c r="A16" s="719" t="s">
        <v>2256</v>
      </c>
      <c r="B16" s="723" t="s">
        <v>2246</v>
      </c>
      <c r="C16" s="721" t="s">
        <v>2247</v>
      </c>
      <c r="D16" s="834"/>
      <c r="E16" s="722">
        <v>248025</v>
      </c>
      <c r="F16" s="722">
        <v>242</v>
      </c>
      <c r="G16" s="722">
        <v>0</v>
      </c>
      <c r="H16" s="722">
        <v>505214</v>
      </c>
      <c r="I16" s="722">
        <v>555.63</v>
      </c>
      <c r="J16" s="831">
        <v>0</v>
      </c>
      <c r="K16" s="1248">
        <v>0</v>
      </c>
      <c r="L16" s="1248">
        <v>0</v>
      </c>
      <c r="M16" s="1248">
        <v>0</v>
      </c>
      <c r="N16" s="1248">
        <v>0</v>
      </c>
      <c r="O16" s="1248">
        <v>0</v>
      </c>
      <c r="P16" s="1248">
        <v>0</v>
      </c>
      <c r="Q16" s="1248">
        <v>0</v>
      </c>
      <c r="R16" s="1248">
        <v>0</v>
      </c>
      <c r="S16" s="1248">
        <v>0</v>
      </c>
      <c r="T16" s="1248">
        <v>0</v>
      </c>
      <c r="U16" s="1248">
        <v>0</v>
      </c>
      <c r="V16" s="1248">
        <v>0</v>
      </c>
      <c r="W16" s="1248">
        <v>0</v>
      </c>
      <c r="X16" s="826">
        <v>0</v>
      </c>
      <c r="Y16" s="1251">
        <f t="shared" si="0"/>
        <v>0</v>
      </c>
      <c r="Z16" s="832">
        <v>0</v>
      </c>
      <c r="AA16" s="1696" t="s">
        <v>104</v>
      </c>
      <c r="AB16" s="832">
        <v>0</v>
      </c>
      <c r="AC16" s="1252" t="str">
        <f t="shared" si="1"/>
        <v/>
      </c>
      <c r="AD16" s="1252" t="str">
        <f t="shared" si="1"/>
        <v/>
      </c>
      <c r="AE16" s="1252" t="str">
        <f t="shared" si="1"/>
        <v/>
      </c>
      <c r="AF16" s="1252">
        <f t="shared" si="1"/>
        <v>0</v>
      </c>
      <c r="AG16" s="617"/>
      <c r="AH16" s="616"/>
      <c r="AI16" s="1695"/>
    </row>
    <row r="17" spans="1:35" s="459" customFormat="1">
      <c r="A17" s="719" t="s">
        <v>2257</v>
      </c>
      <c r="B17" s="723" t="s">
        <v>2246</v>
      </c>
      <c r="C17" s="721" t="s">
        <v>2247</v>
      </c>
      <c r="D17" s="834"/>
      <c r="E17" s="722">
        <v>248025</v>
      </c>
      <c r="F17" s="722">
        <v>242</v>
      </c>
      <c r="G17" s="722">
        <v>0</v>
      </c>
      <c r="H17" s="722">
        <v>505214</v>
      </c>
      <c r="I17" s="722">
        <v>555.63</v>
      </c>
      <c r="J17" s="831">
        <v>0</v>
      </c>
      <c r="K17" s="1248">
        <v>0</v>
      </c>
      <c r="L17" s="1248">
        <v>0</v>
      </c>
      <c r="M17" s="1248">
        <v>0</v>
      </c>
      <c r="N17" s="1248">
        <v>0</v>
      </c>
      <c r="O17" s="1248">
        <v>0</v>
      </c>
      <c r="P17" s="1248">
        <v>0</v>
      </c>
      <c r="Q17" s="1248">
        <v>0</v>
      </c>
      <c r="R17" s="1248">
        <v>0</v>
      </c>
      <c r="S17" s="1248">
        <v>0</v>
      </c>
      <c r="T17" s="1248">
        <v>0</v>
      </c>
      <c r="U17" s="1248">
        <v>0</v>
      </c>
      <c r="V17" s="1248">
        <v>0</v>
      </c>
      <c r="W17" s="1248">
        <v>0</v>
      </c>
      <c r="X17" s="826">
        <v>0</v>
      </c>
      <c r="Y17" s="1251">
        <f t="shared" si="0"/>
        <v>0</v>
      </c>
      <c r="Z17" s="832">
        <v>0</v>
      </c>
      <c r="AA17" s="1696" t="s">
        <v>104</v>
      </c>
      <c r="AB17" s="832">
        <v>0</v>
      </c>
      <c r="AC17" s="1252" t="str">
        <f t="shared" si="1"/>
        <v/>
      </c>
      <c r="AD17" s="1252" t="str">
        <f t="shared" si="1"/>
        <v/>
      </c>
      <c r="AE17" s="1252" t="str">
        <f t="shared" si="1"/>
        <v/>
      </c>
      <c r="AF17" s="1252">
        <f t="shared" si="1"/>
        <v>0</v>
      </c>
      <c r="AG17" s="617"/>
      <c r="AH17" s="616"/>
      <c r="AI17" s="1695"/>
    </row>
    <row r="18" spans="1:35" s="459" customFormat="1">
      <c r="A18" s="719" t="s">
        <v>2258</v>
      </c>
      <c r="B18" s="723" t="s">
        <v>2246</v>
      </c>
      <c r="C18" s="721" t="s">
        <v>2247</v>
      </c>
      <c r="D18" s="834"/>
      <c r="E18" s="722">
        <v>248025</v>
      </c>
      <c r="F18" s="722">
        <v>242</v>
      </c>
      <c r="G18" s="722">
        <v>0</v>
      </c>
      <c r="H18" s="722">
        <v>505206</v>
      </c>
      <c r="I18" s="722">
        <v>555.25</v>
      </c>
      <c r="J18" s="831">
        <v>0</v>
      </c>
      <c r="K18" s="1248">
        <v>-0.20195339000000001</v>
      </c>
      <c r="L18" s="1248">
        <v>-0.20195339000000001</v>
      </c>
      <c r="M18" s="1248">
        <v>-0.20195339000000001</v>
      </c>
      <c r="N18" s="1248">
        <v>-0.20195339000000001</v>
      </c>
      <c r="O18" s="1248">
        <v>-0.20195339000000001</v>
      </c>
      <c r="P18" s="1248">
        <v>-0.20195339000000001</v>
      </c>
      <c r="Q18" s="1248">
        <v>-0.20195339000000001</v>
      </c>
      <c r="R18" s="1248">
        <v>-0.20195339000000001</v>
      </c>
      <c r="S18" s="1248">
        <v>-0.20195339000000001</v>
      </c>
      <c r="T18" s="1248">
        <v>-0.20195339000000001</v>
      </c>
      <c r="U18" s="1248">
        <v>-0.20195339000000001</v>
      </c>
      <c r="V18" s="1248">
        <v>-0.20195339000000001</v>
      </c>
      <c r="W18" s="1248">
        <v>-0.20195339000000001</v>
      </c>
      <c r="X18" s="826">
        <v>0</v>
      </c>
      <c r="Y18" s="1251">
        <f t="shared" si="0"/>
        <v>-0.20195338999999993</v>
      </c>
      <c r="Z18" s="832">
        <v>0</v>
      </c>
      <c r="AA18" s="1696" t="s">
        <v>104</v>
      </c>
      <c r="AB18" s="832">
        <v>0</v>
      </c>
      <c r="AC18" s="1252" t="str">
        <f t="shared" si="1"/>
        <v/>
      </c>
      <c r="AD18" s="1252" t="str">
        <f t="shared" si="1"/>
        <v/>
      </c>
      <c r="AE18" s="1252" t="str">
        <f t="shared" si="1"/>
        <v/>
      </c>
      <c r="AF18" s="1252">
        <f t="shared" si="1"/>
        <v>-0.20195338999999993</v>
      </c>
      <c r="AG18" s="617"/>
      <c r="AH18" s="616"/>
      <c r="AI18" s="1695"/>
    </row>
    <row r="19" spans="1:35" s="459" customFormat="1">
      <c r="A19" s="719" t="s">
        <v>2259</v>
      </c>
      <c r="B19" s="723" t="s">
        <v>2246</v>
      </c>
      <c r="C19" s="721" t="s">
        <v>2247</v>
      </c>
      <c r="D19" s="834"/>
      <c r="E19" s="722">
        <v>248025</v>
      </c>
      <c r="F19" s="722">
        <v>242</v>
      </c>
      <c r="G19" s="722">
        <v>0</v>
      </c>
      <c r="H19" s="722">
        <v>506050</v>
      </c>
      <c r="I19" s="722">
        <v>565.46</v>
      </c>
      <c r="J19" s="831">
        <v>0</v>
      </c>
      <c r="K19" s="1248">
        <v>-1.1820120000000001</v>
      </c>
      <c r="L19" s="1248">
        <v>-1.2481120000000001</v>
      </c>
      <c r="M19" s="1248">
        <v>-1.2481120000000001</v>
      </c>
      <c r="N19" s="1248">
        <v>-1.2481120000000001</v>
      </c>
      <c r="O19" s="1248">
        <v>-1.2481120000000001</v>
      </c>
      <c r="P19" s="1248">
        <v>-1.2481120000000001</v>
      </c>
      <c r="Q19" s="1248">
        <v>-1.2481120000000001</v>
      </c>
      <c r="R19" s="1248">
        <v>-1.2481120000000001</v>
      </c>
      <c r="S19" s="1248">
        <v>-1.2481120000000001</v>
      </c>
      <c r="T19" s="1248">
        <v>-1.2481120000000001</v>
      </c>
      <c r="U19" s="1248">
        <v>-1.2481120000000001</v>
      </c>
      <c r="V19" s="1248">
        <v>-1.2481120000000001</v>
      </c>
      <c r="W19" s="1248">
        <v>-1.2481120000000001</v>
      </c>
      <c r="X19" s="826">
        <v>0</v>
      </c>
      <c r="Y19" s="1251">
        <f t="shared" si="0"/>
        <v>-1.2430273846153848</v>
      </c>
      <c r="Z19" s="832">
        <v>0</v>
      </c>
      <c r="AA19" s="1696" t="s">
        <v>104</v>
      </c>
      <c r="AB19" s="832">
        <v>0</v>
      </c>
      <c r="AC19" s="1252" t="str">
        <f t="shared" si="1"/>
        <v/>
      </c>
      <c r="AD19" s="1252" t="str">
        <f t="shared" si="1"/>
        <v/>
      </c>
      <c r="AE19" s="1252" t="str">
        <f t="shared" si="1"/>
        <v/>
      </c>
      <c r="AF19" s="1252">
        <f t="shared" si="1"/>
        <v>-1.2430273846153848</v>
      </c>
      <c r="AG19" s="617"/>
      <c r="AH19" s="616"/>
      <c r="AI19" s="1695"/>
    </row>
    <row r="20" spans="1:35" s="459" customFormat="1">
      <c r="A20" s="719" t="s">
        <v>2253</v>
      </c>
      <c r="B20" s="723" t="s">
        <v>2246</v>
      </c>
      <c r="C20" s="721" t="s">
        <v>2247</v>
      </c>
      <c r="D20" s="834"/>
      <c r="E20" s="722">
        <v>248025</v>
      </c>
      <c r="F20" s="722">
        <v>242</v>
      </c>
      <c r="G20" s="722">
        <v>0</v>
      </c>
      <c r="H20" s="722">
        <v>506050</v>
      </c>
      <c r="I20" s="722">
        <v>565.46</v>
      </c>
      <c r="J20" s="831">
        <v>0</v>
      </c>
      <c r="K20" s="1248">
        <v>-3.2973560000000002</v>
      </c>
      <c r="L20" s="1248">
        <v>-3.2312560000000001</v>
      </c>
      <c r="M20" s="1248">
        <v>-3.2312560000000001</v>
      </c>
      <c r="N20" s="1248">
        <v>-3.2312560000000001</v>
      </c>
      <c r="O20" s="1248">
        <v>-3.2312560000000001</v>
      </c>
      <c r="P20" s="1248">
        <v>-3.2312560000000001</v>
      </c>
      <c r="Q20" s="1248">
        <v>-3.2312560000000001</v>
      </c>
      <c r="R20" s="1248">
        <v>-3.2312560000000001</v>
      </c>
      <c r="S20" s="1248">
        <v>-3.2312560000000001</v>
      </c>
      <c r="T20" s="1248">
        <v>-3.2312560000000001</v>
      </c>
      <c r="U20" s="1248">
        <v>-3.2312560000000001</v>
      </c>
      <c r="V20" s="1248">
        <v>-3.2312560000000001</v>
      </c>
      <c r="W20" s="1248">
        <v>-3.2312560000000001</v>
      </c>
      <c r="X20" s="826">
        <v>0</v>
      </c>
      <c r="Y20" s="1251">
        <f t="shared" si="0"/>
        <v>-3.2363406153846168</v>
      </c>
      <c r="Z20" s="832">
        <v>0</v>
      </c>
      <c r="AA20" s="1696" t="s">
        <v>104</v>
      </c>
      <c r="AB20" s="832">
        <v>0</v>
      </c>
      <c r="AC20" s="1252" t="str">
        <f t="shared" si="1"/>
        <v/>
      </c>
      <c r="AD20" s="1252" t="str">
        <f t="shared" si="1"/>
        <v/>
      </c>
      <c r="AE20" s="1252" t="str">
        <f t="shared" si="1"/>
        <v/>
      </c>
      <c r="AF20" s="1252">
        <f t="shared" si="1"/>
        <v>-3.2363406153846168</v>
      </c>
      <c r="AG20" s="617"/>
      <c r="AH20" s="616"/>
      <c r="AI20" s="1695"/>
    </row>
    <row r="21" spans="1:35" s="459" customFormat="1">
      <c r="A21" s="719" t="s">
        <v>2260</v>
      </c>
      <c r="B21" s="723" t="s">
        <v>2261</v>
      </c>
      <c r="C21" s="721" t="s">
        <v>2247</v>
      </c>
      <c r="D21" s="834"/>
      <c r="E21" s="722">
        <v>284100</v>
      </c>
      <c r="F21" s="722">
        <v>229</v>
      </c>
      <c r="G21" s="722">
        <v>0</v>
      </c>
      <c r="H21" s="722">
        <v>301913</v>
      </c>
      <c r="I21" s="722">
        <v>456.19900000000001</v>
      </c>
      <c r="J21" s="831">
        <v>0</v>
      </c>
      <c r="K21" s="1248">
        <v>0</v>
      </c>
      <c r="L21" s="1248">
        <v>0</v>
      </c>
      <c r="M21" s="1248">
        <v>0</v>
      </c>
      <c r="N21" s="1248">
        <v>0</v>
      </c>
      <c r="O21" s="1248">
        <v>0</v>
      </c>
      <c r="P21" s="1248">
        <v>0</v>
      </c>
      <c r="Q21" s="1248">
        <v>-1.9</v>
      </c>
      <c r="R21" s="1248">
        <v>-2.3091803900000003</v>
      </c>
      <c r="S21" s="1248">
        <v>-3.0515849300000002</v>
      </c>
      <c r="T21" s="1248">
        <v>-3.6270015400000002</v>
      </c>
      <c r="U21" s="1248">
        <v>-4.3740011500000007</v>
      </c>
      <c r="V21" s="1248">
        <v>-5.0539818200000006</v>
      </c>
      <c r="W21" s="1248">
        <v>-5.0991887800000004</v>
      </c>
      <c r="X21" s="826">
        <v>0</v>
      </c>
      <c r="Y21" s="1251">
        <f t="shared" si="0"/>
        <v>-1.9549952776923076</v>
      </c>
      <c r="Z21" s="832">
        <v>0</v>
      </c>
      <c r="AA21" s="1696" t="s">
        <v>104</v>
      </c>
      <c r="AB21" s="832">
        <v>0</v>
      </c>
      <c r="AC21" s="1252" t="str">
        <f t="shared" si="1"/>
        <v/>
      </c>
      <c r="AD21" s="1252" t="str">
        <f t="shared" si="1"/>
        <v/>
      </c>
      <c r="AE21" s="1252" t="str">
        <f t="shared" si="1"/>
        <v/>
      </c>
      <c r="AF21" s="1252">
        <f t="shared" si="1"/>
        <v>-1.9549952776923076</v>
      </c>
      <c r="AG21" s="617"/>
      <c r="AH21" s="616"/>
      <c r="AI21" s="1695"/>
    </row>
    <row r="22" spans="1:35" s="459" customFormat="1">
      <c r="A22" s="719" t="s">
        <v>2262</v>
      </c>
      <c r="B22" s="723" t="s">
        <v>2263</v>
      </c>
      <c r="C22" s="721" t="s">
        <v>2247</v>
      </c>
      <c r="D22" s="834"/>
      <c r="E22" s="722">
        <v>289517</v>
      </c>
      <c r="F22" s="722">
        <v>253.3</v>
      </c>
      <c r="G22" s="722">
        <v>0</v>
      </c>
      <c r="H22" s="722">
        <v>515100</v>
      </c>
      <c r="I22" s="722">
        <v>501.1</v>
      </c>
      <c r="J22" s="831">
        <v>0</v>
      </c>
      <c r="K22" s="1248">
        <v>-6.0722707900000001</v>
      </c>
      <c r="L22" s="1248">
        <v>-6.0819764699999999</v>
      </c>
      <c r="M22" s="1248">
        <v>-6.0878000199999995</v>
      </c>
      <c r="N22" s="1248">
        <v>-6.1040743200000005</v>
      </c>
      <c r="O22" s="1248">
        <v>-6.1157129900000005</v>
      </c>
      <c r="P22" s="1248">
        <v>-6.1356284600000004</v>
      </c>
      <c r="Q22" s="1248">
        <v>-6.1569298400000001</v>
      </c>
      <c r="R22" s="1248">
        <v>-6.1668965700000005</v>
      </c>
      <c r="S22" s="1248">
        <v>-6.1788921800000001</v>
      </c>
      <c r="T22" s="1248">
        <v>-6.1836961800000001</v>
      </c>
      <c r="U22" s="1248">
        <v>-6.1986378600000007</v>
      </c>
      <c r="V22" s="1248">
        <v>-6.2318417199999994</v>
      </c>
      <c r="W22" s="1248">
        <v>-6.2524827900000002</v>
      </c>
      <c r="X22" s="826">
        <v>0</v>
      </c>
      <c r="Y22" s="1251">
        <f t="shared" si="0"/>
        <v>-6.1512953992307704</v>
      </c>
      <c r="Z22" s="832">
        <v>0</v>
      </c>
      <c r="AA22" s="1696" t="s">
        <v>104</v>
      </c>
      <c r="AB22" s="832">
        <v>0</v>
      </c>
      <c r="AC22" s="1252" t="str">
        <f t="shared" si="1"/>
        <v/>
      </c>
      <c r="AD22" s="1252" t="str">
        <f t="shared" si="1"/>
        <v/>
      </c>
      <c r="AE22" s="1252" t="str">
        <f t="shared" si="1"/>
        <v/>
      </c>
      <c r="AF22" s="1252">
        <f t="shared" si="1"/>
        <v>-6.1512953992307704</v>
      </c>
      <c r="AG22" s="617"/>
      <c r="AH22" s="616"/>
      <c r="AI22" s="1695"/>
    </row>
    <row r="23" spans="1:35" s="459" customFormat="1">
      <c r="A23" s="719" t="s">
        <v>2264</v>
      </c>
      <c r="B23" s="723" t="s">
        <v>2265</v>
      </c>
      <c r="C23" s="721" t="s">
        <v>2247</v>
      </c>
      <c r="D23" s="834"/>
      <c r="E23" s="722">
        <v>289955</v>
      </c>
      <c r="F23" s="722">
        <v>253.99</v>
      </c>
      <c r="G23" s="722">
        <v>0</v>
      </c>
      <c r="H23" s="722">
        <v>582300</v>
      </c>
      <c r="I23" s="722" t="s">
        <v>2266</v>
      </c>
      <c r="J23" s="831">
        <v>0</v>
      </c>
      <c r="K23" s="1248">
        <v>-3.8130874500000003</v>
      </c>
      <c r="L23" s="1248">
        <v>-3.8634264700000003</v>
      </c>
      <c r="M23" s="1248">
        <v>-3.9110871700000001</v>
      </c>
      <c r="N23" s="1248">
        <v>-3.9614027099999998</v>
      </c>
      <c r="O23" s="1248">
        <v>-4.0117182700000003</v>
      </c>
      <c r="P23" s="1248">
        <v>-4.0620338199999999</v>
      </c>
      <c r="Q23" s="1248">
        <v>-4.1123493599999996</v>
      </c>
      <c r="R23" s="1248">
        <v>-4.1626649200000001</v>
      </c>
      <c r="S23" s="1248">
        <v>-4.2137709400000007</v>
      </c>
      <c r="T23" s="1248">
        <v>-3.61216794</v>
      </c>
      <c r="U23" s="1248">
        <v>-3.6559579100000001</v>
      </c>
      <c r="V23" s="1248">
        <v>-3.3981669500000002</v>
      </c>
      <c r="W23" s="1248">
        <v>-3.4438213100000001</v>
      </c>
      <c r="X23" s="826">
        <v>0</v>
      </c>
      <c r="Y23" s="1251">
        <f t="shared" si="0"/>
        <v>-3.8632042476923072</v>
      </c>
      <c r="Z23" s="832">
        <v>0</v>
      </c>
      <c r="AA23" s="1696" t="s">
        <v>104</v>
      </c>
      <c r="AB23" s="832">
        <v>0</v>
      </c>
      <c r="AC23" s="1252" t="str">
        <f t="shared" si="1"/>
        <v/>
      </c>
      <c r="AD23" s="1252" t="str">
        <f t="shared" si="1"/>
        <v/>
      </c>
      <c r="AE23" s="1252" t="str">
        <f t="shared" si="1"/>
        <v/>
      </c>
      <c r="AF23" s="1252">
        <f t="shared" si="1"/>
        <v>-3.8632042476923072</v>
      </c>
      <c r="AG23" s="617"/>
      <c r="AH23" s="616"/>
      <c r="AI23" s="1695"/>
    </row>
    <row r="24" spans="1:35" s="459" customFormat="1">
      <c r="A24" s="1593"/>
      <c r="B24" s="723"/>
      <c r="C24" s="721"/>
      <c r="D24" s="834"/>
      <c r="E24" s="722"/>
      <c r="F24" s="722"/>
      <c r="G24" s="722"/>
      <c r="H24" s="722"/>
      <c r="I24" s="722"/>
      <c r="J24" s="831"/>
      <c r="K24" s="1248"/>
      <c r="L24" s="1248"/>
      <c r="M24" s="1248"/>
      <c r="N24" s="1248"/>
      <c r="O24" s="1248"/>
      <c r="P24" s="1248"/>
      <c r="Q24" s="1248"/>
      <c r="R24" s="1248"/>
      <c r="S24" s="1248"/>
      <c r="T24" s="1248"/>
      <c r="U24" s="1248"/>
      <c r="V24" s="1248"/>
      <c r="W24" s="1248"/>
      <c r="X24" s="826"/>
      <c r="Y24" s="1251"/>
      <c r="Z24" s="832"/>
      <c r="AA24" s="1696"/>
      <c r="AB24" s="832"/>
      <c r="AC24" s="1252" t="str">
        <f t="shared" ref="AC24:AF72" si="2">IF($AA24=AC$7,$Y24,"")</f>
        <v/>
      </c>
      <c r="AD24" s="1252" t="str">
        <f t="shared" si="2"/>
        <v/>
      </c>
      <c r="AE24" s="1252" t="str">
        <f t="shared" si="2"/>
        <v/>
      </c>
      <c r="AF24" s="1252" t="str">
        <f t="shared" si="2"/>
        <v/>
      </c>
      <c r="AG24" s="617"/>
      <c r="AH24" s="616"/>
      <c r="AI24" s="1695"/>
    </row>
    <row r="25" spans="1:35" s="459" customFormat="1">
      <c r="A25" s="1593" t="s">
        <v>2267</v>
      </c>
      <c r="B25" s="723" t="s">
        <v>2268</v>
      </c>
      <c r="C25" s="721" t="s">
        <v>2247</v>
      </c>
      <c r="D25" s="834"/>
      <c r="E25" s="722">
        <v>280311</v>
      </c>
      <c r="F25" s="722">
        <v>228.21</v>
      </c>
      <c r="G25" s="722">
        <v>0</v>
      </c>
      <c r="H25" s="722">
        <v>545050</v>
      </c>
      <c r="I25" s="722">
        <v>925</v>
      </c>
      <c r="J25" s="831">
        <v>0</v>
      </c>
      <c r="K25" s="1248">
        <v>-2.1</v>
      </c>
      <c r="L25" s="1248">
        <v>-2.1</v>
      </c>
      <c r="M25" s="1248">
        <v>-2.1</v>
      </c>
      <c r="N25" s="1248">
        <v>-10.25</v>
      </c>
      <c r="O25" s="1248">
        <v>-10.3</v>
      </c>
      <c r="P25" s="1248">
        <v>-10.285</v>
      </c>
      <c r="Q25" s="1248">
        <v>-16.3</v>
      </c>
      <c r="R25" s="1248">
        <v>-16.297999999999998</v>
      </c>
      <c r="S25" s="1248">
        <v>-16.332000000000001</v>
      </c>
      <c r="T25" s="1248">
        <v>-5.5810000000000004</v>
      </c>
      <c r="U25" s="1248">
        <v>-8.1000000000000003E-2</v>
      </c>
      <c r="V25" s="1248">
        <v>-0.12919607</v>
      </c>
      <c r="W25" s="1248">
        <v>-0.15419606999999999</v>
      </c>
      <c r="X25" s="826">
        <v>0</v>
      </c>
      <c r="Y25" s="1251">
        <f t="shared" si="0"/>
        <v>-7.077722472307693</v>
      </c>
      <c r="Z25" s="832">
        <v>0</v>
      </c>
      <c r="AA25" s="1696" t="s">
        <v>63</v>
      </c>
      <c r="AB25" s="832">
        <v>0</v>
      </c>
      <c r="AC25" s="1252" t="str">
        <f t="shared" si="2"/>
        <v/>
      </c>
      <c r="AD25" s="1252" t="str">
        <f t="shared" si="2"/>
        <v/>
      </c>
      <c r="AE25" s="1252">
        <f t="shared" si="2"/>
        <v>-7.077722472307693</v>
      </c>
      <c r="AF25" s="1252" t="str">
        <f t="shared" si="2"/>
        <v/>
      </c>
      <c r="AG25" s="617"/>
      <c r="AH25" s="616"/>
      <c r="AI25" s="1695"/>
    </row>
    <row r="26" spans="1:35" s="459" customFormat="1">
      <c r="A26" s="1593" t="s">
        <v>2269</v>
      </c>
      <c r="B26" s="723" t="s">
        <v>2270</v>
      </c>
      <c r="C26" s="721" t="s">
        <v>2247</v>
      </c>
      <c r="D26" s="834"/>
      <c r="E26" s="722">
        <v>280311</v>
      </c>
      <c r="F26" s="722">
        <v>228.21</v>
      </c>
      <c r="G26" s="722">
        <v>0</v>
      </c>
      <c r="H26" s="722">
        <v>545050</v>
      </c>
      <c r="I26" s="722">
        <v>925</v>
      </c>
      <c r="J26" s="831">
        <v>0</v>
      </c>
      <c r="K26" s="1248">
        <v>-30.300463950000001</v>
      </c>
      <c r="L26" s="1248">
        <v>-29.58916395</v>
      </c>
      <c r="M26" s="1248">
        <v>-26.817962949999998</v>
      </c>
      <c r="N26" s="1248">
        <v>-24.380429239999998</v>
      </c>
      <c r="O26" s="1248">
        <v>-22.427429239999999</v>
      </c>
      <c r="P26" s="1248">
        <v>-19.687582240000001</v>
      </c>
      <c r="Q26" s="1248">
        <v>-18.281120339999998</v>
      </c>
      <c r="R26" s="1248">
        <v>-17.901195660000003</v>
      </c>
      <c r="S26" s="1248">
        <v>-17.489070659999996</v>
      </c>
      <c r="T26" s="1248">
        <v>-18.588684000000001</v>
      </c>
      <c r="U26" s="1248">
        <v>-4.4046839999999996</v>
      </c>
      <c r="V26" s="1248">
        <v>-3.77535037</v>
      </c>
      <c r="W26" s="1248">
        <v>-8.3750470700000008</v>
      </c>
      <c r="X26" s="826"/>
      <c r="Y26" s="1251">
        <f t="shared" si="0"/>
        <v>-18.616783359230769</v>
      </c>
      <c r="Z26" s="832">
        <v>0</v>
      </c>
      <c r="AA26" s="1696" t="s">
        <v>104</v>
      </c>
      <c r="AB26" s="832">
        <v>0</v>
      </c>
      <c r="AC26" s="1252" t="str">
        <f t="shared" si="2"/>
        <v/>
      </c>
      <c r="AD26" s="1252" t="str">
        <f t="shared" si="2"/>
        <v/>
      </c>
      <c r="AE26" s="1252" t="str">
        <f t="shared" si="2"/>
        <v/>
      </c>
      <c r="AF26" s="1252">
        <f t="shared" si="2"/>
        <v>-18.616783359230769</v>
      </c>
      <c r="AG26" s="617"/>
      <c r="AH26" s="616"/>
      <c r="AI26" s="1695"/>
    </row>
    <row r="27" spans="1:35" s="459" customFormat="1" ht="24.75" customHeight="1">
      <c r="A27" s="2446" t="s">
        <v>2271</v>
      </c>
      <c r="B27" s="723" t="s">
        <v>2268</v>
      </c>
      <c r="C27" s="721" t="s">
        <v>2247</v>
      </c>
      <c r="D27" s="834"/>
      <c r="E27" s="722">
        <v>116925</v>
      </c>
      <c r="F27" s="722">
        <v>228.25</v>
      </c>
      <c r="G27" s="722">
        <v>0</v>
      </c>
      <c r="H27" s="722">
        <v>545050</v>
      </c>
      <c r="I27" s="722">
        <v>925</v>
      </c>
      <c r="J27" s="831">
        <v>0</v>
      </c>
      <c r="K27" s="1248">
        <v>0</v>
      </c>
      <c r="L27" s="1248">
        <v>0</v>
      </c>
      <c r="M27" s="1248">
        <v>0</v>
      </c>
      <c r="N27" s="1248">
        <v>8.15</v>
      </c>
      <c r="O27" s="1248">
        <v>8.15</v>
      </c>
      <c r="P27" s="1248">
        <v>8.15</v>
      </c>
      <c r="Q27" s="1248">
        <v>12.65</v>
      </c>
      <c r="R27" s="1248">
        <v>12.65</v>
      </c>
      <c r="S27" s="1248">
        <v>12.65</v>
      </c>
      <c r="T27" s="1248">
        <v>12.65</v>
      </c>
      <c r="U27" s="1248">
        <v>7.15</v>
      </c>
      <c r="V27" s="1248">
        <v>0</v>
      </c>
      <c r="W27" s="1248">
        <v>0</v>
      </c>
      <c r="X27" s="826">
        <v>0</v>
      </c>
      <c r="Y27" s="1251">
        <f t="shared" si="0"/>
        <v>6.3230769230769237</v>
      </c>
      <c r="Z27" s="832">
        <v>0</v>
      </c>
      <c r="AA27" s="1696" t="s">
        <v>63</v>
      </c>
      <c r="AB27" s="832">
        <v>0</v>
      </c>
      <c r="AC27" s="1252" t="str">
        <f t="shared" si="2"/>
        <v/>
      </c>
      <c r="AD27" s="1252" t="str">
        <f t="shared" si="2"/>
        <v/>
      </c>
      <c r="AE27" s="1252">
        <f t="shared" si="2"/>
        <v>6.3230769230769237</v>
      </c>
      <c r="AF27" s="1252" t="str">
        <f t="shared" si="2"/>
        <v/>
      </c>
      <c r="AG27" s="617"/>
      <c r="AH27" s="616"/>
      <c r="AI27" s="1695"/>
    </row>
    <row r="28" spans="1:35" s="459" customFormat="1" ht="25.5">
      <c r="A28" s="2446" t="s">
        <v>2272</v>
      </c>
      <c r="B28" s="723" t="s">
        <v>2270</v>
      </c>
      <c r="C28" s="721" t="s">
        <v>2247</v>
      </c>
      <c r="D28" s="834"/>
      <c r="E28" s="722">
        <v>116925</v>
      </c>
      <c r="F28" s="722">
        <v>228.25</v>
      </c>
      <c r="G28" s="722">
        <v>0</v>
      </c>
      <c r="H28" s="722">
        <v>545050</v>
      </c>
      <c r="I28" s="722">
        <v>925</v>
      </c>
      <c r="J28" s="831">
        <v>0</v>
      </c>
      <c r="K28" s="1248">
        <v>33.908306039999999</v>
      </c>
      <c r="L28" s="1248">
        <v>33.815600240000002</v>
      </c>
      <c r="M28" s="1248">
        <v>34.01084359</v>
      </c>
      <c r="N28" s="1248">
        <v>31.683177010000001</v>
      </c>
      <c r="O28" s="1248">
        <v>23.356838770000003</v>
      </c>
      <c r="P28" s="1248">
        <v>23.619043779999998</v>
      </c>
      <c r="Q28" s="1248">
        <v>18.232590340000002</v>
      </c>
      <c r="R28" s="1248">
        <v>18.2329644</v>
      </c>
      <c r="S28" s="1248">
        <v>18.516105809999999</v>
      </c>
      <c r="T28" s="1248">
        <v>20.310551760000003</v>
      </c>
      <c r="U28" s="1248">
        <v>20.790801129999998</v>
      </c>
      <c r="V28" s="1248">
        <v>20.887029099999999</v>
      </c>
      <c r="W28" s="1248">
        <v>2.5721830899999998</v>
      </c>
      <c r="X28" s="826">
        <v>0</v>
      </c>
      <c r="Y28" s="1251">
        <f t="shared" si="0"/>
        <v>23.072002696923075</v>
      </c>
      <c r="Z28" s="832">
        <v>0</v>
      </c>
      <c r="AA28" s="1696" t="s">
        <v>104</v>
      </c>
      <c r="AB28" s="832">
        <v>0</v>
      </c>
      <c r="AC28" s="1252" t="str">
        <f t="shared" si="2"/>
        <v/>
      </c>
      <c r="AD28" s="1252" t="str">
        <f t="shared" si="2"/>
        <v/>
      </c>
      <c r="AE28" s="1252" t="str">
        <f t="shared" si="2"/>
        <v/>
      </c>
      <c r="AF28" s="1252">
        <f t="shared" si="2"/>
        <v>23.072002696923075</v>
      </c>
      <c r="AG28" s="617"/>
      <c r="AH28" s="616"/>
      <c r="AI28" s="1695"/>
    </row>
    <row r="29" spans="1:35" s="459" customFormat="1">
      <c r="A29" s="719"/>
      <c r="B29" s="723"/>
      <c r="C29" s="721"/>
      <c r="D29" s="834"/>
      <c r="E29" s="722"/>
      <c r="F29" s="722"/>
      <c r="G29" s="722"/>
      <c r="H29" s="722"/>
      <c r="I29" s="722"/>
      <c r="J29" s="831"/>
      <c r="K29" s="1248"/>
      <c r="L29" s="1248"/>
      <c r="M29" s="1248"/>
      <c r="N29" s="1248"/>
      <c r="O29" s="1248"/>
      <c r="P29" s="1248"/>
      <c r="Q29" s="1248"/>
      <c r="R29" s="1248"/>
      <c r="S29" s="1248"/>
      <c r="T29" s="1248"/>
      <c r="U29" s="1248"/>
      <c r="V29" s="1248"/>
      <c r="W29" s="1248"/>
      <c r="X29" s="826"/>
      <c r="Y29" s="1251"/>
      <c r="Z29" s="832"/>
      <c r="AA29" s="1696"/>
      <c r="AB29" s="832"/>
      <c r="AC29" s="1252" t="str">
        <f t="shared" si="2"/>
        <v/>
      </c>
      <c r="AD29" s="1252" t="str">
        <f t="shared" si="2"/>
        <v/>
      </c>
      <c r="AE29" s="1252" t="str">
        <f t="shared" si="2"/>
        <v/>
      </c>
      <c r="AF29" s="1252" t="str">
        <f t="shared" si="2"/>
        <v/>
      </c>
      <c r="AG29" s="617"/>
      <c r="AH29" s="616"/>
      <c r="AI29" s="1695"/>
    </row>
    <row r="30" spans="1:35" s="459" customFormat="1">
      <c r="A30" s="719" t="s">
        <v>2273</v>
      </c>
      <c r="B30" s="723" t="s">
        <v>2274</v>
      </c>
      <c r="C30" s="721" t="s">
        <v>2247</v>
      </c>
      <c r="D30" s="834"/>
      <c r="E30" s="722">
        <v>118100</v>
      </c>
      <c r="F30" s="722">
        <v>144</v>
      </c>
      <c r="G30" s="722">
        <v>0</v>
      </c>
      <c r="H30" s="722">
        <v>550750</v>
      </c>
      <c r="I30" s="722">
        <v>904</v>
      </c>
      <c r="J30" s="831">
        <v>0</v>
      </c>
      <c r="K30" s="1248">
        <v>-6.2052259999999997</v>
      </c>
      <c r="L30" s="1248">
        <v>-7.2975979999999998</v>
      </c>
      <c r="M30" s="1248">
        <v>-7.5566050000000002</v>
      </c>
      <c r="N30" s="1248">
        <v>-8.0777750000000008</v>
      </c>
      <c r="O30" s="1248">
        <v>-9.4226519999999994</v>
      </c>
      <c r="P30" s="1248">
        <v>-9.3973119999999994</v>
      </c>
      <c r="Q30" s="1248">
        <v>-9.6218129999999995</v>
      </c>
      <c r="R30" s="1248">
        <v>-10.004829000000001</v>
      </c>
      <c r="S30" s="1248">
        <v>-10.257766</v>
      </c>
      <c r="T30" s="1248">
        <v>-9.5993890000000004</v>
      </c>
      <c r="U30" s="1248">
        <v>-9.7722149999999992</v>
      </c>
      <c r="V30" s="1248">
        <v>-8.7155129999999996</v>
      </c>
      <c r="W30" s="1248">
        <v>-8.9961090000000006</v>
      </c>
      <c r="X30" s="826"/>
      <c r="Y30" s="1251">
        <f t="shared" si="0"/>
        <v>-8.8403693846153857</v>
      </c>
      <c r="Z30" s="832"/>
      <c r="AA30" s="1696" t="s">
        <v>104</v>
      </c>
      <c r="AB30" s="832"/>
      <c r="AC30" s="1252" t="str">
        <f t="shared" si="2"/>
        <v/>
      </c>
      <c r="AD30" s="1252" t="str">
        <f t="shared" si="2"/>
        <v/>
      </c>
      <c r="AE30" s="1252" t="str">
        <f t="shared" si="2"/>
        <v/>
      </c>
      <c r="AF30" s="1252">
        <f t="shared" si="2"/>
        <v>-8.8403693846153857</v>
      </c>
      <c r="AG30" s="617"/>
      <c r="AH30" s="616"/>
      <c r="AI30" s="1695"/>
    </row>
    <row r="31" spans="1:35" s="459" customFormat="1">
      <c r="A31" s="719" t="s">
        <v>2275</v>
      </c>
      <c r="B31" s="723" t="s">
        <v>2274</v>
      </c>
      <c r="C31" s="721" t="s">
        <v>2247</v>
      </c>
      <c r="D31" s="834"/>
      <c r="E31" s="722">
        <v>118150</v>
      </c>
      <c r="F31" s="722">
        <v>144</v>
      </c>
      <c r="G31" s="722">
        <v>0</v>
      </c>
      <c r="H31" s="722">
        <v>550750</v>
      </c>
      <c r="I31" s="722">
        <v>904</v>
      </c>
      <c r="J31" s="831">
        <v>0</v>
      </c>
      <c r="K31" s="1248">
        <v>-9.0259999999999993E-3</v>
      </c>
      <c r="L31" s="1248">
        <v>-1.856E-2</v>
      </c>
      <c r="M31" s="1248">
        <v>-1.1842E-2</v>
      </c>
      <c r="N31" s="1248">
        <v>-1.2508E-2</v>
      </c>
      <c r="O31" s="1248">
        <v>-2.2356000000000001E-2</v>
      </c>
      <c r="P31" s="1248">
        <v>-1.9626999999999999E-2</v>
      </c>
      <c r="Q31" s="1248">
        <v>-2.0426E-2</v>
      </c>
      <c r="R31" s="1248">
        <v>-9.7470000000000005E-3</v>
      </c>
      <c r="S31" s="1248">
        <v>-1.4220999999999999E-2</v>
      </c>
      <c r="T31" s="1248">
        <v>-1.6084999999999999E-2</v>
      </c>
      <c r="U31" s="1248">
        <v>-3.0107999999999999E-2</v>
      </c>
      <c r="V31" s="1248">
        <v>-2.2270999999999999E-2</v>
      </c>
      <c r="W31" s="1248">
        <v>-2.0820999999999999E-2</v>
      </c>
      <c r="X31" s="826">
        <v>0</v>
      </c>
      <c r="Y31" s="1251">
        <f t="shared" si="0"/>
        <v>-1.750753846153846E-2</v>
      </c>
      <c r="Z31" s="832">
        <v>0</v>
      </c>
      <c r="AA31" s="1696" t="s">
        <v>104</v>
      </c>
      <c r="AB31" s="832">
        <v>0</v>
      </c>
      <c r="AC31" s="1252" t="str">
        <f t="shared" si="2"/>
        <v/>
      </c>
      <c r="AD31" s="1252" t="str">
        <f t="shared" si="2"/>
        <v/>
      </c>
      <c r="AE31" s="1252" t="str">
        <f t="shared" si="2"/>
        <v/>
      </c>
      <c r="AF31" s="1252">
        <f t="shared" si="2"/>
        <v>-1.750753846153846E-2</v>
      </c>
      <c r="AG31" s="617"/>
      <c r="AH31" s="616"/>
      <c r="AI31" s="1695"/>
    </row>
    <row r="32" spans="1:35" s="459" customFormat="1">
      <c r="A32" s="719" t="s">
        <v>2276</v>
      </c>
      <c r="B32" s="723" t="s">
        <v>2277</v>
      </c>
      <c r="C32" s="721" t="s">
        <v>2247</v>
      </c>
      <c r="D32" s="834"/>
      <c r="E32" s="722">
        <v>118155</v>
      </c>
      <c r="F32" s="722">
        <v>172</v>
      </c>
      <c r="G32" s="722">
        <v>0</v>
      </c>
      <c r="H32" s="722">
        <v>301869</v>
      </c>
      <c r="I32" s="722">
        <v>454.1</v>
      </c>
      <c r="J32" s="831">
        <v>0</v>
      </c>
      <c r="K32" s="1248">
        <v>-5.8915139999999998E-2</v>
      </c>
      <c r="L32" s="1248">
        <v>-5.9078350000000002E-2</v>
      </c>
      <c r="M32" s="1248">
        <v>-6.2473849999999997E-2</v>
      </c>
      <c r="N32" s="1248">
        <v>-6.0258120000000005E-2</v>
      </c>
      <c r="O32" s="1248">
        <v>-5.0459919999999998E-2</v>
      </c>
      <c r="P32" s="1248">
        <v>-4.2998540000000002E-2</v>
      </c>
      <c r="Q32" s="1248">
        <v>-3.9775570000000003E-2</v>
      </c>
      <c r="R32" s="1248">
        <v>-5.3166029999999996E-2</v>
      </c>
      <c r="S32" s="1248">
        <v>-5.9401449999999995E-2</v>
      </c>
      <c r="T32" s="1248">
        <v>-6.2053120000000003E-2</v>
      </c>
      <c r="U32" s="1248">
        <v>-5.6085870000000003E-2</v>
      </c>
      <c r="V32" s="1248">
        <v>-7.9815700000000003E-2</v>
      </c>
      <c r="W32" s="1248">
        <v>-5.4944550000000002E-2</v>
      </c>
      <c r="X32" s="826">
        <v>0</v>
      </c>
      <c r="Y32" s="1251">
        <f t="shared" si="0"/>
        <v>-5.687893923076922E-2</v>
      </c>
      <c r="Z32" s="832">
        <v>0</v>
      </c>
      <c r="AA32" s="1696" t="s">
        <v>104</v>
      </c>
      <c r="AB32" s="832">
        <v>0</v>
      </c>
      <c r="AC32" s="1252" t="str">
        <f t="shared" si="2"/>
        <v/>
      </c>
      <c r="AD32" s="1252" t="str">
        <f t="shared" si="2"/>
        <v/>
      </c>
      <c r="AE32" s="1252" t="str">
        <f t="shared" si="2"/>
        <v/>
      </c>
      <c r="AF32" s="1252">
        <f t="shared" si="2"/>
        <v>-5.687893923076922E-2</v>
      </c>
      <c r="AG32" s="617"/>
      <c r="AH32" s="616"/>
      <c r="AI32" s="1695"/>
    </row>
    <row r="33" spans="1:35" s="459" customFormat="1">
      <c r="A33" s="719" t="s">
        <v>2278</v>
      </c>
      <c r="B33" s="723" t="s">
        <v>2279</v>
      </c>
      <c r="C33" s="721" t="s">
        <v>2247</v>
      </c>
      <c r="D33" s="834"/>
      <c r="E33" s="722">
        <v>118157</v>
      </c>
      <c r="F33" s="722">
        <v>144</v>
      </c>
      <c r="G33" s="722">
        <v>0</v>
      </c>
      <c r="H33" s="722">
        <v>550776</v>
      </c>
      <c r="I33" s="722">
        <v>904.2</v>
      </c>
      <c r="J33" s="831">
        <v>0</v>
      </c>
      <c r="K33" s="1248">
        <v>-0.75894638999999997</v>
      </c>
      <c r="L33" s="1248">
        <v>-0.75458813999999996</v>
      </c>
      <c r="M33" s="1248">
        <v>-0.76901248</v>
      </c>
      <c r="N33" s="1248">
        <v>-0.70096931000000007</v>
      </c>
      <c r="O33" s="1248">
        <v>-0.74591788999999997</v>
      </c>
      <c r="P33" s="1248">
        <v>-0.72424646999999998</v>
      </c>
      <c r="Q33" s="1248">
        <v>-0.71066485999999995</v>
      </c>
      <c r="R33" s="1248">
        <v>-0.71118108999999996</v>
      </c>
      <c r="S33" s="1248">
        <v>-0.70863920999999996</v>
      </c>
      <c r="T33" s="1248">
        <v>-0.64621120999999992</v>
      </c>
      <c r="U33" s="1248">
        <v>-0.65210822000000002</v>
      </c>
      <c r="V33" s="1248">
        <v>-0.64959532999999992</v>
      </c>
      <c r="W33" s="1248">
        <v>-0.64248606999999991</v>
      </c>
      <c r="X33" s="826">
        <v>0</v>
      </c>
      <c r="Y33" s="1251">
        <f t="shared" si="0"/>
        <v>-0.7057358976923076</v>
      </c>
      <c r="Z33" s="832">
        <v>0</v>
      </c>
      <c r="AA33" s="1696" t="s">
        <v>104</v>
      </c>
      <c r="AB33" s="832">
        <v>0</v>
      </c>
      <c r="AC33" s="1252" t="str">
        <f t="shared" si="2"/>
        <v/>
      </c>
      <c r="AD33" s="1252" t="str">
        <f t="shared" si="2"/>
        <v/>
      </c>
      <c r="AE33" s="1252" t="str">
        <f t="shared" si="2"/>
        <v/>
      </c>
      <c r="AF33" s="1252">
        <f t="shared" si="2"/>
        <v>-0.7057358976923076</v>
      </c>
      <c r="AG33" s="617"/>
      <c r="AH33" s="616"/>
      <c r="AI33" s="1695"/>
    </row>
    <row r="34" spans="1:35" s="459" customFormat="1">
      <c r="A34" s="719" t="s">
        <v>2280</v>
      </c>
      <c r="B34" s="723" t="s">
        <v>2281</v>
      </c>
      <c r="C34" s="721" t="s">
        <v>2247</v>
      </c>
      <c r="D34" s="834"/>
      <c r="E34" s="722">
        <v>118168</v>
      </c>
      <c r="F34" s="722">
        <v>144</v>
      </c>
      <c r="G34" s="722">
        <v>0</v>
      </c>
      <c r="H34" s="722">
        <v>550750</v>
      </c>
      <c r="I34" s="722">
        <v>904</v>
      </c>
      <c r="J34" s="831">
        <v>0</v>
      </c>
      <c r="K34" s="1248">
        <v>-7.6855570000000012E-2</v>
      </c>
      <c r="L34" s="1248">
        <v>-7.6855570000000012E-2</v>
      </c>
      <c r="M34" s="1248">
        <v>-7.6855570000000012E-2</v>
      </c>
      <c r="N34" s="1248">
        <v>-8.603305E-2</v>
      </c>
      <c r="O34" s="1248">
        <v>-8.603305E-2</v>
      </c>
      <c r="P34" s="1248">
        <v>-8.603305E-2</v>
      </c>
      <c r="Q34" s="1248">
        <v>-8.033187E-2</v>
      </c>
      <c r="R34" s="1248">
        <v>-8.033187E-2</v>
      </c>
      <c r="S34" s="1248">
        <v>-8.033187E-2</v>
      </c>
      <c r="T34" s="1248">
        <v>-8.004499000000001E-2</v>
      </c>
      <c r="U34" s="1248">
        <v>-8.004499000000001E-2</v>
      </c>
      <c r="V34" s="1248">
        <v>-8.004499000000001E-2</v>
      </c>
      <c r="W34" s="1248">
        <v>-8.004499000000001E-2</v>
      </c>
      <c r="X34" s="826">
        <v>0</v>
      </c>
      <c r="Y34" s="1251">
        <f t="shared" si="0"/>
        <v>-8.0757033076923071E-2</v>
      </c>
      <c r="Z34" s="832">
        <v>0</v>
      </c>
      <c r="AA34" s="1696" t="s">
        <v>104</v>
      </c>
      <c r="AB34" s="832">
        <v>0</v>
      </c>
      <c r="AC34" s="1252" t="str">
        <f t="shared" si="2"/>
        <v/>
      </c>
      <c r="AD34" s="1252" t="str">
        <f t="shared" si="2"/>
        <v/>
      </c>
      <c r="AE34" s="1252" t="str">
        <f t="shared" si="2"/>
        <v/>
      </c>
      <c r="AF34" s="1252">
        <f t="shared" si="2"/>
        <v>-8.0757033076923071E-2</v>
      </c>
      <c r="AG34" s="617"/>
      <c r="AH34" s="616"/>
      <c r="AI34" s="1695"/>
    </row>
    <row r="35" spans="1:35" s="459" customFormat="1">
      <c r="A35" s="719" t="s">
        <v>2282</v>
      </c>
      <c r="B35" s="723" t="s">
        <v>2281</v>
      </c>
      <c r="C35" s="721" t="s">
        <v>2247</v>
      </c>
      <c r="D35" s="834"/>
      <c r="E35" s="722">
        <v>118175</v>
      </c>
      <c r="F35" s="722">
        <v>144</v>
      </c>
      <c r="G35" s="722">
        <v>0</v>
      </c>
      <c r="H35" s="722">
        <v>550775</v>
      </c>
      <c r="I35" s="722">
        <v>904</v>
      </c>
      <c r="J35" s="831">
        <v>0</v>
      </c>
      <c r="K35" s="1248">
        <v>-6.6057600000000008E-2</v>
      </c>
      <c r="L35" s="1248">
        <v>-6.6057600000000008E-2</v>
      </c>
      <c r="M35" s="1248">
        <v>-6.6057600000000008E-2</v>
      </c>
      <c r="N35" s="1248">
        <v>-6.6057600000000008E-2</v>
      </c>
      <c r="O35" s="1248">
        <v>-6.6057600000000008E-2</v>
      </c>
      <c r="P35" s="1248">
        <v>-6.6057600000000008E-2</v>
      </c>
      <c r="Q35" s="1248">
        <v>-6.6057600000000008E-2</v>
      </c>
      <c r="R35" s="1248">
        <v>-6.6057600000000008E-2</v>
      </c>
      <c r="S35" s="1248">
        <v>-6.6057600000000008E-2</v>
      </c>
      <c r="T35" s="1248">
        <v>-6.6057600000000008E-2</v>
      </c>
      <c r="U35" s="1248">
        <v>-6.6057600000000008E-2</v>
      </c>
      <c r="V35" s="1248">
        <v>-6.6057600000000008E-2</v>
      </c>
      <c r="W35" s="1248">
        <v>-3.3805370000000001E-2</v>
      </c>
      <c r="X35" s="826"/>
      <c r="Y35" s="1251">
        <f t="shared" si="0"/>
        <v>-6.3576659230769245E-2</v>
      </c>
      <c r="Z35" s="832"/>
      <c r="AA35" s="1696" t="s">
        <v>104</v>
      </c>
      <c r="AB35" s="832"/>
      <c r="AC35" s="1252" t="str">
        <f t="shared" si="2"/>
        <v/>
      </c>
      <c r="AD35" s="1252" t="str">
        <f t="shared" si="2"/>
        <v/>
      </c>
      <c r="AE35" s="1252" t="str">
        <f t="shared" si="2"/>
        <v/>
      </c>
      <c r="AF35" s="1252">
        <f t="shared" si="2"/>
        <v>-6.3576659230769245E-2</v>
      </c>
      <c r="AG35" s="617"/>
      <c r="AH35" s="616"/>
      <c r="AI35" s="1695"/>
    </row>
    <row r="36" spans="1:35" s="459" customFormat="1">
      <c r="A36" s="719" t="s">
        <v>2283</v>
      </c>
      <c r="B36" s="723" t="s">
        <v>2274</v>
      </c>
      <c r="C36" s="721" t="s">
        <v>2247</v>
      </c>
      <c r="D36" s="834"/>
      <c r="E36" s="722">
        <v>118200</v>
      </c>
      <c r="F36" s="722">
        <v>173</v>
      </c>
      <c r="G36" s="722">
        <v>0</v>
      </c>
      <c r="H36" s="722">
        <v>301119</v>
      </c>
      <c r="I36" s="722">
        <v>440.1</v>
      </c>
      <c r="J36" s="831">
        <v>0</v>
      </c>
      <c r="K36" s="1248">
        <v>-0.251</v>
      </c>
      <c r="L36" s="1248">
        <v>-0.26200000000000001</v>
      </c>
      <c r="M36" s="1248">
        <v>-0.26200000000000001</v>
      </c>
      <c r="N36" s="1248">
        <v>-0.20599999999999999</v>
      </c>
      <c r="O36" s="1248">
        <v>-0.189</v>
      </c>
      <c r="P36" s="1248">
        <v>-0.20599999999999999</v>
      </c>
      <c r="Q36" s="1248">
        <v>-0.217</v>
      </c>
      <c r="R36" s="1248">
        <v>-0.24</v>
      </c>
      <c r="S36" s="1248">
        <v>-0.23599999999999999</v>
      </c>
      <c r="T36" s="1248">
        <v>-0.20499999999999999</v>
      </c>
      <c r="U36" s="1248">
        <v>-0.221</v>
      </c>
      <c r="V36" s="1248">
        <v>-0.23699999999999999</v>
      </c>
      <c r="W36" s="1248">
        <v>-0.25800000000000001</v>
      </c>
      <c r="X36" s="826">
        <v>0</v>
      </c>
      <c r="Y36" s="1251">
        <f t="shared" si="0"/>
        <v>-0.23</v>
      </c>
      <c r="Z36" s="832">
        <v>0</v>
      </c>
      <c r="AA36" s="1696" t="s">
        <v>104</v>
      </c>
      <c r="AB36" s="832">
        <v>0</v>
      </c>
      <c r="AC36" s="1252" t="str">
        <f t="shared" si="2"/>
        <v/>
      </c>
      <c r="AD36" s="1252" t="str">
        <f t="shared" si="2"/>
        <v/>
      </c>
      <c r="AE36" s="1252" t="str">
        <f t="shared" si="2"/>
        <v/>
      </c>
      <c r="AF36" s="1252">
        <f t="shared" si="2"/>
        <v>-0.23</v>
      </c>
      <c r="AG36" s="617"/>
      <c r="AH36" s="616"/>
      <c r="AI36" s="1695"/>
    </row>
    <row r="37" spans="1:35" s="459" customFormat="1">
      <c r="A37" s="719" t="s">
        <v>2284</v>
      </c>
      <c r="B37" s="723" t="s">
        <v>2274</v>
      </c>
      <c r="C37" s="721" t="s">
        <v>2247</v>
      </c>
      <c r="D37" s="834"/>
      <c r="E37" s="722">
        <v>118300</v>
      </c>
      <c r="F37" s="722">
        <v>173</v>
      </c>
      <c r="G37" s="722">
        <v>0</v>
      </c>
      <c r="H37" s="722">
        <v>301119</v>
      </c>
      <c r="I37" s="722">
        <v>440.1</v>
      </c>
      <c r="J37" s="831">
        <v>0</v>
      </c>
      <c r="K37" s="1248">
        <v>-0.32400000000000001</v>
      </c>
      <c r="L37" s="1248">
        <v>-0.35199999999999998</v>
      </c>
      <c r="M37" s="1248">
        <v>-0.35199999999999998</v>
      </c>
      <c r="N37" s="1248">
        <v>-0.312</v>
      </c>
      <c r="O37" s="1248">
        <v>-0.29299999999999998</v>
      </c>
      <c r="P37" s="1248">
        <v>-0.38100000000000001</v>
      </c>
      <c r="Q37" s="1248">
        <v>-0.45300000000000001</v>
      </c>
      <c r="R37" s="1248">
        <v>-0.48399999999999999</v>
      </c>
      <c r="S37" s="1248">
        <v>-0.46200000000000002</v>
      </c>
      <c r="T37" s="1248">
        <v>-0.36</v>
      </c>
      <c r="U37" s="1248">
        <v>-0.35299999999999998</v>
      </c>
      <c r="V37" s="1248">
        <v>-0.33600000000000002</v>
      </c>
      <c r="W37" s="1248">
        <v>-0.35299999999999998</v>
      </c>
      <c r="X37" s="826">
        <v>0</v>
      </c>
      <c r="Y37" s="1251">
        <f t="shared" si="0"/>
        <v>-0.37038461538461542</v>
      </c>
      <c r="Z37" s="832">
        <v>0</v>
      </c>
      <c r="AA37" s="1696" t="s">
        <v>104</v>
      </c>
      <c r="AB37" s="832">
        <v>0</v>
      </c>
      <c r="AC37" s="1252" t="str">
        <f t="shared" si="2"/>
        <v/>
      </c>
      <c r="AD37" s="1252" t="str">
        <f t="shared" si="2"/>
        <v/>
      </c>
      <c r="AE37" s="1252" t="str">
        <f t="shared" si="2"/>
        <v/>
      </c>
      <c r="AF37" s="1252">
        <f t="shared" si="2"/>
        <v>-0.37038461538461542</v>
      </c>
      <c r="AG37" s="617"/>
      <c r="AH37" s="616"/>
      <c r="AI37" s="1695"/>
    </row>
    <row r="38" spans="1:35" s="459" customFormat="1">
      <c r="A38" s="719"/>
      <c r="B38" s="723"/>
      <c r="C38" s="721"/>
      <c r="D38" s="834"/>
      <c r="E38" s="722"/>
      <c r="F38" s="722"/>
      <c r="G38" s="722"/>
      <c r="H38" s="722"/>
      <c r="I38" s="722"/>
      <c r="J38" s="831"/>
      <c r="K38" s="1248"/>
      <c r="L38" s="1248"/>
      <c r="M38" s="1248"/>
      <c r="N38" s="1248"/>
      <c r="O38" s="1248"/>
      <c r="P38" s="1248"/>
      <c r="Q38" s="1248"/>
      <c r="R38" s="1248"/>
      <c r="S38" s="1248"/>
      <c r="T38" s="1248"/>
      <c r="U38" s="1248"/>
      <c r="V38" s="1248"/>
      <c r="W38" s="1248"/>
      <c r="X38" s="826"/>
      <c r="Y38" s="1251"/>
      <c r="Z38" s="832"/>
      <c r="AA38" s="1696"/>
      <c r="AB38" s="832"/>
      <c r="AC38" s="1252" t="str">
        <f t="shared" si="2"/>
        <v/>
      </c>
      <c r="AD38" s="1252" t="str">
        <f t="shared" si="2"/>
        <v/>
      </c>
      <c r="AE38" s="1252" t="str">
        <f t="shared" si="2"/>
        <v/>
      </c>
      <c r="AF38" s="1252" t="str">
        <f t="shared" si="2"/>
        <v/>
      </c>
      <c r="AG38" s="617"/>
      <c r="AH38" s="616"/>
      <c r="AI38" s="1695"/>
    </row>
    <row r="39" spans="1:35" s="459" customFormat="1">
      <c r="A39" s="719" t="s">
        <v>2285</v>
      </c>
      <c r="B39" s="723" t="s">
        <v>2286</v>
      </c>
      <c r="C39" s="721" t="s">
        <v>2247</v>
      </c>
      <c r="D39" s="834"/>
      <c r="E39" s="722">
        <v>120930</v>
      </c>
      <c r="F39" s="722">
        <v>154.99</v>
      </c>
      <c r="G39" s="722">
        <v>0</v>
      </c>
      <c r="H39" s="722">
        <v>516400</v>
      </c>
      <c r="I39" s="722">
        <v>557</v>
      </c>
      <c r="J39" s="831">
        <v>0</v>
      </c>
      <c r="K39" s="1248">
        <v>-0.72062959999999998</v>
      </c>
      <c r="L39" s="1248">
        <v>-0.72062959999999998</v>
      </c>
      <c r="M39" s="1248">
        <v>-0.72062959999999998</v>
      </c>
      <c r="N39" s="1248">
        <v>-1.1001661999999999</v>
      </c>
      <c r="O39" s="1248">
        <v>-1.1001661999999999</v>
      </c>
      <c r="P39" s="1248">
        <v>-1.1001661999999999</v>
      </c>
      <c r="Q39" s="1248">
        <v>-1.19330168</v>
      </c>
      <c r="R39" s="1248">
        <v>-1.19330168</v>
      </c>
      <c r="S39" s="1248">
        <v>-0.44373302000000003</v>
      </c>
      <c r="T39" s="1248">
        <v>-0.29346478000000004</v>
      </c>
      <c r="U39" s="1248">
        <v>-0.29346478000000004</v>
      </c>
      <c r="V39" s="1248">
        <v>-0.27881307</v>
      </c>
      <c r="W39" s="1248">
        <v>-0.34609078000000004</v>
      </c>
      <c r="X39" s="826"/>
      <c r="Y39" s="1251">
        <f t="shared" si="0"/>
        <v>-0.73111978384615395</v>
      </c>
      <c r="Z39" s="832"/>
      <c r="AA39" s="1696" t="s">
        <v>104</v>
      </c>
      <c r="AB39" s="832"/>
      <c r="AC39" s="1252" t="str">
        <f t="shared" si="2"/>
        <v/>
      </c>
      <c r="AD39" s="1252" t="str">
        <f t="shared" si="2"/>
        <v/>
      </c>
      <c r="AE39" s="1252" t="str">
        <f t="shared" si="2"/>
        <v/>
      </c>
      <c r="AF39" s="1252">
        <f t="shared" si="2"/>
        <v>-0.73111978384615395</v>
      </c>
      <c r="AG39" s="617"/>
      <c r="AH39" s="616"/>
      <c r="AI39" s="1695"/>
    </row>
    <row r="40" spans="1:35" s="459" customFormat="1">
      <c r="A40" s="719" t="s">
        <v>2287</v>
      </c>
      <c r="B40" s="723" t="s">
        <v>2288</v>
      </c>
      <c r="C40" s="721" t="s">
        <v>2247</v>
      </c>
      <c r="D40" s="834"/>
      <c r="E40" s="722">
        <v>120932</v>
      </c>
      <c r="F40" s="722">
        <v>154.99</v>
      </c>
      <c r="G40" s="722">
        <v>0</v>
      </c>
      <c r="H40" s="722">
        <v>516900</v>
      </c>
      <c r="I40" s="722" t="s">
        <v>2289</v>
      </c>
      <c r="J40" s="831">
        <v>0</v>
      </c>
      <c r="K40" s="1248">
        <v>-1.85016059</v>
      </c>
      <c r="L40" s="1248">
        <v>-1.85384025</v>
      </c>
      <c r="M40" s="1248">
        <v>-1.8489245600000002</v>
      </c>
      <c r="N40" s="1248">
        <v>-1.3248567199999999</v>
      </c>
      <c r="O40" s="1248">
        <v>-1.30891549</v>
      </c>
      <c r="P40" s="1248">
        <v>-1.43249527</v>
      </c>
      <c r="Q40" s="1248">
        <v>-1.36815756</v>
      </c>
      <c r="R40" s="1248">
        <v>-1.2911755700000001</v>
      </c>
      <c r="S40" s="1248">
        <v>-1.20668193</v>
      </c>
      <c r="T40" s="1248">
        <v>-1.1971965600000001</v>
      </c>
      <c r="U40" s="1248">
        <v>-1.18600083</v>
      </c>
      <c r="V40" s="1248">
        <v>-1.1271898600000001</v>
      </c>
      <c r="W40" s="1248">
        <v>-1.12600608</v>
      </c>
      <c r="X40" s="826">
        <v>0</v>
      </c>
      <c r="Y40" s="1251">
        <f t="shared" si="0"/>
        <v>-1.3939693284615384</v>
      </c>
      <c r="Z40" s="832">
        <v>0</v>
      </c>
      <c r="AA40" s="1696" t="s">
        <v>104</v>
      </c>
      <c r="AB40" s="832">
        <v>0</v>
      </c>
      <c r="AC40" s="1252" t="str">
        <f t="shared" si="2"/>
        <v/>
      </c>
      <c r="AD40" s="1252" t="str">
        <f t="shared" si="2"/>
        <v/>
      </c>
      <c r="AE40" s="1252" t="str">
        <f t="shared" si="2"/>
        <v/>
      </c>
      <c r="AF40" s="1252">
        <f t="shared" si="2"/>
        <v>-1.3939693284615384</v>
      </c>
      <c r="AG40" s="617"/>
      <c r="AH40" s="616"/>
      <c r="AI40" s="1695"/>
    </row>
    <row r="41" spans="1:35" s="459" customFormat="1">
      <c r="A41" s="719" t="s">
        <v>2290</v>
      </c>
      <c r="B41" s="723" t="s">
        <v>2291</v>
      </c>
      <c r="C41" s="721" t="s">
        <v>2247</v>
      </c>
      <c r="D41" s="834"/>
      <c r="E41" s="722">
        <v>120933</v>
      </c>
      <c r="F41" s="722">
        <v>154.99</v>
      </c>
      <c r="G41" s="722">
        <v>0</v>
      </c>
      <c r="H41" s="722">
        <v>516900</v>
      </c>
      <c r="I41" s="722" t="s">
        <v>2289</v>
      </c>
      <c r="J41" s="831">
        <v>0</v>
      </c>
      <c r="K41" s="1248">
        <v>-0.67424117000000006</v>
      </c>
      <c r="L41" s="1248">
        <v>-0.67424117000000006</v>
      </c>
      <c r="M41" s="1248">
        <v>-0.67424117000000006</v>
      </c>
      <c r="N41" s="1248">
        <v>-0.68971598000000001</v>
      </c>
      <c r="O41" s="1248">
        <v>-0.68846297000000001</v>
      </c>
      <c r="P41" s="1248">
        <v>-0.68846297000000001</v>
      </c>
      <c r="Q41" s="1248">
        <v>-0.67802355000000003</v>
      </c>
      <c r="R41" s="1248">
        <v>-0.67802355000000003</v>
      </c>
      <c r="S41" s="1248">
        <v>-0.67802355000000003</v>
      </c>
      <c r="T41" s="1248">
        <v>-0.70528084000000002</v>
      </c>
      <c r="U41" s="1248">
        <v>-0.70528084000000002</v>
      </c>
      <c r="V41" s="1248">
        <v>-0.70528084000000002</v>
      </c>
      <c r="W41" s="1248">
        <v>-0.69036993999999996</v>
      </c>
      <c r="X41" s="826"/>
      <c r="Y41" s="1251">
        <f t="shared" si="0"/>
        <v>-0.68689604153846162</v>
      </c>
      <c r="Z41" s="832"/>
      <c r="AA41" s="1696" t="s">
        <v>104</v>
      </c>
      <c r="AB41" s="832"/>
      <c r="AC41" s="1252" t="str">
        <f t="shared" si="2"/>
        <v/>
      </c>
      <c r="AD41" s="1252" t="str">
        <f t="shared" si="2"/>
        <v/>
      </c>
      <c r="AE41" s="1252" t="str">
        <f t="shared" si="2"/>
        <v/>
      </c>
      <c r="AF41" s="1252">
        <f t="shared" si="2"/>
        <v>-0.68689604153846162</v>
      </c>
      <c r="AG41" s="617"/>
      <c r="AH41" s="616"/>
      <c r="AI41" s="1695"/>
    </row>
    <row r="42" spans="1:35" s="459" customFormat="1">
      <c r="A42" s="719" t="s">
        <v>2292</v>
      </c>
      <c r="B42" s="723" t="s">
        <v>2293</v>
      </c>
      <c r="C42" s="721" t="s">
        <v>2247</v>
      </c>
      <c r="D42" s="834"/>
      <c r="E42" s="722">
        <v>148001</v>
      </c>
      <c r="F42" s="722">
        <v>107</v>
      </c>
      <c r="G42" s="722">
        <v>0</v>
      </c>
      <c r="H42" s="722">
        <v>554990</v>
      </c>
      <c r="I42" s="722" t="s">
        <v>2294</v>
      </c>
      <c r="J42" s="831">
        <v>0</v>
      </c>
      <c r="K42" s="1248">
        <v>-1.53578974</v>
      </c>
      <c r="L42" s="1248">
        <v>-1.4667897400000001</v>
      </c>
      <c r="M42" s="1248">
        <v>-1.51378974</v>
      </c>
      <c r="N42" s="1248">
        <v>-1.71578974</v>
      </c>
      <c r="O42" s="1248">
        <v>-1.7627897399999999</v>
      </c>
      <c r="P42" s="1248">
        <v>-2.2260034200000001</v>
      </c>
      <c r="Q42" s="1248">
        <v>-1.94478974</v>
      </c>
      <c r="R42" s="1248">
        <v>-2.0077897400000002</v>
      </c>
      <c r="S42" s="1248">
        <v>-2.9784449900000003</v>
      </c>
      <c r="T42" s="1248">
        <v>-3.2100685899999997</v>
      </c>
      <c r="U42" s="1248">
        <v>-3.0430685899999999</v>
      </c>
      <c r="V42" s="1248">
        <v>-2.9460685899999999</v>
      </c>
      <c r="W42" s="1248">
        <v>-4.32557261</v>
      </c>
      <c r="X42" s="826">
        <v>0</v>
      </c>
      <c r="Y42" s="1251">
        <f t="shared" si="0"/>
        <v>-2.3597503823076922</v>
      </c>
      <c r="Z42" s="832">
        <v>0</v>
      </c>
      <c r="AA42" s="1696" t="s">
        <v>104</v>
      </c>
      <c r="AB42" s="832">
        <v>0</v>
      </c>
      <c r="AC42" s="1252" t="str">
        <f t="shared" si="2"/>
        <v/>
      </c>
      <c r="AD42" s="1252" t="str">
        <f t="shared" si="2"/>
        <v/>
      </c>
      <c r="AE42" s="1252" t="str">
        <f t="shared" si="2"/>
        <v/>
      </c>
      <c r="AF42" s="1252">
        <f t="shared" si="2"/>
        <v>-2.3597503823076922</v>
      </c>
      <c r="AG42" s="617"/>
      <c r="AH42" s="616"/>
      <c r="AI42" s="1695"/>
    </row>
    <row r="43" spans="1:35" s="459" customFormat="1">
      <c r="A43" s="719" t="s">
        <v>2295</v>
      </c>
      <c r="B43" s="723" t="s">
        <v>2296</v>
      </c>
      <c r="C43" s="721" t="s">
        <v>2247</v>
      </c>
      <c r="D43" s="834"/>
      <c r="E43" s="722">
        <v>162010</v>
      </c>
      <c r="F43" s="722">
        <v>124.9</v>
      </c>
      <c r="G43" s="722">
        <v>0</v>
      </c>
      <c r="H43" s="722">
        <v>550750</v>
      </c>
      <c r="I43" s="722">
        <v>904</v>
      </c>
      <c r="J43" s="831">
        <v>0</v>
      </c>
      <c r="K43" s="1248">
        <v>-0.12461669</v>
      </c>
      <c r="L43" s="1248">
        <v>-0.12461669</v>
      </c>
      <c r="M43" s="1248">
        <v>-0.12461669</v>
      </c>
      <c r="N43" s="1248">
        <v>-0.21331290999999999</v>
      </c>
      <c r="O43" s="1248">
        <v>-0.21331290999999999</v>
      </c>
      <c r="P43" s="1248">
        <v>-0.21331290999999999</v>
      </c>
      <c r="Q43" s="1248">
        <v>-0.23327477999999999</v>
      </c>
      <c r="R43" s="1248">
        <v>-0.33103235999999997</v>
      </c>
      <c r="S43" s="1248">
        <v>-0.32872102000000003</v>
      </c>
      <c r="T43" s="1248">
        <v>-0.36395812999999999</v>
      </c>
      <c r="U43" s="1248">
        <v>-0.36370583000000001</v>
      </c>
      <c r="V43" s="1248">
        <v>-0.36370583000000001</v>
      </c>
      <c r="W43" s="1248">
        <v>-0.27866553000000005</v>
      </c>
      <c r="X43" s="826"/>
      <c r="Y43" s="1251">
        <f t="shared" si="0"/>
        <v>-0.25206555999999997</v>
      </c>
      <c r="Z43" s="832"/>
      <c r="AA43" s="1696" t="s">
        <v>104</v>
      </c>
      <c r="AB43" s="832"/>
      <c r="AC43" s="1252" t="str">
        <f t="shared" si="2"/>
        <v/>
      </c>
      <c r="AD43" s="1252" t="str">
        <f t="shared" si="2"/>
        <v/>
      </c>
      <c r="AE43" s="1252" t="str">
        <f t="shared" si="2"/>
        <v/>
      </c>
      <c r="AF43" s="1252">
        <f t="shared" si="2"/>
        <v>-0.25206555999999997</v>
      </c>
      <c r="AG43" s="617"/>
      <c r="AH43" s="616"/>
      <c r="AI43" s="1695"/>
    </row>
    <row r="44" spans="1:35" s="459" customFormat="1">
      <c r="A44" s="1593"/>
      <c r="B44" s="723"/>
      <c r="C44" s="721"/>
      <c r="D44" s="834"/>
      <c r="E44" s="722"/>
      <c r="F44" s="722"/>
      <c r="G44" s="722"/>
      <c r="H44" s="722"/>
      <c r="I44" s="722"/>
      <c r="J44" s="831"/>
      <c r="K44" s="1248"/>
      <c r="L44" s="1248"/>
      <c r="M44" s="1248"/>
      <c r="N44" s="1248"/>
      <c r="O44" s="1248"/>
      <c r="P44" s="1248"/>
      <c r="Q44" s="1248"/>
      <c r="R44" s="1248"/>
      <c r="S44" s="1248"/>
      <c r="T44" s="1248"/>
      <c r="U44" s="1248"/>
      <c r="V44" s="1248"/>
      <c r="W44" s="1248"/>
      <c r="X44" s="826"/>
      <c r="Y44" s="1251"/>
      <c r="Z44" s="832"/>
      <c r="AA44" s="1696"/>
      <c r="AB44" s="832"/>
      <c r="AC44" s="1252" t="str">
        <f t="shared" si="2"/>
        <v/>
      </c>
      <c r="AD44" s="1252" t="str">
        <f t="shared" si="2"/>
        <v/>
      </c>
      <c r="AE44" s="1252" t="str">
        <f t="shared" si="2"/>
        <v/>
      </c>
      <c r="AF44" s="1252" t="str">
        <f t="shared" si="2"/>
        <v/>
      </c>
      <c r="AG44" s="617"/>
      <c r="AH44" s="616"/>
      <c r="AI44" s="1695"/>
    </row>
    <row r="45" spans="1:35" s="459" customFormat="1">
      <c r="A45" s="719" t="s">
        <v>2297</v>
      </c>
      <c r="B45" s="723" t="s">
        <v>2298</v>
      </c>
      <c r="C45" s="721" t="s">
        <v>2247</v>
      </c>
      <c r="D45" s="834"/>
      <c r="E45" s="722">
        <v>210649</v>
      </c>
      <c r="F45" s="722">
        <v>232</v>
      </c>
      <c r="G45" s="722">
        <v>0</v>
      </c>
      <c r="H45" s="722">
        <v>515100</v>
      </c>
      <c r="I45" s="722">
        <v>501.1</v>
      </c>
      <c r="J45" s="831">
        <v>0</v>
      </c>
      <c r="K45" s="1248">
        <v>0</v>
      </c>
      <c r="L45" s="1248">
        <v>0</v>
      </c>
      <c r="M45" s="1248">
        <v>0</v>
      </c>
      <c r="N45" s="1248">
        <v>0</v>
      </c>
      <c r="O45" s="1248">
        <v>0</v>
      </c>
      <c r="P45" s="1248">
        <v>0</v>
      </c>
      <c r="Q45" s="1248">
        <v>0</v>
      </c>
      <c r="R45" s="1248">
        <v>0</v>
      </c>
      <c r="S45" s="1248">
        <v>0</v>
      </c>
      <c r="T45" s="1248">
        <v>0</v>
      </c>
      <c r="U45" s="1248">
        <v>0</v>
      </c>
      <c r="V45" s="1248">
        <v>0</v>
      </c>
      <c r="W45" s="1248">
        <v>0</v>
      </c>
      <c r="X45" s="826">
        <v>0</v>
      </c>
      <c r="Y45" s="1251">
        <f t="shared" si="0"/>
        <v>0</v>
      </c>
      <c r="Z45" s="832">
        <v>0</v>
      </c>
      <c r="AA45" s="1696" t="s">
        <v>104</v>
      </c>
      <c r="AB45" s="832">
        <v>0</v>
      </c>
      <c r="AC45" s="1252" t="str">
        <f t="shared" si="2"/>
        <v/>
      </c>
      <c r="AD45" s="1252" t="str">
        <f t="shared" si="2"/>
        <v/>
      </c>
      <c r="AE45" s="1252" t="str">
        <f t="shared" si="2"/>
        <v/>
      </c>
      <c r="AF45" s="1252">
        <f t="shared" si="2"/>
        <v>0</v>
      </c>
      <c r="AG45" s="617"/>
      <c r="AH45" s="616"/>
      <c r="AI45" s="1695"/>
    </row>
    <row r="46" spans="1:35" s="459" customFormat="1">
      <c r="A46" s="1593"/>
      <c r="B46" s="723"/>
      <c r="C46" s="721"/>
      <c r="D46" s="834"/>
      <c r="E46" s="722"/>
      <c r="F46" s="722"/>
      <c r="G46" s="722"/>
      <c r="H46" s="722"/>
      <c r="I46" s="722"/>
      <c r="J46" s="831"/>
      <c r="K46" s="1248"/>
      <c r="L46" s="1248"/>
      <c r="M46" s="1248"/>
      <c r="N46" s="1248"/>
      <c r="O46" s="1248"/>
      <c r="P46" s="1248"/>
      <c r="Q46" s="1248"/>
      <c r="R46" s="1248"/>
      <c r="S46" s="1248"/>
      <c r="T46" s="1248"/>
      <c r="U46" s="1248"/>
      <c r="V46" s="1248"/>
      <c r="W46" s="1248"/>
      <c r="X46" s="826"/>
      <c r="Y46" s="1251"/>
      <c r="Z46" s="832"/>
      <c r="AA46" s="1696"/>
      <c r="AB46" s="832"/>
      <c r="AC46" s="1252" t="str">
        <f t="shared" si="2"/>
        <v/>
      </c>
      <c r="AD46" s="1252" t="str">
        <f t="shared" si="2"/>
        <v/>
      </c>
      <c r="AE46" s="1252" t="str">
        <f t="shared" si="2"/>
        <v/>
      </c>
      <c r="AF46" s="1252" t="str">
        <f t="shared" si="2"/>
        <v/>
      </c>
      <c r="AG46" s="617"/>
      <c r="AH46" s="616"/>
      <c r="AI46" s="1695"/>
    </row>
    <row r="47" spans="1:35" s="459" customFormat="1">
      <c r="A47" s="1593" t="s">
        <v>2299</v>
      </c>
      <c r="B47" s="723" t="s">
        <v>2281</v>
      </c>
      <c r="C47" s="721" t="s">
        <v>2247</v>
      </c>
      <c r="D47" s="834"/>
      <c r="E47" s="722">
        <v>235190</v>
      </c>
      <c r="F47" s="722">
        <v>232</v>
      </c>
      <c r="G47" s="722">
        <v>0</v>
      </c>
      <c r="H47" s="722">
        <v>500700</v>
      </c>
      <c r="I47" s="722">
        <v>920</v>
      </c>
      <c r="J47" s="831">
        <v>0</v>
      </c>
      <c r="K47" s="1248">
        <v>-0.35526214</v>
      </c>
      <c r="L47" s="1248">
        <v>-0.29014471999999997</v>
      </c>
      <c r="M47" s="1248">
        <v>-0.28368862</v>
      </c>
      <c r="N47" s="1248">
        <v>-0.26481521999999996</v>
      </c>
      <c r="O47" s="1248">
        <v>-0.26258269000000001</v>
      </c>
      <c r="P47" s="1248">
        <v>-0.25811762999999999</v>
      </c>
      <c r="Q47" s="1248">
        <v>-0.26958678000000003</v>
      </c>
      <c r="R47" s="1248">
        <v>-0.26675696999999998</v>
      </c>
      <c r="S47" s="1248">
        <v>-0.27946768</v>
      </c>
      <c r="T47" s="1248">
        <v>-0.26473092999999998</v>
      </c>
      <c r="U47" s="1248">
        <v>-0.25674382000000001</v>
      </c>
      <c r="V47" s="1248">
        <v>-0.25674382000000001</v>
      </c>
      <c r="W47" s="1248">
        <v>-0.99753468999999995</v>
      </c>
      <c r="X47" s="826">
        <v>0</v>
      </c>
      <c r="Y47" s="1251">
        <f t="shared" si="0"/>
        <v>-0.33124428538461537</v>
      </c>
      <c r="Z47" s="832">
        <v>0</v>
      </c>
      <c r="AA47" s="1696" t="s">
        <v>63</v>
      </c>
      <c r="AB47" s="832">
        <v>0</v>
      </c>
      <c r="AC47" s="1252" t="str">
        <f t="shared" si="2"/>
        <v/>
      </c>
      <c r="AD47" s="1252" t="str">
        <f t="shared" si="2"/>
        <v/>
      </c>
      <c r="AE47" s="1252">
        <f t="shared" si="2"/>
        <v>-0.33124428538461537</v>
      </c>
      <c r="AF47" s="1252" t="str">
        <f t="shared" si="2"/>
        <v/>
      </c>
      <c r="AG47" s="617"/>
      <c r="AH47" s="616"/>
      <c r="AI47" s="1695"/>
    </row>
    <row r="48" spans="1:35" s="459" customFormat="1">
      <c r="A48" s="1593" t="s">
        <v>2300</v>
      </c>
      <c r="B48" s="723" t="s">
        <v>2301</v>
      </c>
      <c r="C48" s="721" t="s">
        <v>2247</v>
      </c>
      <c r="D48" s="834"/>
      <c r="E48" s="722">
        <v>235510</v>
      </c>
      <c r="F48" s="722">
        <v>232</v>
      </c>
      <c r="G48" s="722">
        <v>0</v>
      </c>
      <c r="H48" s="722">
        <v>500410</v>
      </c>
      <c r="I48" s="722" t="s">
        <v>2302</v>
      </c>
      <c r="J48" s="831">
        <v>0</v>
      </c>
      <c r="K48" s="1248">
        <v>-0.2</v>
      </c>
      <c r="L48" s="1248">
        <v>-2.6744571100000001</v>
      </c>
      <c r="M48" s="1248">
        <v>-5.39227641</v>
      </c>
      <c r="N48" s="1248">
        <v>-8.0026688499999992</v>
      </c>
      <c r="O48" s="1248">
        <v>-10.6351016</v>
      </c>
      <c r="P48" s="1248">
        <v>-13.19655991</v>
      </c>
      <c r="Q48" s="1248">
        <v>-15.83347732</v>
      </c>
      <c r="R48" s="1248">
        <v>-18.36474977</v>
      </c>
      <c r="S48" s="1248">
        <v>-20.942767739999997</v>
      </c>
      <c r="T48" s="1248">
        <v>-23.810967640000001</v>
      </c>
      <c r="U48" s="1248">
        <v>-23.550422179999998</v>
      </c>
      <c r="V48" s="1248">
        <v>-25.98315663</v>
      </c>
      <c r="W48" s="1248">
        <v>-1.512E-2</v>
      </c>
      <c r="X48" s="826"/>
      <c r="Y48" s="1251">
        <f t="shared" si="0"/>
        <v>-12.969363473846151</v>
      </c>
      <c r="Z48" s="832"/>
      <c r="AA48" s="1696" t="s">
        <v>63</v>
      </c>
      <c r="AB48" s="832"/>
      <c r="AC48" s="1252" t="str">
        <f t="shared" si="2"/>
        <v/>
      </c>
      <c r="AD48" s="1252" t="str">
        <f t="shared" si="2"/>
        <v/>
      </c>
      <c r="AE48" s="1252">
        <f t="shared" si="2"/>
        <v>-12.969363473846151</v>
      </c>
      <c r="AF48" s="1252" t="str">
        <f t="shared" si="2"/>
        <v/>
      </c>
      <c r="AG48" s="617"/>
      <c r="AH48" s="616"/>
      <c r="AI48" s="1695"/>
    </row>
    <row r="49" spans="1:35" s="459" customFormat="1">
      <c r="A49" s="1593" t="s">
        <v>2303</v>
      </c>
      <c r="B49" s="723" t="s">
        <v>2301</v>
      </c>
      <c r="C49" s="721" t="s">
        <v>2247</v>
      </c>
      <c r="D49" s="834"/>
      <c r="E49" s="722">
        <v>215078</v>
      </c>
      <c r="F49" s="722">
        <v>232</v>
      </c>
      <c r="G49" s="722">
        <v>0</v>
      </c>
      <c r="H49" s="722">
        <v>501250</v>
      </c>
      <c r="I49" s="722" t="s">
        <v>2302</v>
      </c>
      <c r="J49" s="831">
        <v>0</v>
      </c>
      <c r="K49" s="1248">
        <v>-1.7900911499999999</v>
      </c>
      <c r="L49" s="1248">
        <v>-2.0514001500000001</v>
      </c>
      <c r="M49" s="1248">
        <v>-0.41283803000000002</v>
      </c>
      <c r="N49" s="1248">
        <v>-0.49761308000000004</v>
      </c>
      <c r="O49" s="1248">
        <v>-0.72733133999999999</v>
      </c>
      <c r="P49" s="1248">
        <v>-0.88960028000000002</v>
      </c>
      <c r="Q49" s="1248">
        <v>-0.93813223999999995</v>
      </c>
      <c r="R49" s="1248">
        <v>-1.1675931899999998</v>
      </c>
      <c r="S49" s="1248">
        <v>-1.3145769700000001</v>
      </c>
      <c r="T49" s="1248">
        <v>-1.4585594499999999</v>
      </c>
      <c r="U49" s="1248">
        <v>-1.60674947</v>
      </c>
      <c r="V49" s="1248">
        <v>-1.73811505</v>
      </c>
      <c r="W49" s="1248">
        <v>-1.79080613</v>
      </c>
      <c r="X49" s="826">
        <v>0</v>
      </c>
      <c r="Y49" s="1251">
        <f t="shared" si="0"/>
        <v>-1.2602620407692309</v>
      </c>
      <c r="Z49" s="832">
        <v>0</v>
      </c>
      <c r="AA49" s="1696" t="s">
        <v>63</v>
      </c>
      <c r="AB49" s="832">
        <v>0</v>
      </c>
      <c r="AC49" s="1252" t="str">
        <f t="shared" si="2"/>
        <v/>
      </c>
      <c r="AD49" s="1252" t="str">
        <f t="shared" si="2"/>
        <v/>
      </c>
      <c r="AE49" s="1252">
        <f t="shared" si="2"/>
        <v>-1.2602620407692309</v>
      </c>
      <c r="AF49" s="1252" t="str">
        <f t="shared" si="2"/>
        <v/>
      </c>
      <c r="AG49" s="617"/>
      <c r="AH49" s="616"/>
      <c r="AI49" s="1695"/>
    </row>
    <row r="50" spans="1:35" s="459" customFormat="1">
      <c r="A50" s="1593" t="s">
        <v>2304</v>
      </c>
      <c r="B50" s="723" t="s">
        <v>2301</v>
      </c>
      <c r="C50" s="721" t="s">
        <v>2247</v>
      </c>
      <c r="D50" s="834"/>
      <c r="E50" s="722">
        <v>235599</v>
      </c>
      <c r="F50" s="722">
        <v>232</v>
      </c>
      <c r="G50" s="722">
        <v>0</v>
      </c>
      <c r="H50" s="722">
        <v>500400</v>
      </c>
      <c r="I50" s="722" t="s">
        <v>2302</v>
      </c>
      <c r="J50" s="831">
        <v>0</v>
      </c>
      <c r="K50" s="1248">
        <v>-2.7763</v>
      </c>
      <c r="L50" s="1248">
        <v>-0.43805006000000002</v>
      </c>
      <c r="M50" s="1248">
        <v>-0.65013334</v>
      </c>
      <c r="N50" s="1248">
        <v>-0.86255000000000004</v>
      </c>
      <c r="O50" s="1248">
        <v>-1.0714666799999999</v>
      </c>
      <c r="P50" s="1248">
        <v>-0.75357085999999995</v>
      </c>
      <c r="Q50" s="1248">
        <v>-0.85755000000000003</v>
      </c>
      <c r="R50" s="1248">
        <v>-0.96165406000000009</v>
      </c>
      <c r="S50" s="1248">
        <v>-1.0648001299999998</v>
      </c>
      <c r="T50" s="1248">
        <v>-1.1652374999999999</v>
      </c>
      <c r="U50" s="1248">
        <v>-1.26596654</v>
      </c>
      <c r="V50" s="1248">
        <v>-1.3655292299999999</v>
      </c>
      <c r="W50" s="1248">
        <v>-1.4680500000000001</v>
      </c>
      <c r="X50" s="826">
        <v>0</v>
      </c>
      <c r="Y50" s="1251">
        <f t="shared" si="0"/>
        <v>-1.1308352615384616</v>
      </c>
      <c r="Z50" s="832">
        <v>0</v>
      </c>
      <c r="AA50" s="1696" t="s">
        <v>63</v>
      </c>
      <c r="AB50" s="832">
        <v>0</v>
      </c>
      <c r="AC50" s="1252" t="str">
        <f t="shared" si="2"/>
        <v/>
      </c>
      <c r="AD50" s="1252" t="str">
        <f t="shared" si="2"/>
        <v/>
      </c>
      <c r="AE50" s="1252">
        <f t="shared" si="2"/>
        <v>-1.1308352615384616</v>
      </c>
      <c r="AF50" s="1252" t="str">
        <f t="shared" si="2"/>
        <v/>
      </c>
      <c r="AG50" s="617"/>
      <c r="AH50" s="616"/>
      <c r="AI50" s="1695"/>
    </row>
    <row r="51" spans="1:35" s="459" customFormat="1" ht="28.5" customHeight="1">
      <c r="A51" s="2446" t="s">
        <v>2305</v>
      </c>
      <c r="B51" s="723" t="s">
        <v>2306</v>
      </c>
      <c r="C51" s="721" t="s">
        <v>2307</v>
      </c>
      <c r="D51" s="834"/>
      <c r="E51" s="722">
        <v>289000</v>
      </c>
      <c r="F51" s="722">
        <v>253.99</v>
      </c>
      <c r="G51" s="722">
        <v>0</v>
      </c>
      <c r="H51" s="722">
        <v>550500</v>
      </c>
      <c r="I51" s="722">
        <v>921</v>
      </c>
      <c r="J51" s="831">
        <v>0</v>
      </c>
      <c r="K51" s="1248">
        <v>0</v>
      </c>
      <c r="L51" s="1248">
        <v>0</v>
      </c>
      <c r="M51" s="1248">
        <v>0</v>
      </c>
      <c r="N51" s="1248">
        <v>0</v>
      </c>
      <c r="O51" s="1248">
        <v>-9.4402390000000003E-2</v>
      </c>
      <c r="P51" s="1248">
        <v>0</v>
      </c>
      <c r="Q51" s="1248">
        <v>0</v>
      </c>
      <c r="R51" s="1248">
        <v>0</v>
      </c>
      <c r="S51" s="1248">
        <v>0</v>
      </c>
      <c r="T51" s="1248">
        <v>0</v>
      </c>
      <c r="U51" s="1248">
        <v>0</v>
      </c>
      <c r="V51" s="1248">
        <v>0</v>
      </c>
      <c r="W51" s="1248">
        <v>0</v>
      </c>
      <c r="X51" s="826">
        <v>0</v>
      </c>
      <c r="Y51" s="1251">
        <f t="shared" si="0"/>
        <v>-7.2617223076923082E-3</v>
      </c>
      <c r="Z51" s="832">
        <v>0</v>
      </c>
      <c r="AA51" s="1696" t="s">
        <v>63</v>
      </c>
      <c r="AB51" s="832">
        <v>0</v>
      </c>
      <c r="AC51" s="1252" t="str">
        <f t="shared" si="2"/>
        <v/>
      </c>
      <c r="AD51" s="1252" t="str">
        <f t="shared" si="2"/>
        <v/>
      </c>
      <c r="AE51" s="1252">
        <f t="shared" si="2"/>
        <v>-7.2617223076923082E-3</v>
      </c>
      <c r="AF51" s="1252" t="str">
        <f t="shared" si="2"/>
        <v/>
      </c>
      <c r="AG51" s="617"/>
      <c r="AH51" s="616"/>
      <c r="AI51" s="1695"/>
    </row>
    <row r="52" spans="1:35" s="459" customFormat="1" ht="38.25">
      <c r="A52" s="719" t="s">
        <v>2308</v>
      </c>
      <c r="B52" s="723" t="s">
        <v>2309</v>
      </c>
      <c r="C52" s="721" t="s">
        <v>2310</v>
      </c>
      <c r="D52" s="834"/>
      <c r="E52" s="722">
        <v>288601</v>
      </c>
      <c r="F52" s="722">
        <v>253.99</v>
      </c>
      <c r="G52" s="722">
        <v>0</v>
      </c>
      <c r="H52" s="722">
        <v>140709</v>
      </c>
      <c r="I52" s="722">
        <v>102</v>
      </c>
      <c r="J52" s="831">
        <v>0</v>
      </c>
      <c r="K52" s="1248">
        <v>0</v>
      </c>
      <c r="L52" s="1248">
        <v>0</v>
      </c>
      <c r="M52" s="1248">
        <v>0</v>
      </c>
      <c r="N52" s="1248">
        <v>0</v>
      </c>
      <c r="O52" s="1248">
        <v>0</v>
      </c>
      <c r="P52" s="1248">
        <v>0</v>
      </c>
      <c r="Q52" s="1248">
        <v>0</v>
      </c>
      <c r="R52" s="1248">
        <v>0</v>
      </c>
      <c r="S52" s="1248">
        <v>0</v>
      </c>
      <c r="T52" s="1248">
        <v>0</v>
      </c>
      <c r="U52" s="1248">
        <v>0</v>
      </c>
      <c r="V52" s="1248">
        <v>0</v>
      </c>
      <c r="W52" s="1248">
        <v>0</v>
      </c>
      <c r="X52" s="826"/>
      <c r="Y52" s="1251">
        <f t="shared" si="0"/>
        <v>0</v>
      </c>
      <c r="Z52" s="832"/>
      <c r="AA52" s="1696" t="s">
        <v>104</v>
      </c>
      <c r="AB52" s="832"/>
      <c r="AC52" s="1252" t="str">
        <f t="shared" si="2"/>
        <v/>
      </c>
      <c r="AD52" s="1252" t="str">
        <f t="shared" si="2"/>
        <v/>
      </c>
      <c r="AE52" s="1252" t="str">
        <f t="shared" si="2"/>
        <v/>
      </c>
      <c r="AF52" s="1252">
        <f t="shared" si="2"/>
        <v>0</v>
      </c>
      <c r="AG52" s="617"/>
      <c r="AH52" s="616"/>
      <c r="AI52" s="1695"/>
    </row>
    <row r="53" spans="1:35" s="459" customFormat="1" ht="38.25">
      <c r="A53" s="719" t="s">
        <v>2311</v>
      </c>
      <c r="B53" s="723" t="s">
        <v>2309</v>
      </c>
      <c r="C53" s="721" t="s">
        <v>2310</v>
      </c>
      <c r="D53" s="834"/>
      <c r="E53" s="722">
        <v>288602</v>
      </c>
      <c r="F53" s="722">
        <v>253.99</v>
      </c>
      <c r="G53" s="722">
        <v>0</v>
      </c>
      <c r="H53" s="722">
        <v>140709</v>
      </c>
      <c r="I53" s="722">
        <v>102</v>
      </c>
      <c r="J53" s="831">
        <v>0</v>
      </c>
      <c r="K53" s="1248">
        <v>0</v>
      </c>
      <c r="L53" s="1248">
        <v>0</v>
      </c>
      <c r="M53" s="1248">
        <v>0</v>
      </c>
      <c r="N53" s="1248">
        <v>0</v>
      </c>
      <c r="O53" s="1248">
        <v>0</v>
      </c>
      <c r="P53" s="1248">
        <v>0</v>
      </c>
      <c r="Q53" s="1248">
        <v>0</v>
      </c>
      <c r="R53" s="1248">
        <v>0</v>
      </c>
      <c r="S53" s="1248">
        <v>0</v>
      </c>
      <c r="T53" s="1248">
        <v>0</v>
      </c>
      <c r="U53" s="1248">
        <v>0</v>
      </c>
      <c r="V53" s="1248">
        <v>0</v>
      </c>
      <c r="W53" s="1248">
        <v>0</v>
      </c>
      <c r="X53" s="826">
        <v>0</v>
      </c>
      <c r="Y53" s="1251">
        <f t="shared" si="0"/>
        <v>0</v>
      </c>
      <c r="Z53" s="832">
        <v>0</v>
      </c>
      <c r="AA53" s="1696" t="s">
        <v>104</v>
      </c>
      <c r="AB53" s="832">
        <v>0</v>
      </c>
      <c r="AC53" s="1252" t="str">
        <f t="shared" si="2"/>
        <v/>
      </c>
      <c r="AD53" s="1252" t="str">
        <f t="shared" si="2"/>
        <v/>
      </c>
      <c r="AE53" s="1252" t="str">
        <f t="shared" si="2"/>
        <v/>
      </c>
      <c r="AF53" s="1252">
        <f t="shared" si="2"/>
        <v>0</v>
      </c>
      <c r="AG53" s="617"/>
      <c r="AH53" s="616"/>
      <c r="AI53" s="1695"/>
    </row>
    <row r="54" spans="1:35" s="459" customFormat="1" ht="38.25">
      <c r="A54" s="719" t="s">
        <v>2312</v>
      </c>
      <c r="B54" s="723" t="s">
        <v>2309</v>
      </c>
      <c r="C54" s="721" t="s">
        <v>2310</v>
      </c>
      <c r="D54" s="834"/>
      <c r="E54" s="722">
        <v>288603</v>
      </c>
      <c r="F54" s="722">
        <v>253.99</v>
      </c>
      <c r="G54" s="722">
        <v>0</v>
      </c>
      <c r="H54" s="722">
        <v>140709</v>
      </c>
      <c r="I54" s="722">
        <v>102</v>
      </c>
      <c r="J54" s="831">
        <v>0</v>
      </c>
      <c r="K54" s="1248">
        <v>0</v>
      </c>
      <c r="L54" s="1248">
        <v>0</v>
      </c>
      <c r="M54" s="1248">
        <v>0</v>
      </c>
      <c r="N54" s="1248">
        <v>0</v>
      </c>
      <c r="O54" s="1248">
        <v>0</v>
      </c>
      <c r="P54" s="1248">
        <v>0</v>
      </c>
      <c r="Q54" s="1248">
        <v>0</v>
      </c>
      <c r="R54" s="1248">
        <v>0</v>
      </c>
      <c r="S54" s="1248">
        <v>0</v>
      </c>
      <c r="T54" s="1248">
        <v>0</v>
      </c>
      <c r="U54" s="1248">
        <v>0</v>
      </c>
      <c r="V54" s="1248">
        <v>0</v>
      </c>
      <c r="W54" s="1248">
        <v>0</v>
      </c>
      <c r="X54" s="826">
        <v>0</v>
      </c>
      <c r="Y54" s="1251">
        <f t="shared" si="0"/>
        <v>0</v>
      </c>
      <c r="Z54" s="832">
        <v>0</v>
      </c>
      <c r="AA54" s="1696" t="s">
        <v>104</v>
      </c>
      <c r="AB54" s="832">
        <v>0</v>
      </c>
      <c r="AC54" s="1252" t="str">
        <f t="shared" si="2"/>
        <v/>
      </c>
      <c r="AD54" s="1252" t="str">
        <f t="shared" si="2"/>
        <v/>
      </c>
      <c r="AE54" s="1252" t="str">
        <f t="shared" si="2"/>
        <v/>
      </c>
      <c r="AF54" s="1252">
        <f t="shared" si="2"/>
        <v>0</v>
      </c>
      <c r="AG54" s="617"/>
      <c r="AH54" s="616"/>
      <c r="AI54" s="1695"/>
    </row>
    <row r="55" spans="1:35" s="459" customFormat="1">
      <c r="A55" s="1593"/>
      <c r="B55" s="723"/>
      <c r="C55" s="721"/>
      <c r="D55" s="834"/>
      <c r="E55" s="722"/>
      <c r="F55" s="722"/>
      <c r="G55" s="722"/>
      <c r="H55" s="722"/>
      <c r="I55" s="722"/>
      <c r="J55" s="831"/>
      <c r="K55" s="1248"/>
      <c r="L55" s="1248"/>
      <c r="M55" s="1248"/>
      <c r="N55" s="1248"/>
      <c r="O55" s="1248"/>
      <c r="P55" s="1248"/>
      <c r="Q55" s="1248"/>
      <c r="R55" s="1248"/>
      <c r="S55" s="1248"/>
      <c r="T55" s="1248"/>
      <c r="U55" s="1248"/>
      <c r="V55" s="1248"/>
      <c r="W55" s="1248"/>
      <c r="X55" s="826"/>
      <c r="Y55" s="1251"/>
      <c r="Z55" s="832"/>
      <c r="AA55" s="1696"/>
      <c r="AB55" s="832"/>
      <c r="AC55" s="1252" t="str">
        <f t="shared" si="2"/>
        <v/>
      </c>
      <c r="AD55" s="1252" t="str">
        <f t="shared" si="2"/>
        <v/>
      </c>
      <c r="AE55" s="1252" t="str">
        <f t="shared" si="2"/>
        <v/>
      </c>
      <c r="AF55" s="1252" t="str">
        <f t="shared" si="2"/>
        <v/>
      </c>
      <c r="AG55" s="617"/>
      <c r="AH55" s="616"/>
      <c r="AI55" s="1695"/>
    </row>
    <row r="56" spans="1:35" s="459" customFormat="1">
      <c r="A56" s="1593" t="s">
        <v>2313</v>
      </c>
      <c r="B56" s="723" t="s">
        <v>2314</v>
      </c>
      <c r="C56" s="721" t="s">
        <v>2247</v>
      </c>
      <c r="D56" s="834"/>
      <c r="E56" s="722">
        <v>248181</v>
      </c>
      <c r="F56" s="722">
        <v>242</v>
      </c>
      <c r="G56" s="722">
        <v>0</v>
      </c>
      <c r="H56" s="722">
        <v>500515</v>
      </c>
      <c r="I56" s="722" t="s">
        <v>2302</v>
      </c>
      <c r="J56" s="831">
        <v>0</v>
      </c>
      <c r="K56" s="1248">
        <v>-2.6495273900000003</v>
      </c>
      <c r="L56" s="1248">
        <v>-3.2328006299999998</v>
      </c>
      <c r="M56" s="1248">
        <v>-3.6751323999999999</v>
      </c>
      <c r="N56" s="1248">
        <v>-3.9520373700000002</v>
      </c>
      <c r="O56" s="1248">
        <v>-4.2083052599999995</v>
      </c>
      <c r="P56" s="1248">
        <v>-4.2891945499999995</v>
      </c>
      <c r="Q56" s="1248">
        <v>-4.3477222900000001</v>
      </c>
      <c r="R56" s="1248">
        <v>-4.0318418100000004</v>
      </c>
      <c r="S56" s="1248">
        <v>-3.87704308</v>
      </c>
      <c r="T56" s="1248">
        <v>-3.8247865000000001</v>
      </c>
      <c r="U56" s="1248">
        <v>-3.5813494599999998</v>
      </c>
      <c r="V56" s="1248">
        <v>-3.4043846699999998</v>
      </c>
      <c r="W56" s="1248">
        <v>-2.7728606200000003</v>
      </c>
      <c r="X56" s="826">
        <v>0</v>
      </c>
      <c r="Y56" s="1251">
        <f t="shared" si="0"/>
        <v>-3.6805373869230769</v>
      </c>
      <c r="Z56" s="832">
        <v>0</v>
      </c>
      <c r="AA56" s="1696" t="s">
        <v>63</v>
      </c>
      <c r="AB56" s="832">
        <v>0</v>
      </c>
      <c r="AC56" s="1252" t="str">
        <f t="shared" si="2"/>
        <v/>
      </c>
      <c r="AD56" s="1252" t="str">
        <f t="shared" si="2"/>
        <v/>
      </c>
      <c r="AE56" s="1252">
        <f t="shared" si="2"/>
        <v>-3.6805373869230769</v>
      </c>
      <c r="AF56" s="1252" t="str">
        <f t="shared" si="2"/>
        <v/>
      </c>
      <c r="AG56" s="617"/>
      <c r="AH56" s="616"/>
      <c r="AI56" s="1695"/>
    </row>
    <row r="57" spans="1:35" s="459" customFormat="1">
      <c r="A57" s="1593" t="s">
        <v>2315</v>
      </c>
      <c r="B57" s="723" t="s">
        <v>2314</v>
      </c>
      <c r="C57" s="721" t="s">
        <v>2247</v>
      </c>
      <c r="D57" s="834"/>
      <c r="E57" s="722">
        <v>248182</v>
      </c>
      <c r="F57" s="722">
        <v>242</v>
      </c>
      <c r="G57" s="722">
        <v>0</v>
      </c>
      <c r="H57" s="722">
        <v>500517</v>
      </c>
      <c r="I57" s="722" t="s">
        <v>2302</v>
      </c>
      <c r="J57" s="831">
        <v>0</v>
      </c>
      <c r="K57" s="1248">
        <v>-1.7782873899999998</v>
      </c>
      <c r="L57" s="1248">
        <v>-1.91916785</v>
      </c>
      <c r="M57" s="1248">
        <v>-2.0312274299999999</v>
      </c>
      <c r="N57" s="1248">
        <v>-2.1036563500000001</v>
      </c>
      <c r="O57" s="1248">
        <v>-2.1497096499999997</v>
      </c>
      <c r="P57" s="1248">
        <v>-2.1730576400000001</v>
      </c>
      <c r="Q57" s="1248">
        <v>-2.1809876200000002</v>
      </c>
      <c r="R57" s="1248">
        <v>-2.05523956</v>
      </c>
      <c r="S57" s="1248">
        <v>-1.97038863</v>
      </c>
      <c r="T57" s="1248">
        <v>-1.8881019699999999</v>
      </c>
      <c r="U57" s="1248">
        <v>-1.8587856299999999</v>
      </c>
      <c r="V57" s="1248">
        <v>-1.8386973799999999</v>
      </c>
      <c r="W57" s="1248">
        <v>-1.7394851299999998</v>
      </c>
      <c r="X57" s="826"/>
      <c r="Y57" s="1251">
        <f t="shared" si="0"/>
        <v>-1.9759070946153843</v>
      </c>
      <c r="Z57" s="832"/>
      <c r="AA57" s="1696" t="s">
        <v>63</v>
      </c>
      <c r="AB57" s="832"/>
      <c r="AC57" s="1252" t="str">
        <f t="shared" si="2"/>
        <v/>
      </c>
      <c r="AD57" s="1252" t="str">
        <f t="shared" si="2"/>
        <v/>
      </c>
      <c r="AE57" s="1252">
        <f t="shared" si="2"/>
        <v>-1.9759070946153843</v>
      </c>
      <c r="AF57" s="1252" t="str">
        <f t="shared" si="2"/>
        <v/>
      </c>
      <c r="AG57" s="617"/>
      <c r="AH57" s="616"/>
      <c r="AI57" s="1695"/>
    </row>
    <row r="58" spans="1:35" s="459" customFormat="1">
      <c r="A58" s="1593" t="s">
        <v>2316</v>
      </c>
      <c r="B58" s="723" t="s">
        <v>2314</v>
      </c>
      <c r="C58" s="721" t="s">
        <v>2247</v>
      </c>
      <c r="D58" s="834"/>
      <c r="E58" s="722">
        <v>248183</v>
      </c>
      <c r="F58" s="722">
        <v>242</v>
      </c>
      <c r="G58" s="722">
        <v>0</v>
      </c>
      <c r="H58" s="722">
        <v>500520</v>
      </c>
      <c r="I58" s="722" t="s">
        <v>2302</v>
      </c>
      <c r="J58" s="831">
        <v>0</v>
      </c>
      <c r="K58" s="1248">
        <v>-2.0838102699999999</v>
      </c>
      <c r="L58" s="1248">
        <v>-2.20875668</v>
      </c>
      <c r="M58" s="1248">
        <v>-2.3323869900000003</v>
      </c>
      <c r="N58" s="1248">
        <v>-2.3820554300000003</v>
      </c>
      <c r="O58" s="1248">
        <v>-2.4888848299999999</v>
      </c>
      <c r="P58" s="1248">
        <v>-2.44219271</v>
      </c>
      <c r="Q58" s="1248">
        <v>-2.4400151000000001</v>
      </c>
      <c r="R58" s="1248">
        <v>-2.3633753799999999</v>
      </c>
      <c r="S58" s="1248">
        <v>-2.25157498</v>
      </c>
      <c r="T58" s="1248">
        <v>-2.2519392099999997</v>
      </c>
      <c r="U58" s="1248">
        <v>-2.2168879100000001</v>
      </c>
      <c r="V58" s="1248">
        <v>-2.1606326600000001</v>
      </c>
      <c r="W58" s="1248">
        <v>-2.0681887699999999</v>
      </c>
      <c r="X58" s="826">
        <v>0</v>
      </c>
      <c r="Y58" s="1251">
        <f t="shared" si="0"/>
        <v>-2.283900070769231</v>
      </c>
      <c r="Z58" s="832">
        <v>0</v>
      </c>
      <c r="AA58" s="1696" t="s">
        <v>63</v>
      </c>
      <c r="AB58" s="832">
        <v>0</v>
      </c>
      <c r="AC58" s="1252" t="str">
        <f t="shared" si="2"/>
        <v/>
      </c>
      <c r="AD58" s="1252" t="str">
        <f t="shared" si="2"/>
        <v/>
      </c>
      <c r="AE58" s="1252">
        <f t="shared" si="2"/>
        <v>-2.283900070769231</v>
      </c>
      <c r="AF58" s="1252" t="str">
        <f t="shared" si="2"/>
        <v/>
      </c>
      <c r="AG58" s="617"/>
      <c r="AH58" s="616"/>
      <c r="AI58" s="1695"/>
    </row>
    <row r="59" spans="1:35" s="459" customFormat="1">
      <c r="A59" s="1593" t="s">
        <v>2317</v>
      </c>
      <c r="B59" s="723" t="s">
        <v>2314</v>
      </c>
      <c r="C59" s="721" t="s">
        <v>2247</v>
      </c>
      <c r="D59" s="834"/>
      <c r="E59" s="722">
        <v>248186</v>
      </c>
      <c r="F59" s="722">
        <v>242</v>
      </c>
      <c r="G59" s="722">
        <v>0</v>
      </c>
      <c r="H59" s="722">
        <v>500515</v>
      </c>
      <c r="I59" s="722" t="s">
        <v>2302</v>
      </c>
      <c r="J59" s="831">
        <v>0</v>
      </c>
      <c r="K59" s="1248">
        <v>-2.4114210000000001E-2</v>
      </c>
      <c r="L59" s="1248">
        <v>-2.620076E-2</v>
      </c>
      <c r="M59" s="1248">
        <v>-2.85277E-2</v>
      </c>
      <c r="N59" s="1248">
        <v>-2.4034429999999999E-2</v>
      </c>
      <c r="O59" s="1248">
        <v>-2.5801569999999999E-2</v>
      </c>
      <c r="P59" s="1248">
        <v>-2.617222E-2</v>
      </c>
      <c r="Q59" s="1248">
        <v>-2.9604259999999997E-2</v>
      </c>
      <c r="R59" s="1248">
        <v>-2.8226919999999999E-2</v>
      </c>
      <c r="S59" s="1248">
        <v>-2.846769E-2</v>
      </c>
      <c r="T59" s="1248">
        <v>-3.2494679999999998E-2</v>
      </c>
      <c r="U59" s="1248">
        <v>-3.0098080000000003E-2</v>
      </c>
      <c r="V59" s="1248">
        <v>-3.2265220000000004E-2</v>
      </c>
      <c r="W59" s="1248">
        <v>-3.289839E-2</v>
      </c>
      <c r="X59" s="826">
        <v>0</v>
      </c>
      <c r="Y59" s="1251">
        <f t="shared" si="0"/>
        <v>-2.8377394615384615E-2</v>
      </c>
      <c r="Z59" s="832">
        <v>0</v>
      </c>
      <c r="AA59" s="1696" t="s">
        <v>63</v>
      </c>
      <c r="AB59" s="832">
        <v>0</v>
      </c>
      <c r="AC59" s="1252" t="str">
        <f t="shared" si="2"/>
        <v/>
      </c>
      <c r="AD59" s="1252" t="str">
        <f t="shared" si="2"/>
        <v/>
      </c>
      <c r="AE59" s="1252">
        <f t="shared" si="2"/>
        <v>-2.8377394615384615E-2</v>
      </c>
      <c r="AF59" s="1252" t="str">
        <f t="shared" si="2"/>
        <v/>
      </c>
      <c r="AG59" s="617"/>
      <c r="AH59" s="616"/>
      <c r="AI59" s="1695"/>
    </row>
    <row r="60" spans="1:35" s="459" customFormat="1">
      <c r="A60" s="2446" t="s">
        <v>2318</v>
      </c>
      <c r="B60" s="723" t="s">
        <v>2314</v>
      </c>
      <c r="C60" s="721" t="s">
        <v>2247</v>
      </c>
      <c r="D60" s="834"/>
      <c r="E60" s="722">
        <v>248187</v>
      </c>
      <c r="F60" s="722">
        <v>242</v>
      </c>
      <c r="G60" s="722">
        <v>0</v>
      </c>
      <c r="H60" s="722">
        <v>500518</v>
      </c>
      <c r="I60" s="722" t="s">
        <v>2302</v>
      </c>
      <c r="J60" s="831">
        <v>0</v>
      </c>
      <c r="K60" s="1248">
        <v>-3.5295974999999999</v>
      </c>
      <c r="L60" s="1248">
        <v>-3.7156350699999998</v>
      </c>
      <c r="M60" s="1248">
        <v>-3.86595311</v>
      </c>
      <c r="N60" s="1248">
        <v>-3.9752382499999999</v>
      </c>
      <c r="O60" s="1248">
        <v>-4.1344674799999996</v>
      </c>
      <c r="P60" s="1248">
        <v>-4.0543554799999999</v>
      </c>
      <c r="Q60" s="1248">
        <v>-3.8973340299999997</v>
      </c>
      <c r="R60" s="1248">
        <v>-3.7518138999999997</v>
      </c>
      <c r="S60" s="1248">
        <v>-3.6337433199999998</v>
      </c>
      <c r="T60" s="1248">
        <v>-3.6397323799999999</v>
      </c>
      <c r="U60" s="1248">
        <v>-3.56624717</v>
      </c>
      <c r="V60" s="1248">
        <v>-3.5913662000000004</v>
      </c>
      <c r="W60" s="1248">
        <v>-3.5630302400000002</v>
      </c>
      <c r="X60" s="826">
        <v>0</v>
      </c>
      <c r="Y60" s="1251">
        <f t="shared" si="0"/>
        <v>-3.7629626253846151</v>
      </c>
      <c r="Z60" s="832">
        <v>0</v>
      </c>
      <c r="AA60" s="1696" t="s">
        <v>63</v>
      </c>
      <c r="AB60" s="832">
        <v>0</v>
      </c>
      <c r="AC60" s="1252" t="str">
        <f t="shared" si="2"/>
        <v/>
      </c>
      <c r="AD60" s="1252" t="str">
        <f t="shared" si="2"/>
        <v/>
      </c>
      <c r="AE60" s="1252">
        <f t="shared" si="2"/>
        <v>-3.7629626253846151</v>
      </c>
      <c r="AF60" s="1252" t="str">
        <f t="shared" si="2"/>
        <v/>
      </c>
      <c r="AG60" s="617"/>
      <c r="AH60" s="616"/>
      <c r="AI60" s="1695"/>
    </row>
    <row r="61" spans="1:35" s="459" customFormat="1">
      <c r="A61" s="2446" t="s">
        <v>2319</v>
      </c>
      <c r="B61" s="723" t="s">
        <v>2314</v>
      </c>
      <c r="C61" s="721" t="s">
        <v>2247</v>
      </c>
      <c r="D61" s="834"/>
      <c r="E61" s="722">
        <v>248188</v>
      </c>
      <c r="F61" s="722">
        <v>242</v>
      </c>
      <c r="G61" s="722">
        <v>0</v>
      </c>
      <c r="H61" s="722">
        <v>500519</v>
      </c>
      <c r="I61" s="722" t="s">
        <v>2302</v>
      </c>
      <c r="J61" s="831">
        <v>0</v>
      </c>
      <c r="K61" s="1248">
        <v>-0.11986280000000001</v>
      </c>
      <c r="L61" s="1248">
        <v>-0.12723681000000001</v>
      </c>
      <c r="M61" s="1248">
        <v>-0.13442282999999999</v>
      </c>
      <c r="N61" s="1248">
        <v>-0.13923007999999998</v>
      </c>
      <c r="O61" s="1248">
        <v>-0.14659425000000001</v>
      </c>
      <c r="P61" s="1248">
        <v>-0.15539627</v>
      </c>
      <c r="Q61" s="1248">
        <v>-0.15900276999999999</v>
      </c>
      <c r="R61" s="1248">
        <v>-0.15801538000000001</v>
      </c>
      <c r="S61" s="1248">
        <v>-0.14851800000000001</v>
      </c>
      <c r="T61" s="1248">
        <v>-0.15198604999999998</v>
      </c>
      <c r="U61" s="1248">
        <v>-0.14926407999999999</v>
      </c>
      <c r="V61" s="1248">
        <v>-0.14352573000000002</v>
      </c>
      <c r="W61" s="1248">
        <v>-0.13404955999999998</v>
      </c>
      <c r="X61" s="826"/>
      <c r="Y61" s="1251">
        <f t="shared" si="0"/>
        <v>-0.14362343153846152</v>
      </c>
      <c r="Z61" s="832"/>
      <c r="AA61" s="1696" t="s">
        <v>63</v>
      </c>
      <c r="AB61" s="832"/>
      <c r="AC61" s="1252" t="str">
        <f t="shared" si="2"/>
        <v/>
      </c>
      <c r="AD61" s="1252" t="str">
        <f t="shared" si="2"/>
        <v/>
      </c>
      <c r="AE61" s="1252">
        <f t="shared" si="2"/>
        <v>-0.14362343153846152</v>
      </c>
      <c r="AF61" s="1252" t="str">
        <f t="shared" si="2"/>
        <v/>
      </c>
      <c r="AG61" s="617"/>
      <c r="AH61" s="616"/>
      <c r="AI61" s="1695"/>
    </row>
    <row r="62" spans="1:35" s="1379" customFormat="1">
      <c r="A62" s="2624" t="s">
        <v>2320</v>
      </c>
      <c r="B62" s="2448" t="s">
        <v>2314</v>
      </c>
      <c r="C62" s="2449" t="s">
        <v>2247</v>
      </c>
      <c r="D62" s="2450"/>
      <c r="E62" s="2451">
        <v>248189</v>
      </c>
      <c r="F62" s="2451">
        <v>242</v>
      </c>
      <c r="G62" s="2451">
        <v>0</v>
      </c>
      <c r="H62" s="2451">
        <v>500516</v>
      </c>
      <c r="I62" s="2451" t="s">
        <v>2302</v>
      </c>
      <c r="J62" s="2029">
        <v>0</v>
      </c>
      <c r="K62" s="2452">
        <v>-15.229296289999999</v>
      </c>
      <c r="L62" s="2452">
        <v>-15.186645519999999</v>
      </c>
      <c r="M62" s="2452">
        <v>-15.441809390000001</v>
      </c>
      <c r="N62" s="2452">
        <v>-15.491657539999999</v>
      </c>
      <c r="O62" s="2452">
        <v>-15.675505900000001</v>
      </c>
      <c r="P62" s="2452">
        <v>-15.315722599999999</v>
      </c>
      <c r="Q62" s="2452">
        <v>-15.419394840000001</v>
      </c>
      <c r="R62" s="2452">
        <v>-15.076582070000001</v>
      </c>
      <c r="S62" s="2452">
        <v>-14.69386963</v>
      </c>
      <c r="T62" s="2452">
        <v>-14.827423509999999</v>
      </c>
      <c r="U62" s="2452">
        <v>-14.83056399</v>
      </c>
      <c r="V62" s="2452">
        <v>-15.002840689999999</v>
      </c>
      <c r="W62" s="2452">
        <v>-15.15417774</v>
      </c>
      <c r="X62" s="1463">
        <v>0</v>
      </c>
      <c r="Y62" s="1251">
        <f t="shared" si="0"/>
        <v>-15.180422285384614</v>
      </c>
      <c r="Z62" s="1463">
        <v>0</v>
      </c>
      <c r="AA62" s="2453" t="s">
        <v>63</v>
      </c>
      <c r="AB62" s="1463">
        <v>0</v>
      </c>
      <c r="AC62" s="1252" t="str">
        <f t="shared" si="2"/>
        <v/>
      </c>
      <c r="AD62" s="1252" t="str">
        <f t="shared" si="2"/>
        <v/>
      </c>
      <c r="AE62" s="1252">
        <f t="shared" si="2"/>
        <v>-15.180422285384614</v>
      </c>
      <c r="AF62" s="1252" t="str">
        <f t="shared" si="2"/>
        <v/>
      </c>
      <c r="AG62" s="2335"/>
      <c r="AH62" s="1378"/>
      <c r="AI62" s="2454"/>
    </row>
    <row r="63" spans="1:35" s="459" customFormat="1">
      <c r="A63" s="2447" t="s">
        <v>2321</v>
      </c>
      <c r="B63" s="723" t="s">
        <v>2314</v>
      </c>
      <c r="C63" s="721" t="s">
        <v>2247</v>
      </c>
      <c r="D63" s="834"/>
      <c r="E63" s="722">
        <v>248195</v>
      </c>
      <c r="F63" s="722">
        <v>242</v>
      </c>
      <c r="G63" s="722">
        <v>0</v>
      </c>
      <c r="H63" s="722">
        <v>500515</v>
      </c>
      <c r="I63" s="722" t="s">
        <v>2302</v>
      </c>
      <c r="J63" s="831">
        <v>0</v>
      </c>
      <c r="K63" s="1248">
        <v>-6.11367555</v>
      </c>
      <c r="L63" s="1248">
        <v>-6.2149367499999997</v>
      </c>
      <c r="M63" s="1248">
        <v>-6.2186378700000002</v>
      </c>
      <c r="N63" s="1248">
        <v>-6.2496520499999999</v>
      </c>
      <c r="O63" s="1248">
        <v>-6.29649415</v>
      </c>
      <c r="P63" s="1248">
        <v>-6.3184642899999997</v>
      </c>
      <c r="Q63" s="1248">
        <v>-6.2991283099999995</v>
      </c>
      <c r="R63" s="1248">
        <v>-5.5156396699999997</v>
      </c>
      <c r="S63" s="1248">
        <v>-5.5294887699999995</v>
      </c>
      <c r="T63" s="1248">
        <v>-5.5536608599999999</v>
      </c>
      <c r="U63" s="1248">
        <v>-5.5012340599999998</v>
      </c>
      <c r="V63" s="1248">
        <v>-5.5144169299999994</v>
      </c>
      <c r="W63" s="1248">
        <v>-6.1294602400000002</v>
      </c>
      <c r="X63" s="826">
        <v>0</v>
      </c>
      <c r="Y63" s="1251">
        <f t="shared" si="0"/>
        <v>-5.9580684230769227</v>
      </c>
      <c r="Z63" s="832">
        <v>0</v>
      </c>
      <c r="AA63" s="1696" t="s">
        <v>63</v>
      </c>
      <c r="AB63" s="832">
        <v>0</v>
      </c>
      <c r="AC63" s="1252" t="str">
        <f t="shared" si="2"/>
        <v/>
      </c>
      <c r="AD63" s="1252" t="str">
        <f t="shared" si="2"/>
        <v/>
      </c>
      <c r="AE63" s="1252">
        <f t="shared" si="2"/>
        <v>-5.9580684230769227</v>
      </c>
      <c r="AF63" s="1252" t="str">
        <f t="shared" si="2"/>
        <v/>
      </c>
      <c r="AG63" s="617"/>
      <c r="AH63" s="616"/>
      <c r="AI63" s="1695"/>
    </row>
    <row r="64" spans="1:35" s="459" customFormat="1">
      <c r="A64" s="719"/>
      <c r="B64" s="723"/>
      <c r="C64" s="721"/>
      <c r="D64" s="834"/>
      <c r="E64" s="722"/>
      <c r="F64" s="722"/>
      <c r="G64" s="722"/>
      <c r="H64" s="722"/>
      <c r="I64" s="722"/>
      <c r="J64" s="831"/>
      <c r="K64" s="1248"/>
      <c r="L64" s="1248"/>
      <c r="M64" s="1248"/>
      <c r="N64" s="1248"/>
      <c r="O64" s="1248"/>
      <c r="P64" s="1248"/>
      <c r="Q64" s="1248"/>
      <c r="R64" s="1248"/>
      <c r="S64" s="1248"/>
      <c r="T64" s="1248"/>
      <c r="U64" s="1248"/>
      <c r="V64" s="1248"/>
      <c r="W64" s="1248"/>
      <c r="X64" s="826"/>
      <c r="Y64" s="1251"/>
      <c r="Z64" s="832"/>
      <c r="AA64" s="1696"/>
      <c r="AB64" s="832"/>
      <c r="AC64" s="1252" t="str">
        <f t="shared" si="2"/>
        <v/>
      </c>
      <c r="AD64" s="1252" t="str">
        <f t="shared" si="2"/>
        <v/>
      </c>
      <c r="AE64" s="1252" t="str">
        <f t="shared" si="2"/>
        <v/>
      </c>
      <c r="AF64" s="1252" t="str">
        <f t="shared" si="2"/>
        <v/>
      </c>
      <c r="AG64" s="617"/>
      <c r="AH64" s="616"/>
      <c r="AI64" s="1695"/>
    </row>
    <row r="65" spans="1:35" s="459" customFormat="1">
      <c r="A65" s="719" t="s">
        <v>2322</v>
      </c>
      <c r="B65" s="2623" t="s">
        <v>2323</v>
      </c>
      <c r="C65" s="721" t="s">
        <v>2247</v>
      </c>
      <c r="D65" s="834"/>
      <c r="E65" s="722">
        <v>280349</v>
      </c>
      <c r="F65" s="722">
        <v>228.3</v>
      </c>
      <c r="G65" s="722">
        <v>0</v>
      </c>
      <c r="H65" s="722">
        <v>501106</v>
      </c>
      <c r="I65" s="722">
        <v>426.5</v>
      </c>
      <c r="J65" s="831">
        <v>0</v>
      </c>
      <c r="K65" s="1248">
        <v>-1.9224680000000001</v>
      </c>
      <c r="L65" s="1248">
        <v>-2.0551059999999999</v>
      </c>
      <c r="M65" s="1248">
        <v>-2.0153020000000001</v>
      </c>
      <c r="N65" s="1248">
        <v>-1.8710659999999999</v>
      </c>
      <c r="O65" s="1248">
        <v>-1.8608769999999999</v>
      </c>
      <c r="P65" s="1248">
        <v>-1.8633472600000001</v>
      </c>
      <c r="Q65" s="1248">
        <v>-1.853313</v>
      </c>
      <c r="R65" s="1248">
        <v>-1.8433679999999999</v>
      </c>
      <c r="S65" s="1248">
        <v>-1.8433679999999999</v>
      </c>
      <c r="T65" s="1248">
        <v>-1.839934</v>
      </c>
      <c r="U65" s="1248">
        <v>-1.82741</v>
      </c>
      <c r="V65" s="1248">
        <v>-1.8255699999999999</v>
      </c>
      <c r="W65" s="1248">
        <v>-1.8455520000000001</v>
      </c>
      <c r="X65" s="826">
        <v>0</v>
      </c>
      <c r="Y65" s="1251">
        <f t="shared" si="0"/>
        <v>-1.8820524046153844</v>
      </c>
      <c r="Z65" s="832">
        <v>0</v>
      </c>
      <c r="AA65" s="1696" t="s">
        <v>104</v>
      </c>
      <c r="AB65" s="832">
        <v>0</v>
      </c>
      <c r="AC65" s="1252" t="str">
        <f t="shared" si="2"/>
        <v/>
      </c>
      <c r="AD65" s="1252" t="str">
        <f t="shared" si="2"/>
        <v/>
      </c>
      <c r="AE65" s="1252" t="str">
        <f t="shared" si="2"/>
        <v/>
      </c>
      <c r="AF65" s="1252">
        <f t="shared" si="2"/>
        <v>-1.8820524046153844</v>
      </c>
      <c r="AG65" s="617"/>
      <c r="AH65" s="616"/>
      <c r="AI65" s="1695"/>
    </row>
    <row r="66" spans="1:35" s="459" customFormat="1">
      <c r="A66" s="1593" t="s">
        <v>2324</v>
      </c>
      <c r="B66" s="720" t="s">
        <v>2325</v>
      </c>
      <c r="C66" s="721" t="s">
        <v>2247</v>
      </c>
      <c r="D66" s="834"/>
      <c r="E66" s="722">
        <v>280350</v>
      </c>
      <c r="F66" s="722">
        <v>228.35</v>
      </c>
      <c r="G66" s="722">
        <v>0</v>
      </c>
      <c r="H66" s="722">
        <v>501105</v>
      </c>
      <c r="I66" s="722" t="s">
        <v>2302</v>
      </c>
      <c r="J66" s="831">
        <v>0</v>
      </c>
      <c r="K66" s="1249">
        <v>-0.63100000000000001</v>
      </c>
      <c r="L66" s="1249">
        <v>-1.262</v>
      </c>
      <c r="M66" s="1249">
        <v>-0.627</v>
      </c>
      <c r="N66" s="1249">
        <v>-0.627</v>
      </c>
      <c r="O66" s="1249">
        <v>-0.629</v>
      </c>
      <c r="P66" s="1249">
        <v>-0.63</v>
      </c>
      <c r="Q66" s="1249">
        <v>-0.627</v>
      </c>
      <c r="R66" s="1249">
        <v>-0.623</v>
      </c>
      <c r="S66" s="1249">
        <v>-0.62</v>
      </c>
      <c r="T66" s="1249">
        <v>-0.61699999999999999</v>
      </c>
      <c r="U66" s="1249">
        <v>-0.61399999999999999</v>
      </c>
      <c r="V66" s="1249">
        <v>-1.228</v>
      </c>
      <c r="W66" s="1250">
        <v>-1.2250000000000001</v>
      </c>
      <c r="X66" s="826"/>
      <c r="Y66" s="1251">
        <f t="shared" si="0"/>
        <v>-0.76615384615384619</v>
      </c>
      <c r="Z66" s="832"/>
      <c r="AA66" s="1696" t="s">
        <v>63</v>
      </c>
      <c r="AB66" s="832"/>
      <c r="AC66" s="1252" t="str">
        <f t="shared" si="2"/>
        <v/>
      </c>
      <c r="AD66" s="1252" t="str">
        <f t="shared" si="2"/>
        <v/>
      </c>
      <c r="AE66" s="1252">
        <f t="shared" si="2"/>
        <v>-0.76615384615384619</v>
      </c>
      <c r="AF66" s="1252" t="str">
        <f t="shared" si="2"/>
        <v/>
      </c>
      <c r="AG66" s="617"/>
      <c r="AH66" s="616"/>
      <c r="AI66" s="1695"/>
    </row>
    <row r="67" spans="1:35" s="459" customFormat="1">
      <c r="A67" s="719"/>
      <c r="B67" s="723"/>
      <c r="C67" s="721"/>
      <c r="D67" s="834"/>
      <c r="E67" s="722"/>
      <c r="F67" s="722"/>
      <c r="G67" s="722"/>
      <c r="H67" s="722"/>
      <c r="I67" s="722"/>
      <c r="J67" s="831"/>
      <c r="K67" s="1248"/>
      <c r="L67" s="1248"/>
      <c r="M67" s="1248"/>
      <c r="N67" s="1248"/>
      <c r="O67" s="1248"/>
      <c r="P67" s="1248"/>
      <c r="Q67" s="1248"/>
      <c r="R67" s="1248"/>
      <c r="S67" s="1248"/>
      <c r="T67" s="1248"/>
      <c r="U67" s="1248"/>
      <c r="V67" s="1248"/>
      <c r="W67" s="1248"/>
      <c r="X67" s="826"/>
      <c r="Y67" s="1251"/>
      <c r="Z67" s="832"/>
      <c r="AA67" s="1696"/>
      <c r="AB67" s="832"/>
      <c r="AC67" s="1252" t="str">
        <f t="shared" si="2"/>
        <v/>
      </c>
      <c r="AD67" s="1252" t="str">
        <f t="shared" si="2"/>
        <v/>
      </c>
      <c r="AE67" s="1252" t="str">
        <f t="shared" si="2"/>
        <v/>
      </c>
      <c r="AF67" s="1252" t="str">
        <f t="shared" si="2"/>
        <v/>
      </c>
      <c r="AG67" s="617"/>
      <c r="AH67" s="616"/>
      <c r="AI67" s="1695"/>
    </row>
    <row r="68" spans="1:35" s="1379" customFormat="1">
      <c r="A68" s="2455" t="s">
        <v>559</v>
      </c>
      <c r="B68" s="2448" t="s">
        <v>2326</v>
      </c>
      <c r="C68" s="2449" t="s">
        <v>2247</v>
      </c>
      <c r="D68" s="2450"/>
      <c r="E68" s="2451">
        <v>280465</v>
      </c>
      <c r="F68" s="2451">
        <v>228.35</v>
      </c>
      <c r="G68" s="2451">
        <v>0</v>
      </c>
      <c r="H68" s="2451">
        <v>501115</v>
      </c>
      <c r="I68" s="2451" t="s">
        <v>2327</v>
      </c>
      <c r="J68" s="2029">
        <v>0</v>
      </c>
      <c r="K68" s="2452">
        <v>-58.981706000000003</v>
      </c>
      <c r="L68" s="2452">
        <v>-58.793429359999998</v>
      </c>
      <c r="M68" s="2452">
        <v>-58.604015869999998</v>
      </c>
      <c r="N68" s="2452">
        <v>-58.417339229999996</v>
      </c>
      <c r="O68" s="2452">
        <v>-58.230662590000001</v>
      </c>
      <c r="P68" s="2452">
        <v>-58.04098346</v>
      </c>
      <c r="Q68" s="2452">
        <v>-57.823649770000003</v>
      </c>
      <c r="R68" s="2452">
        <v>-57.653258090000001</v>
      </c>
      <c r="S68" s="2452">
        <v>-57.484435570000002</v>
      </c>
      <c r="T68" s="2452">
        <v>-57.338523189999997</v>
      </c>
      <c r="U68" s="2452">
        <v>-57.17013309</v>
      </c>
      <c r="V68" s="2452">
        <v>-57.001742990000004</v>
      </c>
      <c r="W68" s="2452">
        <v>-57.662813999999997</v>
      </c>
      <c r="X68" s="1463">
        <v>0</v>
      </c>
      <c r="Y68" s="1251">
        <f t="shared" si="0"/>
        <v>-57.938668708461549</v>
      </c>
      <c r="Z68" s="1463">
        <v>0</v>
      </c>
      <c r="AA68" s="2453" t="s">
        <v>63</v>
      </c>
      <c r="AB68" s="1463">
        <v>0</v>
      </c>
      <c r="AC68" s="1252" t="str">
        <f t="shared" si="2"/>
        <v/>
      </c>
      <c r="AD68" s="1252" t="str">
        <f t="shared" si="2"/>
        <v/>
      </c>
      <c r="AE68" s="1252">
        <f t="shared" si="2"/>
        <v>-57.938668708461549</v>
      </c>
      <c r="AF68" s="1252" t="str">
        <f t="shared" si="2"/>
        <v/>
      </c>
      <c r="AG68" s="2335"/>
      <c r="AH68" s="1378"/>
      <c r="AI68" s="2454"/>
    </row>
    <row r="69" spans="1:35" s="1379" customFormat="1" ht="40.5" customHeight="1">
      <c r="A69" s="2624" t="s">
        <v>2328</v>
      </c>
      <c r="B69" s="2448" t="s">
        <v>2326</v>
      </c>
      <c r="C69" s="2449" t="s">
        <v>2329</v>
      </c>
      <c r="D69" s="2450"/>
      <c r="E69" s="2451">
        <v>299107</v>
      </c>
      <c r="F69" s="2451">
        <v>219</v>
      </c>
      <c r="G69" s="2451">
        <v>0</v>
      </c>
      <c r="H69" s="2451">
        <v>0</v>
      </c>
      <c r="I69" s="2451">
        <v>0</v>
      </c>
      <c r="J69" s="2029">
        <v>0</v>
      </c>
      <c r="K69" s="2452">
        <v>20.297179</v>
      </c>
      <c r="L69" s="2452">
        <v>20.22356916</v>
      </c>
      <c r="M69" s="2452">
        <v>20.149959320000001</v>
      </c>
      <c r="N69" s="2452">
        <v>20.076349480000001</v>
      </c>
      <c r="O69" s="2452">
        <v>20.002739640000001</v>
      </c>
      <c r="P69" s="2452">
        <v>19.929129800000002</v>
      </c>
      <c r="Q69" s="2452">
        <v>19.855519960000002</v>
      </c>
      <c r="R69" s="2452">
        <v>19.781910120000003</v>
      </c>
      <c r="S69" s="2452">
        <v>19.70830028</v>
      </c>
      <c r="T69" s="2452">
        <v>19.63469044</v>
      </c>
      <c r="U69" s="2452">
        <v>19.5610806</v>
      </c>
      <c r="V69" s="2452">
        <v>19.487470760000001</v>
      </c>
      <c r="W69" s="2452">
        <v>20.243321999999999</v>
      </c>
      <c r="X69" s="1463"/>
      <c r="Y69" s="1251">
        <f t="shared" si="0"/>
        <v>19.919324658461541</v>
      </c>
      <c r="Z69" s="1463"/>
      <c r="AA69" s="2453" t="s">
        <v>63</v>
      </c>
      <c r="AB69" s="1463"/>
      <c r="AC69" s="1252" t="str">
        <f t="shared" si="2"/>
        <v/>
      </c>
      <c r="AD69" s="1252" t="str">
        <f t="shared" si="2"/>
        <v/>
      </c>
      <c r="AE69" s="1252">
        <f t="shared" si="2"/>
        <v>19.919324658461541</v>
      </c>
      <c r="AF69" s="1252" t="str">
        <f t="shared" si="2"/>
        <v/>
      </c>
      <c r="AG69" s="2335"/>
      <c r="AH69" s="1378"/>
      <c r="AI69" s="2454"/>
    </row>
    <row r="70" spans="1:35" s="1379" customFormat="1">
      <c r="A70" s="2455"/>
      <c r="B70" s="2448"/>
      <c r="C70" s="2449"/>
      <c r="D70" s="2450"/>
      <c r="E70" s="2451"/>
      <c r="F70" s="2451"/>
      <c r="G70" s="2451"/>
      <c r="H70" s="2451"/>
      <c r="I70" s="2451"/>
      <c r="J70" s="2029"/>
      <c r="K70" s="2452"/>
      <c r="L70" s="2452"/>
      <c r="M70" s="2452"/>
      <c r="N70" s="2452"/>
      <c r="O70" s="2452"/>
      <c r="P70" s="2452"/>
      <c r="Q70" s="2452"/>
      <c r="R70" s="2452"/>
      <c r="S70" s="2452"/>
      <c r="T70" s="2452"/>
      <c r="U70" s="2452"/>
      <c r="V70" s="2452"/>
      <c r="W70" s="2452"/>
      <c r="X70" s="1463"/>
      <c r="Y70" s="1251"/>
      <c r="Z70" s="1463"/>
      <c r="AA70" s="2453"/>
      <c r="AB70" s="1463"/>
      <c r="AC70" s="1252" t="str">
        <f t="shared" si="2"/>
        <v/>
      </c>
      <c r="AD70" s="1252" t="str">
        <f t="shared" si="2"/>
        <v/>
      </c>
      <c r="AE70" s="1252" t="str">
        <f t="shared" si="2"/>
        <v/>
      </c>
      <c r="AF70" s="1252" t="str">
        <f t="shared" si="2"/>
        <v/>
      </c>
      <c r="AG70" s="2335"/>
      <c r="AH70" s="1378"/>
      <c r="AI70" s="2454"/>
    </row>
    <row r="71" spans="1:35" s="1379" customFormat="1">
      <c r="A71" s="2455" t="s">
        <v>2330</v>
      </c>
      <c r="B71" s="2448" t="s">
        <v>2331</v>
      </c>
      <c r="C71" s="2449" t="s">
        <v>2247</v>
      </c>
      <c r="D71" s="2450"/>
      <c r="E71" s="2451">
        <v>280330</v>
      </c>
      <c r="F71" s="2451">
        <v>228.3</v>
      </c>
      <c r="G71" s="2451">
        <v>0</v>
      </c>
      <c r="H71" s="2451">
        <v>501160</v>
      </c>
      <c r="I71" s="2451">
        <v>920</v>
      </c>
      <c r="J71" s="2029">
        <v>0</v>
      </c>
      <c r="K71" s="2452">
        <v>-30.687620850000002</v>
      </c>
      <c r="L71" s="2452">
        <v>-30.087203540000001</v>
      </c>
      <c r="M71" s="2452">
        <v>-30.087247659999999</v>
      </c>
      <c r="N71" s="2452">
        <v>-30.140035860000001</v>
      </c>
      <c r="O71" s="2452">
        <v>-29.730723449999999</v>
      </c>
      <c r="P71" s="2452">
        <v>-29.649200219999997</v>
      </c>
      <c r="Q71" s="2452">
        <v>-29.152995879999999</v>
      </c>
      <c r="R71" s="2452">
        <v>-28.707287640000001</v>
      </c>
      <c r="S71" s="2452">
        <v>-28.72672691</v>
      </c>
      <c r="T71" s="2452">
        <v>-28.256040629999998</v>
      </c>
      <c r="U71" s="2452">
        <v>-28.332067949999999</v>
      </c>
      <c r="V71" s="2452">
        <v>-28.446232370000001</v>
      </c>
      <c r="W71" s="2452">
        <v>-27.327653999999999</v>
      </c>
      <c r="X71" s="1463"/>
      <c r="Y71" s="1251">
        <f t="shared" si="0"/>
        <v>-29.179310535384616</v>
      </c>
      <c r="Z71" s="1463"/>
      <c r="AA71" s="2453" t="s">
        <v>63</v>
      </c>
      <c r="AB71" s="1463"/>
      <c r="AC71" s="1252" t="str">
        <f t="shared" si="2"/>
        <v/>
      </c>
      <c r="AD71" s="1252" t="str">
        <f t="shared" si="2"/>
        <v/>
      </c>
      <c r="AE71" s="1252">
        <f t="shared" si="2"/>
        <v>-29.179310535384616</v>
      </c>
      <c r="AF71" s="1252" t="str">
        <f t="shared" si="2"/>
        <v/>
      </c>
      <c r="AG71" s="2335"/>
      <c r="AH71" s="1378"/>
      <c r="AI71" s="2454"/>
    </row>
    <row r="72" spans="1:35" s="1379" customFormat="1">
      <c r="A72" s="2455" t="s">
        <v>2332</v>
      </c>
      <c r="B72" s="2448" t="s">
        <v>2331</v>
      </c>
      <c r="C72" s="2449" t="s">
        <v>2247</v>
      </c>
      <c r="D72" s="2450"/>
      <c r="E72" s="2451">
        <v>280490</v>
      </c>
      <c r="F72" s="2451">
        <v>228.3</v>
      </c>
      <c r="G72" s="2451">
        <v>0</v>
      </c>
      <c r="H72" s="2451">
        <v>501160</v>
      </c>
      <c r="I72" s="2451">
        <v>920</v>
      </c>
      <c r="J72" s="2029">
        <v>0</v>
      </c>
      <c r="K72" s="2452">
        <v>-3.0447951500000001</v>
      </c>
      <c r="L72" s="2452">
        <v>-3.03360663</v>
      </c>
      <c r="M72" s="2452">
        <v>-3.0358293500000002</v>
      </c>
      <c r="N72" s="2452">
        <v>-3.023177</v>
      </c>
      <c r="O72" s="2452">
        <v>-3.0252136200000002</v>
      </c>
      <c r="P72" s="2452">
        <v>-3.01195133</v>
      </c>
      <c r="Q72" s="2452">
        <v>-3.0171060999999999</v>
      </c>
      <c r="R72" s="2452">
        <v>-3.0191240699999997</v>
      </c>
      <c r="S72" s="2452">
        <v>-2.8720303599999997</v>
      </c>
      <c r="T72" s="2452">
        <v>-2.86291808</v>
      </c>
      <c r="U72" s="2452">
        <v>-2.8546593300000001</v>
      </c>
      <c r="V72" s="2452">
        <v>-2.8642040799999999</v>
      </c>
      <c r="W72" s="2452">
        <v>-2.8572570000000002</v>
      </c>
      <c r="X72" s="1463"/>
      <c r="Y72" s="1251">
        <f t="shared" si="0"/>
        <v>-2.9632209307692303</v>
      </c>
      <c r="Z72" s="1463"/>
      <c r="AA72" s="2453" t="s">
        <v>63</v>
      </c>
      <c r="AB72" s="1463"/>
      <c r="AC72" s="1252" t="str">
        <f t="shared" si="2"/>
        <v/>
      </c>
      <c r="AD72" s="1252" t="str">
        <f t="shared" si="2"/>
        <v/>
      </c>
      <c r="AE72" s="1252">
        <f t="shared" si="2"/>
        <v>-2.9632209307692303</v>
      </c>
      <c r="AF72" s="1252" t="str">
        <f t="shared" si="2"/>
        <v/>
      </c>
      <c r="AG72" s="2335"/>
      <c r="AH72" s="1378"/>
      <c r="AI72" s="2454"/>
    </row>
    <row r="73" spans="1:35" s="459" customFormat="1">
      <c r="A73" s="1593"/>
      <c r="B73" s="723"/>
      <c r="C73" s="721"/>
      <c r="D73" s="834"/>
      <c r="E73" s="722"/>
      <c r="F73" s="722"/>
      <c r="G73" s="722"/>
      <c r="H73" s="722"/>
      <c r="I73" s="722"/>
      <c r="J73" s="831"/>
      <c r="K73" s="1248"/>
      <c r="L73" s="1248"/>
      <c r="M73" s="1248"/>
      <c r="N73" s="1248"/>
      <c r="O73" s="1248"/>
      <c r="P73" s="1248"/>
      <c r="Q73" s="1248"/>
      <c r="R73" s="1248"/>
      <c r="S73" s="1248"/>
      <c r="T73" s="1248"/>
      <c r="U73" s="1248"/>
      <c r="V73" s="1248"/>
      <c r="W73" s="1248"/>
      <c r="X73" s="826"/>
      <c r="Y73" s="1251"/>
      <c r="Z73" s="832"/>
      <c r="AA73" s="1696"/>
      <c r="AB73" s="832"/>
      <c r="AC73" s="1252"/>
      <c r="AD73" s="1252"/>
      <c r="AE73" s="1252"/>
      <c r="AF73" s="1252"/>
      <c r="AG73" s="617"/>
      <c r="AH73" s="616"/>
      <c r="AI73" s="1695"/>
    </row>
    <row r="74" spans="1:35" s="459" customFormat="1">
      <c r="A74" s="1694" t="s">
        <v>922</v>
      </c>
      <c r="B74" s="725"/>
      <c r="C74" s="725"/>
      <c r="D74" s="834"/>
      <c r="E74" s="726"/>
      <c r="F74" s="726"/>
      <c r="G74" s="726"/>
      <c r="H74" s="726"/>
      <c r="I74" s="726"/>
      <c r="J74" s="726"/>
      <c r="K74" s="1693">
        <f t="shared" ref="K74:W74" si="3">SUM(K8:K73)</f>
        <v>-156.82515520000001</v>
      </c>
      <c r="L74" s="1693">
        <f t="shared" si="3"/>
        <v>-160.26561605000001</v>
      </c>
      <c r="M74" s="1693">
        <f t="shared" si="3"/>
        <v>-160.23938665000003</v>
      </c>
      <c r="N74" s="1693">
        <f t="shared" si="3"/>
        <v>-164.84238041999998</v>
      </c>
      <c r="O74" s="1693">
        <f t="shared" si="3"/>
        <v>-176.57713826</v>
      </c>
      <c r="P74" s="1693">
        <f t="shared" si="3"/>
        <v>-176.51260526999994</v>
      </c>
      <c r="Q74" s="1693">
        <f t="shared" si="3"/>
        <v>-186.74263096999999</v>
      </c>
      <c r="R74" s="1693">
        <f t="shared" si="3"/>
        <v>-188.656789</v>
      </c>
      <c r="S74" s="1693">
        <f t="shared" si="3"/>
        <v>-192.03130511999998</v>
      </c>
      <c r="T74" s="1693">
        <f t="shared" si="3"/>
        <v>-184.07489491000001</v>
      </c>
      <c r="U74" s="1693">
        <f t="shared" si="3"/>
        <v>-167.06654409000001</v>
      </c>
      <c r="V74" s="1693">
        <f t="shared" si="3"/>
        <v>-176.75640856999996</v>
      </c>
      <c r="W74" s="1693">
        <f t="shared" si="3"/>
        <v>-176.03476887999997</v>
      </c>
      <c r="X74" s="727"/>
      <c r="Y74" s="1692">
        <f>ROUND(SUM(K74+W74)/2,4)</f>
        <v>-166.43</v>
      </c>
      <c r="Z74" s="727"/>
      <c r="AA74" s="727"/>
      <c r="AB74" s="727"/>
      <c r="AC74" s="1691">
        <f>SUM(AC8:AC73)</f>
        <v>0</v>
      </c>
      <c r="AD74" s="1691">
        <f>SUM(AD8:AD73)</f>
        <v>0</v>
      </c>
      <c r="AE74" s="1691">
        <f>SUM(AE8:AE73)</f>
        <v>-120.39544040769231</v>
      </c>
      <c r="AF74" s="1691">
        <f>SUM(AF8:AF73)</f>
        <v>-53.960376776153851</v>
      </c>
      <c r="AG74" s="727"/>
      <c r="AH74" s="616"/>
    </row>
    <row r="75" spans="1:35">
      <c r="A75" s="605"/>
      <c r="B75" s="606"/>
      <c r="C75" s="606"/>
      <c r="D75" s="607"/>
      <c r="E75" s="607"/>
      <c r="F75" s="607"/>
      <c r="G75" s="607"/>
      <c r="H75" s="607"/>
      <c r="I75" s="607"/>
      <c r="J75" s="607"/>
      <c r="K75" s="602"/>
      <c r="L75" s="602"/>
      <c r="M75" s="602"/>
      <c r="N75" s="602"/>
      <c r="O75" s="602"/>
      <c r="P75" s="602"/>
      <c r="Q75" s="602"/>
      <c r="R75" s="602"/>
      <c r="S75" s="602"/>
      <c r="T75" s="602"/>
      <c r="U75" s="602"/>
      <c r="V75" s="602"/>
      <c r="W75" s="602"/>
      <c r="X75" s="437"/>
      <c r="Y75" s="437"/>
      <c r="Z75" s="437"/>
      <c r="AA75" s="437"/>
      <c r="AB75" s="437"/>
      <c r="AC75" s="615"/>
      <c r="AD75" s="615"/>
      <c r="AE75" s="615"/>
      <c r="AF75" s="615"/>
      <c r="AG75" s="617"/>
      <c r="AH75" s="437"/>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602"/>
      <c r="Z76" s="437"/>
      <c r="AA76" s="437"/>
      <c r="AB76" s="437"/>
      <c r="AE76" s="602"/>
      <c r="AF76" s="602"/>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3"/>
      <c r="X77" s="437"/>
      <c r="Y77" s="437"/>
      <c r="Z77" s="437"/>
      <c r="AA77" s="1686" t="s">
        <v>246</v>
      </c>
      <c r="AB77" s="1686"/>
      <c r="AC77" s="1253">
        <v>1</v>
      </c>
      <c r="AD77" s="619">
        <f>Allocator.gross.plant</f>
        <v>0.23077715895481951</v>
      </c>
      <c r="AE77" s="619">
        <f>Allocator.wages.salary</f>
        <v>8.4851850814689656E-2</v>
      </c>
      <c r="AF77" s="619">
        <v>0</v>
      </c>
      <c r="AG77" s="43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686" t="s">
        <v>923</v>
      </c>
      <c r="AB78" s="1686"/>
      <c r="AC78" s="1690">
        <f>AC74*AC77</f>
        <v>0</v>
      </c>
      <c r="AD78" s="1689">
        <f>AD74*AD77</f>
        <v>0</v>
      </c>
      <c r="AE78" s="1689">
        <f>AE74*AE77</f>
        <v>-10.215775948242365</v>
      </c>
      <c r="AF78" s="1689">
        <f>AF74*AF77</f>
        <v>0</v>
      </c>
      <c r="AG78" s="1688">
        <f>SUM(AC78:AF78)</f>
        <v>-10.215775948242365</v>
      </c>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686"/>
      <c r="AB79" s="1686"/>
      <c r="AC79" s="437"/>
      <c r="AD79" s="620"/>
      <c r="AE79" s="620"/>
      <c r="AF79" s="620"/>
      <c r="AG79" s="620"/>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687" t="s">
        <v>1012</v>
      </c>
      <c r="AB80" s="1686"/>
      <c r="AC80" s="617"/>
      <c r="AD80" s="617"/>
      <c r="AE80" s="618"/>
      <c r="AF80" s="617"/>
      <c r="AG80" s="1685">
        <f>AG78*10^6</f>
        <v>-10215775.948242364</v>
      </c>
    </row>
    <row r="81" spans="1:11">
      <c r="A81" s="458"/>
      <c r="B81" s="457"/>
      <c r="C81" s="457"/>
      <c r="D81" s="456"/>
      <c r="E81" s="456"/>
      <c r="F81" s="456"/>
      <c r="G81" s="456"/>
      <c r="H81" s="456"/>
      <c r="I81" s="456"/>
      <c r="J81" s="456"/>
      <c r="K81" s="455"/>
    </row>
    <row r="82" spans="1:11">
      <c r="A82" s="458"/>
      <c r="B82" s="457"/>
      <c r="C82" s="457"/>
      <c r="D82" s="456"/>
      <c r="E82" s="456"/>
      <c r="F82" s="456"/>
      <c r="G82" s="456"/>
      <c r="H82" s="456"/>
      <c r="I82" s="456"/>
      <c r="J82" s="456"/>
      <c r="K82" s="455"/>
    </row>
    <row r="83" spans="1:11">
      <c r="A83" s="458"/>
      <c r="B83" s="457"/>
      <c r="C83" s="457"/>
      <c r="D83" s="456"/>
      <c r="E83" s="456"/>
      <c r="F83" s="456"/>
      <c r="G83" s="456"/>
      <c r="H83" s="456"/>
      <c r="I83" s="456"/>
      <c r="J83" s="456"/>
      <c r="K83" s="455"/>
    </row>
    <row r="84" spans="1:11">
      <c r="A84" s="458"/>
      <c r="B84" s="457"/>
      <c r="C84" s="457"/>
      <c r="D84" s="456"/>
      <c r="E84" s="456"/>
      <c r="F84" s="456"/>
      <c r="G84" s="456"/>
      <c r="H84" s="456"/>
      <c r="I84" s="456"/>
      <c r="J84" s="456"/>
      <c r="K84" s="455"/>
    </row>
    <row r="85" spans="1:11">
      <c r="A85" s="458"/>
      <c r="B85" s="457"/>
      <c r="C85" s="457"/>
      <c r="D85" s="456"/>
      <c r="E85" s="456"/>
      <c r="F85" s="456"/>
      <c r="G85" s="456"/>
      <c r="H85" s="456"/>
      <c r="I85" s="456"/>
      <c r="J85" s="456"/>
      <c r="K85" s="455"/>
    </row>
    <row r="86" spans="1:11">
      <c r="K86" s="455"/>
    </row>
    <row r="87" spans="1:11">
      <c r="K87" s="455"/>
    </row>
    <row r="88" spans="1:11">
      <c r="K88" s="455"/>
    </row>
    <row r="89" spans="1:11">
      <c r="K89" s="455"/>
    </row>
    <row r="90" spans="1:11">
      <c r="K90" s="455"/>
    </row>
    <row r="91" spans="1:11">
      <c r="K91" s="455"/>
    </row>
    <row r="92" spans="1:11">
      <c r="K92" s="455"/>
    </row>
    <row r="93" spans="1:11">
      <c r="K93" s="455"/>
    </row>
    <row r="94" spans="1:11">
      <c r="K94" s="455"/>
    </row>
    <row r="95" spans="1:11">
      <c r="K95" s="455"/>
    </row>
    <row r="96" spans="1:11">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sheetData>
  <mergeCells count="1">
    <mergeCell ref="H6:I6"/>
  </mergeCells>
  <dataValidations disablePrompts="1" count="1">
    <dataValidation type="list" allowBlank="1" showInputMessage="1" showErrorMessage="1" sqref="AA29: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ht="15.75">
      <c r="A1" s="1555" t="s">
        <v>365</v>
      </c>
      <c r="B1" s="1561"/>
      <c r="C1" s="1561"/>
      <c r="D1" s="1561"/>
      <c r="E1" s="1561"/>
    </row>
    <row r="2" spans="1:5" ht="15.75">
      <c r="A2" s="1555" t="s">
        <v>2021</v>
      </c>
      <c r="B2" s="1561"/>
      <c r="C2" s="1561"/>
      <c r="D2" s="1561"/>
      <c r="E2" s="1561"/>
    </row>
    <row r="5" spans="1:5">
      <c r="B5" s="1672" t="s">
        <v>530</v>
      </c>
      <c r="C5" s="1390" t="s">
        <v>24</v>
      </c>
      <c r="D5" s="1678" t="s">
        <v>1956</v>
      </c>
      <c r="E5" s="1545"/>
    </row>
    <row r="6" spans="1:5">
      <c r="B6" s="1560" t="s">
        <v>2333</v>
      </c>
      <c r="C6" s="1556" t="s">
        <v>2334</v>
      </c>
      <c r="D6" s="1559">
        <v>-6957.96</v>
      </c>
    </row>
    <row r="7" spans="1:5">
      <c r="B7" s="1560" t="s">
        <v>2335</v>
      </c>
      <c r="C7" s="1556" t="s">
        <v>2336</v>
      </c>
      <c r="D7" s="1559">
        <v>-138.82</v>
      </c>
    </row>
    <row r="8" spans="1:5">
      <c r="B8" s="1560" t="s">
        <v>2337</v>
      </c>
      <c r="C8" s="1556" t="s">
        <v>2338</v>
      </c>
      <c r="D8" s="1559">
        <v>-2767344.72</v>
      </c>
    </row>
    <row r="9" spans="1:5">
      <c r="B9" s="1560" t="s">
        <v>2339</v>
      </c>
      <c r="C9" s="1556" t="s">
        <v>2340</v>
      </c>
      <c r="D9" s="1559">
        <v>340861.32</v>
      </c>
    </row>
    <row r="10" spans="1:5">
      <c r="B10" s="1560" t="s">
        <v>2341</v>
      </c>
      <c r="C10" s="1556" t="s">
        <v>2342</v>
      </c>
      <c r="D10" s="1559">
        <v>-10578.6</v>
      </c>
    </row>
    <row r="11" spans="1:5">
      <c r="B11" s="1560" t="s">
        <v>2343</v>
      </c>
      <c r="C11" s="1556" t="s">
        <v>2344</v>
      </c>
      <c r="D11" s="1559">
        <v>-11770.92</v>
      </c>
    </row>
    <row r="12" spans="1:5">
      <c r="B12" s="1560" t="s">
        <v>2345</v>
      </c>
      <c r="C12" s="1556" t="s">
        <v>2346</v>
      </c>
      <c r="D12" s="1559">
        <v>-192576.12</v>
      </c>
    </row>
    <row r="13" spans="1:5">
      <c r="B13" s="1560" t="s">
        <v>2347</v>
      </c>
      <c r="C13" s="1556" t="s">
        <v>2348</v>
      </c>
      <c r="D13" s="1559">
        <v>-151593.89000000001</v>
      </c>
    </row>
    <row r="14" spans="1:5">
      <c r="B14" s="1560" t="s">
        <v>2349</v>
      </c>
      <c r="C14" s="1556" t="s">
        <v>2350</v>
      </c>
      <c r="D14" s="1559">
        <v>-12412.2</v>
      </c>
    </row>
    <row r="15" spans="1:5">
      <c r="B15" s="1560" t="s">
        <v>2351</v>
      </c>
      <c r="C15" s="1556" t="s">
        <v>2352</v>
      </c>
      <c r="D15" s="1559">
        <v>-58911</v>
      </c>
    </row>
    <row r="16" spans="1:5">
      <c r="B16" s="1560" t="s">
        <v>2353</v>
      </c>
      <c r="C16" s="1556" t="s">
        <v>2354</v>
      </c>
      <c r="D16" s="1559">
        <v>-15047.52</v>
      </c>
    </row>
    <row r="17" spans="2:4">
      <c r="B17" s="1560" t="s">
        <v>2355</v>
      </c>
      <c r="C17" s="1556" t="s">
        <v>2356</v>
      </c>
      <c r="D17" s="1559">
        <v>-25547.040000000001</v>
      </c>
    </row>
    <row r="18" spans="2:4">
      <c r="B18" s="1560" t="s">
        <v>2357</v>
      </c>
      <c r="C18" s="1556" t="s">
        <v>2358</v>
      </c>
      <c r="D18" s="1559">
        <v>-821025.18</v>
      </c>
    </row>
    <row r="19" spans="2:4">
      <c r="B19" s="1560" t="s">
        <v>2359</v>
      </c>
      <c r="C19" s="1556" t="s">
        <v>2346</v>
      </c>
      <c r="D19" s="1559">
        <v>-373371.13</v>
      </c>
    </row>
    <row r="20" spans="2:4">
      <c r="B20" s="1560" t="s">
        <v>2360</v>
      </c>
      <c r="C20" s="1556" t="s">
        <v>2361</v>
      </c>
      <c r="D20" s="1559">
        <v>-55070.04</v>
      </c>
    </row>
    <row r="21" spans="2:4">
      <c r="B21" s="1560" t="s">
        <v>2362</v>
      </c>
      <c r="C21" s="1556" t="s">
        <v>2363</v>
      </c>
      <c r="D21" s="1559">
        <v>-29571</v>
      </c>
    </row>
    <row r="22" spans="2:4">
      <c r="B22" s="1560" t="s">
        <v>2364</v>
      </c>
      <c r="C22" s="1556" t="s">
        <v>2365</v>
      </c>
      <c r="D22" s="1559">
        <v>0.13</v>
      </c>
    </row>
    <row r="23" spans="2:4">
      <c r="B23" s="1560" t="s">
        <v>2366</v>
      </c>
      <c r="C23" s="1556" t="s">
        <v>2367</v>
      </c>
      <c r="D23" s="1559">
        <v>-48412.04</v>
      </c>
    </row>
    <row r="24" spans="2:4">
      <c r="B24" s="1560" t="s">
        <v>2368</v>
      </c>
      <c r="C24" s="1556" t="s">
        <v>2369</v>
      </c>
      <c r="D24" s="1559">
        <v>-14175.57</v>
      </c>
    </row>
    <row r="25" spans="2:4">
      <c r="B25" s="1560" t="s">
        <v>2370</v>
      </c>
      <c r="C25" s="1556" t="s">
        <v>2371</v>
      </c>
      <c r="D25" s="1559">
        <v>-4929.46</v>
      </c>
    </row>
    <row r="26" spans="2:4">
      <c r="B26" s="1560" t="s">
        <v>2372</v>
      </c>
      <c r="C26" s="1556" t="s">
        <v>2346</v>
      </c>
      <c r="D26" s="1559">
        <v>-401712.06</v>
      </c>
    </row>
    <row r="27" spans="2:4">
      <c r="B27" s="1560" t="s">
        <v>2373</v>
      </c>
      <c r="C27" s="1556" t="s">
        <v>2374</v>
      </c>
      <c r="D27" s="1559">
        <v>-196721.39</v>
      </c>
    </row>
    <row r="28" spans="2:4">
      <c r="B28" s="1560" t="s">
        <v>2375</v>
      </c>
      <c r="C28" s="1556" t="s">
        <v>2376</v>
      </c>
      <c r="D28" s="1559">
        <v>-12905.04</v>
      </c>
    </row>
    <row r="29" spans="2:4">
      <c r="B29" s="1560" t="s">
        <v>2377</v>
      </c>
      <c r="C29" s="1556" t="s">
        <v>2378</v>
      </c>
      <c r="D29" s="1559">
        <v>-79107.59</v>
      </c>
    </row>
    <row r="30" spans="2:4">
      <c r="B30" s="1560" t="s">
        <v>2379</v>
      </c>
      <c r="C30" s="1556" t="s">
        <v>2380</v>
      </c>
      <c r="D30" s="1559">
        <v>-390775.95</v>
      </c>
    </row>
    <row r="31" spans="2:4">
      <c r="B31" s="1560" t="s">
        <v>2381</v>
      </c>
      <c r="C31" s="1556" t="s">
        <v>2382</v>
      </c>
      <c r="D31" s="1559">
        <v>-117395.91</v>
      </c>
    </row>
    <row r="32" spans="2:4">
      <c r="B32" s="1560" t="s">
        <v>2383</v>
      </c>
      <c r="C32" s="1556" t="s">
        <v>2371</v>
      </c>
      <c r="D32" s="1559">
        <v>-22644.62</v>
      </c>
    </row>
    <row r="33" spans="2:4">
      <c r="B33" s="1560" t="s">
        <v>2384</v>
      </c>
      <c r="C33" s="1556" t="s">
        <v>2385</v>
      </c>
      <c r="D33" s="1559">
        <v>-43777.08</v>
      </c>
    </row>
    <row r="34" spans="2:4">
      <c r="B34" s="1560" t="s">
        <v>2386</v>
      </c>
      <c r="C34" s="1556" t="s">
        <v>2387</v>
      </c>
      <c r="D34" s="1559">
        <v>-17688.96</v>
      </c>
    </row>
    <row r="35" spans="2:4">
      <c r="B35" s="1560" t="s">
        <v>2388</v>
      </c>
      <c r="C35" s="1556" t="s">
        <v>2389</v>
      </c>
      <c r="D35" s="1559">
        <v>-40992.36</v>
      </c>
    </row>
    <row r="36" spans="2:4">
      <c r="B36" s="1560" t="s">
        <v>2390</v>
      </c>
      <c r="C36" s="1556" t="s">
        <v>2391</v>
      </c>
      <c r="D36" s="1559">
        <v>-2208771.2400000002</v>
      </c>
    </row>
    <row r="37" spans="2:4">
      <c r="B37" s="1560" t="s">
        <v>2392</v>
      </c>
      <c r="C37" s="1556" t="s">
        <v>2393</v>
      </c>
      <c r="D37" s="1559">
        <v>-1179119.28</v>
      </c>
    </row>
    <row r="38" spans="2:4">
      <c r="B38" s="1560" t="s">
        <v>2394</v>
      </c>
      <c r="C38" s="1556" t="s">
        <v>2395</v>
      </c>
      <c r="D38" s="1559">
        <v>-170187.72</v>
      </c>
    </row>
    <row r="39" spans="2:4">
      <c r="B39" s="1560" t="s">
        <v>2396</v>
      </c>
      <c r="C39" s="1556" t="s">
        <v>2397</v>
      </c>
      <c r="D39" s="1559">
        <v>-106932.84</v>
      </c>
    </row>
    <row r="40" spans="2:4">
      <c r="B40" s="1560" t="s">
        <v>2398</v>
      </c>
      <c r="C40" s="1556" t="s">
        <v>2399</v>
      </c>
      <c r="D40" s="1559">
        <v>-80241.119999999995</v>
      </c>
    </row>
    <row r="41" spans="2:4">
      <c r="B41" s="1560" t="s">
        <v>2400</v>
      </c>
      <c r="C41" s="1556" t="s">
        <v>2401</v>
      </c>
      <c r="D41" s="1559">
        <v>-47218.36</v>
      </c>
    </row>
    <row r="42" spans="2:4">
      <c r="B42" s="1560" t="s">
        <v>2402</v>
      </c>
      <c r="C42" s="1556" t="s">
        <v>2403</v>
      </c>
      <c r="D42" s="1559">
        <v>-8727</v>
      </c>
    </row>
    <row r="43" spans="2:4">
      <c r="B43" s="1560" t="s">
        <v>2404</v>
      </c>
      <c r="C43" s="1556" t="s">
        <v>2405</v>
      </c>
      <c r="D43" s="1559">
        <v>-21483.96</v>
      </c>
    </row>
    <row r="44" spans="2:4">
      <c r="B44" s="1560" t="s">
        <v>2406</v>
      </c>
      <c r="C44" s="1556" t="s">
        <v>2407</v>
      </c>
      <c r="D44" s="1559">
        <v>-36139.08</v>
      </c>
    </row>
    <row r="45" spans="2:4">
      <c r="B45" s="1560" t="s">
        <v>2408</v>
      </c>
      <c r="C45" s="1556" t="s">
        <v>2409</v>
      </c>
      <c r="D45" s="1559">
        <v>-108174.96</v>
      </c>
    </row>
    <row r="46" spans="2:4">
      <c r="B46" s="1560" t="s">
        <v>2410</v>
      </c>
      <c r="C46" s="1556" t="s">
        <v>2411</v>
      </c>
      <c r="D46" s="1559">
        <v>-272726.03999999998</v>
      </c>
    </row>
    <row r="47" spans="2:4">
      <c r="B47" s="1560" t="s">
        <v>2412</v>
      </c>
      <c r="C47" s="1556" t="s">
        <v>2413</v>
      </c>
      <c r="D47" s="1559">
        <v>-504</v>
      </c>
    </row>
    <row r="48" spans="2:4">
      <c r="B48" s="1560" t="s">
        <v>2414</v>
      </c>
      <c r="C48" s="1556" t="s">
        <v>2415</v>
      </c>
      <c r="D48" s="1559">
        <v>0</v>
      </c>
    </row>
    <row r="49" spans="2:4">
      <c r="B49" s="1560" t="s">
        <v>2416</v>
      </c>
      <c r="C49" s="1556" t="s">
        <v>2417</v>
      </c>
      <c r="D49" s="1559">
        <v>-30369.96</v>
      </c>
    </row>
    <row r="50" spans="2:4">
      <c r="B50" s="1560" t="s">
        <v>2418</v>
      </c>
      <c r="C50" s="1556" t="s">
        <v>2419</v>
      </c>
      <c r="D50" s="1559">
        <v>-161674.07999999999</v>
      </c>
    </row>
    <row r="51" spans="2:4">
      <c r="B51" s="1560" t="s">
        <v>2420</v>
      </c>
      <c r="C51" s="1556" t="s">
        <v>2421</v>
      </c>
      <c r="D51" s="1559">
        <v>-3402</v>
      </c>
    </row>
    <row r="52" spans="2:4">
      <c r="B52" s="1560" t="s">
        <v>2422</v>
      </c>
      <c r="C52" s="1556" t="s">
        <v>2423</v>
      </c>
      <c r="D52" s="1559">
        <v>-1288486.96</v>
      </c>
    </row>
    <row r="53" spans="2:4">
      <c r="B53" s="1560" t="s">
        <v>2424</v>
      </c>
      <c r="C53" s="1556" t="s">
        <v>2425</v>
      </c>
      <c r="D53" s="1559">
        <v>-610.49</v>
      </c>
    </row>
    <row r="54" spans="2:4" ht="13.5" thickBot="1">
      <c r="B54" s="1558"/>
      <c r="C54" s="1534" t="s">
        <v>1328</v>
      </c>
      <c r="D54" s="1557">
        <f>SUM(D6:D53)</f>
        <v>-11307061.810000001</v>
      </c>
    </row>
    <row r="55" spans="2:4" ht="13.5" thickTop="1">
      <c r="B55" s="1309"/>
      <c r="C55" s="1309"/>
    </row>
    <row r="56" spans="2:4">
      <c r="B56" s="606" t="s">
        <v>451</v>
      </c>
      <c r="C56" s="2408" t="s">
        <v>2026</v>
      </c>
    </row>
    <row r="57" spans="2:4">
      <c r="C57" s="2408" t="s">
        <v>1327</v>
      </c>
    </row>
    <row r="58" spans="2:4">
      <c r="C58" s="2408" t="s">
        <v>1326</v>
      </c>
    </row>
    <row r="59" spans="2:4">
      <c r="C59" s="2408" t="s">
        <v>1325</v>
      </c>
    </row>
    <row r="60" spans="2:4">
      <c r="C60" s="2408" t="s">
        <v>1324</v>
      </c>
    </row>
    <row r="61" spans="2:4">
      <c r="C61" s="2408" t="s">
        <v>2027</v>
      </c>
    </row>
    <row r="62" spans="2:4">
      <c r="C62" s="2408" t="s">
        <v>2028</v>
      </c>
    </row>
    <row r="63" spans="2:4">
      <c r="C63" s="2408" t="s">
        <v>1387</v>
      </c>
    </row>
    <row r="64" spans="2:4">
      <c r="C64" s="462"/>
    </row>
  </sheetData>
  <pageMargins left="0.7" right="0.7" top="0.55000000000000004" bottom="0.75" header="0.3" footer="0.3"/>
  <pageSetup scale="18"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17" customWidth="1"/>
    <col min="2" max="2" width="11.28515625" style="1617" customWidth="1"/>
    <col min="3" max="3" width="19.28515625" style="1617" customWidth="1"/>
    <col min="4" max="4" width="16.28515625" style="1617" customWidth="1"/>
    <col min="5" max="5" width="19.140625" style="1617" customWidth="1"/>
    <col min="6" max="6" width="18.5703125" style="1617" customWidth="1"/>
    <col min="7" max="7" width="15.28515625" style="1617" customWidth="1"/>
    <col min="8" max="8" width="13.28515625" style="1617" customWidth="1"/>
    <col min="9" max="9" width="15.7109375" style="1617" customWidth="1"/>
    <col min="10" max="10" width="17.140625" style="1617" customWidth="1"/>
    <col min="11" max="11" width="14.140625" style="1617" customWidth="1"/>
    <col min="12" max="12" width="16.140625" style="1617" customWidth="1"/>
    <col min="13" max="16384" width="9.140625" style="1617"/>
  </cols>
  <sheetData>
    <row r="1" spans="2:5">
      <c r="B1" s="2600" t="s">
        <v>2427</v>
      </c>
    </row>
    <row r="3" spans="2:5">
      <c r="D3" s="2602"/>
    </row>
    <row r="4" spans="2:5">
      <c r="B4" s="2646" t="s">
        <v>2197</v>
      </c>
      <c r="C4" s="1626"/>
    </row>
    <row r="5" spans="2:5">
      <c r="B5" s="1622">
        <v>43131</v>
      </c>
      <c r="C5" s="2598">
        <v>3817934.5900000008</v>
      </c>
    </row>
    <row r="6" spans="2:5">
      <c r="B6" s="1622">
        <v>43159</v>
      </c>
      <c r="C6" s="2599">
        <v>5976322.580000001</v>
      </c>
    </row>
    <row r="7" spans="2:5" ht="15" customHeight="1">
      <c r="B7" s="1622">
        <v>43190</v>
      </c>
      <c r="C7" s="2599">
        <v>6869209.2900000075</v>
      </c>
      <c r="E7" s="2601"/>
    </row>
    <row r="8" spans="2:5">
      <c r="B8" s="1622">
        <v>43220</v>
      </c>
      <c r="C8" s="2599">
        <v>30113037.068766449</v>
      </c>
    </row>
    <row r="9" spans="2:5">
      <c r="B9" s="1622">
        <v>43251</v>
      </c>
      <c r="C9" s="2599">
        <v>16362523.325199798</v>
      </c>
    </row>
    <row r="10" spans="2:5">
      <c r="B10" s="1622">
        <v>43281</v>
      </c>
      <c r="C10" s="2599">
        <v>5993213.2803764446</v>
      </c>
    </row>
    <row r="11" spans="2:5">
      <c r="B11" s="1622">
        <v>43312</v>
      </c>
      <c r="C11" s="2599">
        <v>9339583.6541652046</v>
      </c>
    </row>
    <row r="12" spans="2:5">
      <c r="B12" s="1622">
        <v>43343</v>
      </c>
      <c r="C12" s="2599">
        <v>9334715.7398051508</v>
      </c>
    </row>
    <row r="13" spans="2:5">
      <c r="B13" s="1622">
        <v>43373</v>
      </c>
      <c r="C13" s="2599">
        <v>7520123.5311698625</v>
      </c>
    </row>
    <row r="14" spans="2:5">
      <c r="B14" s="1622">
        <v>43404</v>
      </c>
      <c r="C14" s="2599">
        <v>13429754.084848458</v>
      </c>
    </row>
    <row r="15" spans="2:5">
      <c r="B15" s="1622">
        <v>43434</v>
      </c>
      <c r="C15" s="2599">
        <v>18710360.439459912</v>
      </c>
    </row>
    <row r="16" spans="2:5">
      <c r="B16" s="1622">
        <v>43465</v>
      </c>
      <c r="C16" s="1585">
        <v>68757692.210869104</v>
      </c>
    </row>
    <row r="19" spans="1:12">
      <c r="A19" s="400"/>
      <c r="B19" s="1620" t="s">
        <v>2221</v>
      </c>
      <c r="C19" s="1589"/>
      <c r="D19" s="1588"/>
      <c r="E19" s="403"/>
      <c r="F19" s="403"/>
      <c r="G19" s="403"/>
      <c r="H19" s="403"/>
      <c r="I19" s="403"/>
      <c r="J19" s="403"/>
      <c r="K19" s="403"/>
      <c r="L19" s="403"/>
    </row>
    <row r="20" spans="1:12">
      <c r="A20" s="1597"/>
      <c r="B20" s="405"/>
      <c r="C20" s="2221" t="s">
        <v>200</v>
      </c>
      <c r="D20" s="2221" t="s">
        <v>201</v>
      </c>
      <c r="E20" s="2221" t="s">
        <v>532</v>
      </c>
      <c r="F20" s="2221" t="s">
        <v>114</v>
      </c>
      <c r="G20" s="2221" t="s">
        <v>115</v>
      </c>
      <c r="H20" s="2221" t="s">
        <v>116</v>
      </c>
      <c r="I20" s="2221" t="s">
        <v>117</v>
      </c>
      <c r="J20" s="2221" t="s">
        <v>118</v>
      </c>
      <c r="K20" s="2221" t="s">
        <v>119</v>
      </c>
      <c r="L20" s="2221" t="s">
        <v>120</v>
      </c>
    </row>
    <row r="21" spans="1:12">
      <c r="A21" s="1597"/>
      <c r="B21" s="405"/>
      <c r="C21" s="2222" t="s">
        <v>124</v>
      </c>
      <c r="D21" s="2222" t="s">
        <v>124</v>
      </c>
      <c r="E21" s="2222" t="s">
        <v>124</v>
      </c>
      <c r="F21" s="2222" t="s">
        <v>124</v>
      </c>
      <c r="G21" s="2222" t="s">
        <v>124</v>
      </c>
      <c r="H21" s="2222" t="s">
        <v>124</v>
      </c>
      <c r="I21" s="2222" t="s">
        <v>124</v>
      </c>
      <c r="J21" s="2222" t="s">
        <v>124</v>
      </c>
      <c r="K21" s="2222" t="s">
        <v>124</v>
      </c>
      <c r="L21" s="2222" t="s">
        <v>124</v>
      </c>
    </row>
    <row r="22" spans="1:12">
      <c r="A22" s="1597"/>
      <c r="B22" s="403"/>
      <c r="C22" s="2223" t="s">
        <v>429</v>
      </c>
      <c r="D22" s="2223"/>
      <c r="E22" s="2223" t="s">
        <v>362</v>
      </c>
      <c r="F22" s="2223" t="s">
        <v>362</v>
      </c>
      <c r="G22" s="2223" t="s">
        <v>362</v>
      </c>
      <c r="H22" s="2223" t="s">
        <v>362</v>
      </c>
      <c r="I22" s="2223" t="s">
        <v>362</v>
      </c>
      <c r="J22" s="2223" t="s">
        <v>362</v>
      </c>
      <c r="K22" s="2223" t="s">
        <v>362</v>
      </c>
      <c r="L22" s="2223" t="s">
        <v>362</v>
      </c>
    </row>
    <row r="23" spans="1:12">
      <c r="A23" s="1597"/>
      <c r="B23" s="403"/>
      <c r="C23" t="s">
        <v>1589</v>
      </c>
      <c r="D23" s="1615"/>
      <c r="E23" s="1615" t="s">
        <v>283</v>
      </c>
      <c r="F23" s="1615" t="s">
        <v>215</v>
      </c>
      <c r="G23" s="1615" t="s">
        <v>228</v>
      </c>
      <c r="H23" s="1615" t="s">
        <v>226</v>
      </c>
      <c r="I23" s="1615" t="s">
        <v>107</v>
      </c>
      <c r="J23" s="1615" t="s">
        <v>229</v>
      </c>
      <c r="K23" s="1615" t="s">
        <v>25</v>
      </c>
      <c r="L23" s="1632" t="s">
        <v>550</v>
      </c>
    </row>
    <row r="24" spans="1:12">
      <c r="A24" s="1597"/>
      <c r="B24" s="1586"/>
      <c r="C24" s="1584"/>
      <c r="D24" s="1640"/>
      <c r="E24" s="1640"/>
      <c r="F24" s="1640"/>
      <c r="G24" s="1640"/>
      <c r="H24" s="1640"/>
      <c r="I24" s="1640"/>
      <c r="J24" s="1640"/>
      <c r="K24" s="1640"/>
      <c r="L24" s="1583"/>
    </row>
    <row r="25" spans="1:12">
      <c r="A25" s="1597"/>
      <c r="B25" s="1622">
        <f t="shared" ref="B25:B36" si="0">B5</f>
        <v>43131</v>
      </c>
      <c r="C25" s="1630">
        <f>C5-L25</f>
        <v>3817934.5900000008</v>
      </c>
      <c r="D25" s="1624">
        <v>0</v>
      </c>
      <c r="E25" s="1624">
        <v>0</v>
      </c>
      <c r="F25" s="1624">
        <v>0</v>
      </c>
      <c r="G25" s="1624">
        <v>0</v>
      </c>
      <c r="H25" s="1624">
        <v>0</v>
      </c>
      <c r="I25" s="1624">
        <v>0</v>
      </c>
      <c r="J25" s="1624">
        <v>0</v>
      </c>
      <c r="K25" s="1624">
        <v>0</v>
      </c>
      <c r="L25" s="1583">
        <f t="shared" ref="L25:L36" si="1">SUM(D25:K25)</f>
        <v>0</v>
      </c>
    </row>
    <row r="26" spans="1:12">
      <c r="A26" s="1597"/>
      <c r="B26" s="1622">
        <f t="shared" si="0"/>
        <v>43159</v>
      </c>
      <c r="C26" s="1630">
        <f t="shared" ref="C26:C36" si="2">C6-L26</f>
        <v>5976256.1500000013</v>
      </c>
      <c r="D26" s="1624">
        <v>0</v>
      </c>
      <c r="E26" s="1624">
        <v>66.430000000000007</v>
      </c>
      <c r="F26" s="1624">
        <v>0</v>
      </c>
      <c r="G26" s="1624">
        <v>0</v>
      </c>
      <c r="H26" s="1624">
        <v>0</v>
      </c>
      <c r="I26" s="1624">
        <v>0</v>
      </c>
      <c r="J26" s="1624">
        <v>0</v>
      </c>
      <c r="K26" s="1624">
        <v>0</v>
      </c>
      <c r="L26" s="1583">
        <f t="shared" si="1"/>
        <v>66.430000000000007</v>
      </c>
    </row>
    <row r="27" spans="1:12">
      <c r="A27" s="1597"/>
      <c r="B27" s="1622">
        <f t="shared" si="0"/>
        <v>43190</v>
      </c>
      <c r="C27" s="1630">
        <f t="shared" si="2"/>
        <v>6869209.2900000075</v>
      </c>
      <c r="D27" s="1624">
        <v>0</v>
      </c>
      <c r="E27" s="1624">
        <v>0</v>
      </c>
      <c r="F27" s="1624">
        <v>0</v>
      </c>
      <c r="G27" s="1624">
        <v>0</v>
      </c>
      <c r="H27" s="1624">
        <v>0</v>
      </c>
      <c r="I27" s="1624">
        <v>0</v>
      </c>
      <c r="J27" s="1624">
        <v>0</v>
      </c>
      <c r="K27" s="1624">
        <v>0</v>
      </c>
      <c r="L27" s="1583">
        <f t="shared" si="1"/>
        <v>0</v>
      </c>
    </row>
    <row r="28" spans="1:12">
      <c r="A28" s="1597"/>
      <c r="B28" s="1622">
        <f t="shared" si="0"/>
        <v>43220</v>
      </c>
      <c r="C28" s="1630">
        <f t="shared" si="2"/>
        <v>30113037.068766449</v>
      </c>
      <c r="D28" s="1624">
        <v>0</v>
      </c>
      <c r="E28" s="1624">
        <v>0</v>
      </c>
      <c r="F28" s="1624">
        <v>0</v>
      </c>
      <c r="G28" s="1624">
        <v>0</v>
      </c>
      <c r="H28" s="1624">
        <v>0</v>
      </c>
      <c r="I28" s="1624">
        <v>0</v>
      </c>
      <c r="J28" s="1624">
        <v>0</v>
      </c>
      <c r="K28" s="1624">
        <v>0</v>
      </c>
      <c r="L28" s="1583">
        <f t="shared" si="1"/>
        <v>0</v>
      </c>
    </row>
    <row r="29" spans="1:12">
      <c r="A29" s="1597"/>
      <c r="B29" s="1622">
        <f t="shared" si="0"/>
        <v>43251</v>
      </c>
      <c r="C29" s="1630">
        <f t="shared" si="2"/>
        <v>16262523.325199798</v>
      </c>
      <c r="D29" s="1624">
        <v>0</v>
      </c>
      <c r="E29" s="1624">
        <v>100000</v>
      </c>
      <c r="F29" s="1624">
        <v>0</v>
      </c>
      <c r="G29" s="1624">
        <v>0</v>
      </c>
      <c r="H29" s="1624">
        <v>0</v>
      </c>
      <c r="I29" s="1624">
        <v>0</v>
      </c>
      <c r="J29" s="1624">
        <v>0</v>
      </c>
      <c r="K29" s="1624">
        <v>0</v>
      </c>
      <c r="L29" s="1583">
        <f t="shared" si="1"/>
        <v>100000</v>
      </c>
    </row>
    <row r="30" spans="1:12">
      <c r="A30" s="1597"/>
      <c r="B30" s="1622">
        <f t="shared" si="0"/>
        <v>43281</v>
      </c>
      <c r="C30" s="1630">
        <f t="shared" si="2"/>
        <v>5893213.2803764446</v>
      </c>
      <c r="D30" s="1624">
        <v>0</v>
      </c>
      <c r="E30" s="1624">
        <v>100000</v>
      </c>
      <c r="F30" s="1624">
        <v>0</v>
      </c>
      <c r="G30" s="1624">
        <v>0</v>
      </c>
      <c r="H30" s="1624">
        <v>0</v>
      </c>
      <c r="I30" s="1624">
        <v>0</v>
      </c>
      <c r="J30" s="1624">
        <v>0</v>
      </c>
      <c r="K30" s="1624">
        <v>0</v>
      </c>
      <c r="L30" s="1583">
        <f t="shared" si="1"/>
        <v>100000</v>
      </c>
    </row>
    <row r="31" spans="1:12">
      <c r="A31" s="1597"/>
      <c r="B31" s="1622">
        <f t="shared" si="0"/>
        <v>43312</v>
      </c>
      <c r="C31" s="1630">
        <f t="shared" si="2"/>
        <v>9239583.6541652046</v>
      </c>
      <c r="D31" s="1624">
        <v>0</v>
      </c>
      <c r="E31" s="1624">
        <v>100000</v>
      </c>
      <c r="F31" s="1624">
        <v>0</v>
      </c>
      <c r="G31" s="1624">
        <v>0</v>
      </c>
      <c r="H31" s="1624">
        <v>0</v>
      </c>
      <c r="I31" s="1624">
        <v>0</v>
      </c>
      <c r="J31" s="1624">
        <v>0</v>
      </c>
      <c r="K31" s="1624">
        <v>0</v>
      </c>
      <c r="L31" s="1583">
        <f t="shared" si="1"/>
        <v>100000</v>
      </c>
    </row>
    <row r="32" spans="1:12">
      <c r="A32" s="1597"/>
      <c r="B32" s="1622">
        <f t="shared" si="0"/>
        <v>43343</v>
      </c>
      <c r="C32" s="1630">
        <f t="shared" si="2"/>
        <v>9334715.7398051508</v>
      </c>
      <c r="D32" s="1624">
        <v>0</v>
      </c>
      <c r="E32" s="1624">
        <v>0</v>
      </c>
      <c r="F32" s="1624">
        <v>0</v>
      </c>
      <c r="G32" s="1624">
        <v>0</v>
      </c>
      <c r="H32" s="1624">
        <v>0</v>
      </c>
      <c r="I32" s="1624">
        <v>0</v>
      </c>
      <c r="J32" s="1624">
        <v>0</v>
      </c>
      <c r="K32" s="1624">
        <v>0</v>
      </c>
      <c r="L32" s="1583">
        <f t="shared" si="1"/>
        <v>0</v>
      </c>
    </row>
    <row r="33" spans="1:12">
      <c r="A33" s="1597"/>
      <c r="B33" s="1622">
        <f t="shared" si="0"/>
        <v>43373</v>
      </c>
      <c r="C33" s="1630">
        <f t="shared" si="2"/>
        <v>7520123.5311698625</v>
      </c>
      <c r="D33" s="1624">
        <v>0</v>
      </c>
      <c r="E33" s="1624">
        <v>0</v>
      </c>
      <c r="F33" s="1624">
        <v>0</v>
      </c>
      <c r="G33" s="1624">
        <v>0</v>
      </c>
      <c r="H33" s="1624">
        <v>0</v>
      </c>
      <c r="I33" s="1624">
        <v>0</v>
      </c>
      <c r="J33" s="1624">
        <v>0</v>
      </c>
      <c r="K33" s="1624">
        <v>0</v>
      </c>
      <c r="L33" s="1583">
        <f t="shared" si="1"/>
        <v>0</v>
      </c>
    </row>
    <row r="34" spans="1:12">
      <c r="A34" s="1597"/>
      <c r="B34" s="1622">
        <f t="shared" si="0"/>
        <v>43404</v>
      </c>
      <c r="C34" s="1630">
        <f t="shared" si="2"/>
        <v>10000760.398258938</v>
      </c>
      <c r="D34" s="1624">
        <v>0</v>
      </c>
      <c r="E34" s="1624">
        <v>0</v>
      </c>
      <c r="F34" s="1624">
        <v>0</v>
      </c>
      <c r="G34" s="1624">
        <v>3428993.68658952</v>
      </c>
      <c r="H34" s="1624">
        <v>0</v>
      </c>
      <c r="I34" s="1624">
        <v>0</v>
      </c>
      <c r="J34" s="1624">
        <v>0</v>
      </c>
      <c r="K34" s="1624">
        <v>0</v>
      </c>
      <c r="L34" s="1583">
        <f t="shared" si="1"/>
        <v>3428993.68658952</v>
      </c>
    </row>
    <row r="35" spans="1:12">
      <c r="A35" s="1597"/>
      <c r="B35" s="1622">
        <f t="shared" si="0"/>
        <v>43434</v>
      </c>
      <c r="C35" s="1630">
        <f t="shared" si="2"/>
        <v>16710360.439459912</v>
      </c>
      <c r="D35" s="1624">
        <v>0</v>
      </c>
      <c r="E35" s="1624">
        <v>2000000</v>
      </c>
      <c r="F35" s="1624">
        <v>0</v>
      </c>
      <c r="G35" s="1624">
        <v>0</v>
      </c>
      <c r="H35" s="1624">
        <v>0</v>
      </c>
      <c r="I35" s="1624">
        <v>0</v>
      </c>
      <c r="J35" s="1624">
        <v>0</v>
      </c>
      <c r="K35" s="1624">
        <v>0</v>
      </c>
      <c r="L35" s="1583">
        <f t="shared" si="1"/>
        <v>2000000</v>
      </c>
    </row>
    <row r="36" spans="1:12">
      <c r="A36" s="1597"/>
      <c r="B36" s="1622">
        <f t="shared" si="0"/>
        <v>43465</v>
      </c>
      <c r="C36" s="1627">
        <f t="shared" si="2"/>
        <v>68757692.210869104</v>
      </c>
      <c r="D36" s="1623">
        <v>0</v>
      </c>
      <c r="E36" s="1623">
        <v>0</v>
      </c>
      <c r="F36" s="1623">
        <v>0</v>
      </c>
      <c r="G36" s="1623">
        <v>0</v>
      </c>
      <c r="H36" s="1623">
        <v>0</v>
      </c>
      <c r="I36" s="1623">
        <v>0</v>
      </c>
      <c r="J36" s="1623">
        <v>0</v>
      </c>
      <c r="K36" s="1623">
        <v>0</v>
      </c>
      <c r="L36" s="1631">
        <f t="shared" si="1"/>
        <v>0</v>
      </c>
    </row>
    <row r="37" spans="1:12">
      <c r="A37" s="400"/>
      <c r="B37" s="403" t="s">
        <v>282</v>
      </c>
      <c r="C37" s="1582">
        <f>SUM(C24:C36)</f>
        <v>190495409.67807087</v>
      </c>
      <c r="D37" s="1582">
        <f t="shared" ref="D37:K37" si="3">SUM(D24:D36)</f>
        <v>0</v>
      </c>
      <c r="E37" s="1582">
        <f>SUM(E24:E36)</f>
        <v>2300066.4300000002</v>
      </c>
      <c r="F37" s="1582">
        <f>SUM(F24:F36)</f>
        <v>0</v>
      </c>
      <c r="G37" s="1582">
        <f t="shared" si="3"/>
        <v>3428993.68658952</v>
      </c>
      <c r="H37" s="1582">
        <f t="shared" si="3"/>
        <v>0</v>
      </c>
      <c r="I37" s="1582">
        <f t="shared" si="3"/>
        <v>0</v>
      </c>
      <c r="J37" s="1582">
        <f t="shared" si="3"/>
        <v>0</v>
      </c>
      <c r="K37" s="1582">
        <f t="shared" si="3"/>
        <v>0</v>
      </c>
      <c r="L37" s="1582">
        <f>SUM(L24:L36)</f>
        <v>5729060.1165895201</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30"/>
  <sheetViews>
    <sheetView workbookViewId="0"/>
  </sheetViews>
  <sheetFormatPr defaultRowHeight="15"/>
  <cols>
    <col min="1" max="1" width="7.5703125" style="1748" customWidth="1"/>
    <col min="2" max="2" width="6" style="1748" customWidth="1"/>
    <col min="3" max="7" width="18.140625" style="1748" customWidth="1"/>
    <col min="8" max="8" width="2" style="1748" customWidth="1"/>
    <col min="9" max="9" width="19.140625" style="1748" customWidth="1"/>
    <col min="10" max="13" width="18.7109375" style="1748" customWidth="1"/>
    <col min="14" max="16384" width="9.140625" style="1748"/>
  </cols>
  <sheetData>
    <row r="1" spans="1:13">
      <c r="A1" s="1598" t="s">
        <v>1366</v>
      </c>
      <c r="B1" s="1605"/>
      <c r="C1" s="1605"/>
      <c r="D1" s="1605"/>
      <c r="E1" s="1605"/>
      <c r="F1" s="1605"/>
      <c r="G1" s="1605"/>
      <c r="H1" s="1616"/>
      <c r="I1" s="1625"/>
      <c r="J1" s="1625"/>
      <c r="K1" s="1625"/>
      <c r="L1" s="1625"/>
      <c r="M1" s="1625"/>
    </row>
    <row r="2" spans="1:13">
      <c r="A2" s="1590" t="s">
        <v>2031</v>
      </c>
      <c r="B2" s="1605"/>
      <c r="C2" s="1605"/>
      <c r="D2" s="1605"/>
      <c r="E2" s="1605"/>
      <c r="F2" s="1605"/>
      <c r="G2" s="1605"/>
      <c r="H2" s="1616"/>
      <c r="I2" s="1625"/>
      <c r="J2" s="1625"/>
      <c r="K2" s="1625"/>
      <c r="L2" s="1625"/>
      <c r="M2" s="1625"/>
    </row>
    <row r="3" spans="1:13">
      <c r="A3" s="1605"/>
      <c r="B3" s="1605"/>
      <c r="C3" s="1605"/>
      <c r="D3" s="1605"/>
      <c r="E3" s="1605"/>
      <c r="F3" s="1605"/>
      <c r="G3" s="1605"/>
      <c r="H3" s="1616"/>
      <c r="I3" s="1625"/>
      <c r="J3" s="1625"/>
      <c r="K3" s="1625"/>
      <c r="L3" s="1625"/>
      <c r="M3" s="1625"/>
    </row>
    <row r="4" spans="1:13">
      <c r="A4" s="1612" t="s">
        <v>1365</v>
      </c>
      <c r="B4" s="1605"/>
      <c r="C4" s="1605"/>
      <c r="D4" s="1605"/>
      <c r="E4" s="1605"/>
      <c r="F4" s="1605"/>
      <c r="G4" s="1605"/>
      <c r="H4" s="1616"/>
      <c r="I4" s="1625"/>
      <c r="J4" s="1625"/>
      <c r="K4" s="1625"/>
      <c r="L4" s="1625"/>
      <c r="M4" s="1625"/>
    </row>
    <row r="5" spans="1:13">
      <c r="A5" s="1749" t="s">
        <v>1360</v>
      </c>
      <c r="B5" s="1634"/>
      <c r="C5" s="1616"/>
      <c r="D5" s="1616"/>
      <c r="E5" s="1616"/>
      <c r="F5" s="1616"/>
      <c r="G5" s="1616"/>
      <c r="H5" s="1616"/>
      <c r="I5" s="1625"/>
      <c r="J5" s="1750"/>
      <c r="K5" s="1625"/>
      <c r="L5" s="1625"/>
      <c r="M5" s="1625"/>
    </row>
    <row r="6" spans="1:13">
      <c r="A6" s="1749" t="s">
        <v>1394</v>
      </c>
      <c r="B6" s="1634"/>
      <c r="C6" s="1616"/>
      <c r="D6" s="1616"/>
      <c r="E6" s="1616"/>
      <c r="F6" s="1616"/>
      <c r="G6" s="1616"/>
      <c r="H6" s="1616"/>
      <c r="I6" s="1625"/>
      <c r="J6" s="1750"/>
      <c r="K6" s="1625"/>
      <c r="L6" s="1625"/>
      <c r="M6" s="1625"/>
    </row>
    <row r="7" spans="1:13">
      <c r="A7" s="1605"/>
      <c r="B7" s="1605"/>
      <c r="C7" s="1605"/>
      <c r="D7" s="1605"/>
      <c r="E7" s="1605"/>
      <c r="F7" s="1605"/>
      <c r="G7" s="1605"/>
      <c r="H7" s="1616"/>
      <c r="I7" s="1625"/>
      <c r="J7" s="1643" t="s">
        <v>1367</v>
      </c>
      <c r="K7" s="1625"/>
      <c r="L7" s="1625"/>
      <c r="M7" s="1625"/>
    </row>
    <row r="8" spans="1:13">
      <c r="A8" s="1605"/>
      <c r="B8" s="1605"/>
      <c r="C8" s="1605"/>
      <c r="D8" s="1605"/>
      <c r="E8" s="1605"/>
      <c r="F8" s="1605"/>
      <c r="G8" s="1605"/>
      <c r="H8" s="1616"/>
      <c r="I8" s="1625"/>
      <c r="J8" s="1751">
        <f>1/58/12</f>
        <v>1.4367816091954023E-3</v>
      </c>
      <c r="K8" s="1752"/>
      <c r="L8" s="1752"/>
      <c r="M8" s="1752"/>
    </row>
    <row r="9" spans="1:13" ht="43.5">
      <c r="A9" s="2195" t="s">
        <v>141</v>
      </c>
      <c r="B9" s="2195" t="s">
        <v>1364</v>
      </c>
      <c r="C9" s="2220" t="s">
        <v>1369</v>
      </c>
      <c r="D9" s="2196" t="s">
        <v>1363</v>
      </c>
      <c r="E9" s="2196" t="s">
        <v>469</v>
      </c>
      <c r="F9" s="2197" t="s">
        <v>1362</v>
      </c>
      <c r="G9" s="2197" t="s">
        <v>1361</v>
      </c>
      <c r="H9" s="2198"/>
      <c r="I9" s="2199" t="s">
        <v>1368</v>
      </c>
      <c r="J9" s="2200" t="s">
        <v>1371</v>
      </c>
      <c r="K9" s="2200" t="s">
        <v>1370</v>
      </c>
      <c r="L9" s="2200" t="s">
        <v>1372</v>
      </c>
      <c r="M9" s="2201" t="s">
        <v>1373</v>
      </c>
    </row>
    <row r="10" spans="1:13">
      <c r="A10" s="2202">
        <v>2008</v>
      </c>
      <c r="B10" s="2203">
        <v>12</v>
      </c>
      <c r="C10" s="2204"/>
      <c r="D10" s="2196"/>
      <c r="E10" s="2196"/>
      <c r="F10" s="2196"/>
      <c r="G10" s="2196"/>
      <c r="H10" s="2204"/>
      <c r="I10" s="2205"/>
      <c r="J10" s="2206"/>
      <c r="K10" s="2206"/>
      <c r="L10" s="2206"/>
      <c r="M10" s="2206"/>
    </row>
    <row r="11" spans="1:13">
      <c r="A11" s="2202">
        <v>2009</v>
      </c>
      <c r="B11" s="2203">
        <v>1</v>
      </c>
      <c r="C11" s="2207">
        <v>5595.33</v>
      </c>
      <c r="D11" s="2208"/>
      <c r="E11" s="2208">
        <v>196.67</v>
      </c>
      <c r="F11" s="2208"/>
      <c r="G11" s="2209">
        <v>5792</v>
      </c>
      <c r="H11" s="2210"/>
      <c r="I11" s="2211">
        <f>SUM(C$11:C11)</f>
        <v>5595.33</v>
      </c>
      <c r="J11" s="2211"/>
      <c r="K11" s="2211"/>
      <c r="L11" s="2211"/>
      <c r="M11" s="2211"/>
    </row>
    <row r="12" spans="1:13">
      <c r="A12" s="2203"/>
      <c r="B12" s="2203">
        <v>2</v>
      </c>
      <c r="C12" s="2207"/>
      <c r="D12" s="2208"/>
      <c r="E12" s="2208">
        <v>29.170000000000016</v>
      </c>
      <c r="F12" s="2208"/>
      <c r="G12" s="2209">
        <v>29.170000000000016</v>
      </c>
      <c r="H12" s="2210"/>
      <c r="I12" s="2211">
        <f>SUM(C$11:C12)</f>
        <v>5595.33</v>
      </c>
      <c r="J12" s="2211"/>
      <c r="K12" s="2211"/>
      <c r="L12" s="2211"/>
      <c r="M12" s="2211"/>
    </row>
    <row r="13" spans="1:13">
      <c r="A13" s="2203"/>
      <c r="B13" s="2203">
        <v>3</v>
      </c>
      <c r="C13" s="2207">
        <v>-5595.33</v>
      </c>
      <c r="D13" s="2208">
        <v>5595.33</v>
      </c>
      <c r="E13" s="2208">
        <v>11.87</v>
      </c>
      <c r="F13" s="2208"/>
      <c r="G13" s="2209">
        <v>11.87</v>
      </c>
      <c r="H13" s="2210"/>
      <c r="I13" s="2211">
        <f>SUM(C$11:C13)</f>
        <v>0</v>
      </c>
      <c r="J13" s="2211"/>
      <c r="K13" s="2211"/>
      <c r="L13" s="2211"/>
      <c r="M13" s="2211"/>
    </row>
    <row r="14" spans="1:13">
      <c r="A14" s="2203"/>
      <c r="B14" s="2203">
        <v>4</v>
      </c>
      <c r="C14" s="2207"/>
      <c r="D14" s="2208"/>
      <c r="E14" s="2208">
        <v>2.14</v>
      </c>
      <c r="F14" s="2208"/>
      <c r="G14" s="2209">
        <v>2.14</v>
      </c>
      <c r="H14" s="2210"/>
      <c r="I14" s="2211">
        <f>SUM(C$11:C14)</f>
        <v>0</v>
      </c>
      <c r="J14" s="2211"/>
      <c r="K14" s="2211"/>
      <c r="L14" s="2211"/>
      <c r="M14" s="2211"/>
    </row>
    <row r="15" spans="1:13">
      <c r="A15" s="2203"/>
      <c r="B15" s="2203">
        <v>5</v>
      </c>
      <c r="C15" s="2207"/>
      <c r="D15" s="2208"/>
      <c r="E15" s="2208">
        <v>0.1</v>
      </c>
      <c r="F15" s="2208"/>
      <c r="G15" s="2209">
        <v>0.1</v>
      </c>
      <c r="H15" s="2210"/>
      <c r="I15" s="2211">
        <f>SUM(C$11:C15)</f>
        <v>0</v>
      </c>
      <c r="J15" s="2211"/>
      <c r="K15" s="2211"/>
      <c r="L15" s="2211"/>
      <c r="M15" s="2211"/>
    </row>
    <row r="16" spans="1:13">
      <c r="A16" s="2203"/>
      <c r="B16" s="2203">
        <v>6</v>
      </c>
      <c r="C16" s="2207"/>
      <c r="D16" s="2208"/>
      <c r="E16" s="2208">
        <v>0.1</v>
      </c>
      <c r="F16" s="2208"/>
      <c r="G16" s="2209">
        <v>0.1</v>
      </c>
      <c r="H16" s="2210"/>
      <c r="I16" s="2211">
        <f>SUM(C$11:C16)</f>
        <v>0</v>
      </c>
      <c r="J16" s="2211"/>
      <c r="K16" s="2211"/>
      <c r="L16" s="2211"/>
      <c r="M16" s="2211"/>
    </row>
    <row r="17" spans="1:13">
      <c r="A17" s="2203"/>
      <c r="B17" s="2203">
        <v>7</v>
      </c>
      <c r="C17" s="2207"/>
      <c r="D17" s="2208"/>
      <c r="E17" s="2208">
        <v>291535.07</v>
      </c>
      <c r="F17" s="2208"/>
      <c r="G17" s="2209">
        <v>291535.07</v>
      </c>
      <c r="H17" s="2210"/>
      <c r="I17" s="2211">
        <f>SUM(C$11:C17)</f>
        <v>0</v>
      </c>
      <c r="J17" s="2211"/>
      <c r="K17" s="2211"/>
      <c r="L17" s="2211"/>
      <c r="M17" s="2211"/>
    </row>
    <row r="18" spans="1:13">
      <c r="A18" s="2203"/>
      <c r="B18" s="2203">
        <v>8</v>
      </c>
      <c r="C18" s="2207"/>
      <c r="D18" s="2208">
        <v>22386.29</v>
      </c>
      <c r="E18" s="2208">
        <v>834.29000000000008</v>
      </c>
      <c r="F18" s="2208"/>
      <c r="G18" s="2209">
        <v>23220.58</v>
      </c>
      <c r="H18" s="2210"/>
      <c r="I18" s="2211">
        <f>SUM(C$11:C18)</f>
        <v>0</v>
      </c>
      <c r="J18" s="2211"/>
      <c r="K18" s="2211"/>
      <c r="L18" s="2211"/>
      <c r="M18" s="2211"/>
    </row>
    <row r="19" spans="1:13">
      <c r="A19" s="2203"/>
      <c r="B19" s="2203">
        <v>9</v>
      </c>
      <c r="C19" s="2207"/>
      <c r="D19" s="2208">
        <v>3940</v>
      </c>
      <c r="E19" s="2208">
        <v>2218516.3000000003</v>
      </c>
      <c r="F19" s="2208"/>
      <c r="G19" s="2209">
        <v>2222456.3000000003</v>
      </c>
      <c r="H19" s="2210"/>
      <c r="I19" s="2211">
        <f>SUM(C$11:C19)</f>
        <v>0</v>
      </c>
      <c r="J19" s="2211"/>
      <c r="K19" s="2211"/>
      <c r="L19" s="2211"/>
      <c r="M19" s="2211"/>
    </row>
    <row r="20" spans="1:13">
      <c r="A20" s="2203"/>
      <c r="B20" s="2203">
        <v>10</v>
      </c>
      <c r="C20" s="2207"/>
      <c r="D20" s="2208">
        <v>0</v>
      </c>
      <c r="E20" s="2208">
        <v>14137.84</v>
      </c>
      <c r="F20" s="2208"/>
      <c r="G20" s="2209">
        <v>14137.84</v>
      </c>
      <c r="H20" s="2210"/>
      <c r="I20" s="2211">
        <f>SUM(C$11:C20)</f>
        <v>0</v>
      </c>
      <c r="J20" s="2211"/>
      <c r="K20" s="2211"/>
      <c r="L20" s="2211"/>
      <c r="M20" s="2211"/>
    </row>
    <row r="21" spans="1:13">
      <c r="A21" s="2203"/>
      <c r="B21" s="2203">
        <v>11</v>
      </c>
      <c r="C21" s="2207"/>
      <c r="D21" s="2208"/>
      <c r="E21" s="2208">
        <v>713565.12</v>
      </c>
      <c r="F21" s="2208"/>
      <c r="G21" s="2209">
        <v>713565.12</v>
      </c>
      <c r="H21" s="2210"/>
      <c r="I21" s="2211">
        <f>SUM(C$11:C21)</f>
        <v>0</v>
      </c>
      <c r="J21" s="2211"/>
      <c r="K21" s="2211"/>
      <c r="L21" s="2211"/>
      <c r="M21" s="2211"/>
    </row>
    <row r="22" spans="1:13">
      <c r="A22" s="2203"/>
      <c r="B22" s="2203">
        <v>12</v>
      </c>
      <c r="C22" s="2207">
        <v>49329088.560000002</v>
      </c>
      <c r="D22" s="2208">
        <v>90.72</v>
      </c>
      <c r="E22" s="2208">
        <v>915261.9</v>
      </c>
      <c r="F22" s="2208"/>
      <c r="G22" s="2209">
        <v>50244441.18</v>
      </c>
      <c r="H22" s="2210"/>
      <c r="I22" s="2212">
        <f>SUM(C$11:C22)</f>
        <v>49329088.560000002</v>
      </c>
      <c r="J22" s="2213">
        <f>+C22*J$8*0.5+J$8*I21</f>
        <v>35437.56362068966</v>
      </c>
      <c r="K22" s="2213">
        <f>J22+K21</f>
        <v>35437.56362068966</v>
      </c>
      <c r="L22" s="2211">
        <f t="shared" ref="L22:L82" si="0">+I22-K22</f>
        <v>49293650.996379316</v>
      </c>
      <c r="M22" s="2213">
        <f>SUM(L10:L22)/13</f>
        <v>3791819.3074137936</v>
      </c>
    </row>
    <row r="23" spans="1:13">
      <c r="A23" s="2202">
        <v>2010</v>
      </c>
      <c r="B23" s="2203">
        <v>1</v>
      </c>
      <c r="C23" s="2208"/>
      <c r="D23" s="2208"/>
      <c r="E23" s="2208">
        <v>-2660.5800000000008</v>
      </c>
      <c r="F23" s="2208"/>
      <c r="G23" s="2209">
        <v>-2660.5800000000008</v>
      </c>
      <c r="H23" s="2210"/>
      <c r="I23" s="2211">
        <f>SUM(C$11:C23)</f>
        <v>49329088.560000002</v>
      </c>
      <c r="J23" s="2213">
        <f t="shared" ref="J23:J82" si="1">+C23*J$8*0.5+J$8*I22</f>
        <v>70875.127241379319</v>
      </c>
      <c r="K23" s="2213">
        <f>J23+K22</f>
        <v>106312.69086206898</v>
      </c>
      <c r="L23" s="2211">
        <f t="shared" si="0"/>
        <v>49222775.869137935</v>
      </c>
      <c r="M23" s="2211"/>
    </row>
    <row r="24" spans="1:13">
      <c r="A24" s="2203"/>
      <c r="B24" s="2203">
        <v>2</v>
      </c>
      <c r="C24" s="2208"/>
      <c r="D24" s="2208"/>
      <c r="E24" s="2208">
        <v>56707.81</v>
      </c>
      <c r="F24" s="2208"/>
      <c r="G24" s="2209">
        <v>56707.81</v>
      </c>
      <c r="H24" s="2210"/>
      <c r="I24" s="2211">
        <f>SUM(C$11:C24)</f>
        <v>49329088.560000002</v>
      </c>
      <c r="J24" s="2213">
        <f t="shared" si="1"/>
        <v>70875.127241379319</v>
      </c>
      <c r="K24" s="2213">
        <f t="shared" ref="K24:K82" si="2">J24+K23</f>
        <v>177187.81810344831</v>
      </c>
      <c r="L24" s="2211">
        <f t="shared" si="0"/>
        <v>49151900.741896555</v>
      </c>
      <c r="M24" s="2211"/>
    </row>
    <row r="25" spans="1:13">
      <c r="A25" s="2203"/>
      <c r="B25" s="2203">
        <v>3</v>
      </c>
      <c r="C25" s="2208">
        <v>186516475.59000003</v>
      </c>
      <c r="D25" s="2208">
        <v>4593.3</v>
      </c>
      <c r="E25" s="2208">
        <v>1540415.9000000001</v>
      </c>
      <c r="F25" s="2208"/>
      <c r="G25" s="2209">
        <v>188061484.79000005</v>
      </c>
      <c r="H25" s="2210"/>
      <c r="I25" s="2211">
        <f>SUM(C$11:C25)</f>
        <v>235845564.15000004</v>
      </c>
      <c r="J25" s="2213">
        <f t="shared" si="1"/>
        <v>204866.84821120693</v>
      </c>
      <c r="K25" s="2213">
        <f t="shared" si="2"/>
        <v>382054.66631465522</v>
      </c>
      <c r="L25" s="2211">
        <f t="shared" si="0"/>
        <v>235463509.48368537</v>
      </c>
      <c r="M25" s="2211"/>
    </row>
    <row r="26" spans="1:13">
      <c r="A26" s="2203"/>
      <c r="B26" s="2203">
        <v>4</v>
      </c>
      <c r="C26" s="2208">
        <v>10877334.39999998</v>
      </c>
      <c r="D26" s="2208">
        <v>4.9999999999727152E-2</v>
      </c>
      <c r="E26" s="2208">
        <v>101389.12</v>
      </c>
      <c r="F26" s="2208"/>
      <c r="G26" s="2209">
        <v>10978723.56999998</v>
      </c>
      <c r="H26" s="2210"/>
      <c r="I26" s="2211">
        <f>SUM(C$11:C26)</f>
        <v>246722898.55000001</v>
      </c>
      <c r="J26" s="2213">
        <f t="shared" si="1"/>
        <v>346672.74619252875</v>
      </c>
      <c r="K26" s="2213">
        <f t="shared" si="2"/>
        <v>728727.41250718397</v>
      </c>
      <c r="L26" s="2211">
        <f t="shared" si="0"/>
        <v>245994171.13749284</v>
      </c>
      <c r="M26" s="2211"/>
    </row>
    <row r="27" spans="1:13">
      <c r="A27" s="2203"/>
      <c r="B27" s="2203">
        <v>5</v>
      </c>
      <c r="C27" s="2208">
        <v>-353166.11999999569</v>
      </c>
      <c r="D27" s="2208"/>
      <c r="E27" s="2208">
        <v>45114.470000000008</v>
      </c>
      <c r="F27" s="2208"/>
      <c r="G27" s="2209">
        <v>-308051.64999999566</v>
      </c>
      <c r="H27" s="2210"/>
      <c r="I27" s="2211">
        <f>SUM(C$11:C27)</f>
        <v>246369732.43000001</v>
      </c>
      <c r="J27" s="2213">
        <f t="shared" si="1"/>
        <v>354233.21191091952</v>
      </c>
      <c r="K27" s="2213">
        <f t="shared" si="2"/>
        <v>1082960.6244181036</v>
      </c>
      <c r="L27" s="2211">
        <f t="shared" si="0"/>
        <v>245286771.8055819</v>
      </c>
      <c r="M27" s="2211"/>
    </row>
    <row r="28" spans="1:13">
      <c r="A28" s="2203"/>
      <c r="B28" s="2203">
        <v>6</v>
      </c>
      <c r="C28" s="2208">
        <v>798120.67999998387</v>
      </c>
      <c r="D28" s="2208">
        <v>-12163.470000000001</v>
      </c>
      <c r="E28" s="2208">
        <v>82042.029999999984</v>
      </c>
      <c r="F28" s="2208"/>
      <c r="G28" s="2209">
        <v>867999.23999998393</v>
      </c>
      <c r="H28" s="2210"/>
      <c r="I28" s="2211">
        <f>SUM(C$11:C28)</f>
        <v>247167853.10999998</v>
      </c>
      <c r="J28" s="2213">
        <f t="shared" si="1"/>
        <v>354552.86317528738</v>
      </c>
      <c r="K28" s="2213">
        <f t="shared" si="2"/>
        <v>1437513.487593391</v>
      </c>
      <c r="L28" s="2211">
        <f t="shared" si="0"/>
        <v>245730339.6224066</v>
      </c>
      <c r="M28" s="2211"/>
    </row>
    <row r="29" spans="1:13">
      <c r="A29" s="2203"/>
      <c r="B29" s="2203">
        <v>7</v>
      </c>
      <c r="C29" s="2208">
        <v>1116636.3700000001</v>
      </c>
      <c r="D29" s="2208">
        <v>1294.0999999999999</v>
      </c>
      <c r="E29" s="2208">
        <v>21234.670000000024</v>
      </c>
      <c r="F29" s="2208"/>
      <c r="G29" s="2209">
        <v>1139165.1400000001</v>
      </c>
      <c r="H29" s="2210"/>
      <c r="I29" s="2211">
        <f>SUM(C$11:C29)</f>
        <v>248284489.47999999</v>
      </c>
      <c r="J29" s="2213">
        <f t="shared" si="1"/>
        <v>355928.40703304595</v>
      </c>
      <c r="K29" s="2213">
        <f t="shared" si="2"/>
        <v>1793441.894626437</v>
      </c>
      <c r="L29" s="2211">
        <f t="shared" si="0"/>
        <v>246491047.58537355</v>
      </c>
      <c r="M29" s="2211"/>
    </row>
    <row r="30" spans="1:13">
      <c r="A30" s="2203"/>
      <c r="B30" s="2203">
        <v>8</v>
      </c>
      <c r="C30" s="2208">
        <v>392805.13</v>
      </c>
      <c r="D30" s="2208">
        <v>-38.079999999999927</v>
      </c>
      <c r="E30" s="2208">
        <v>32124.50999999998</v>
      </c>
      <c r="F30" s="2208"/>
      <c r="G30" s="2209">
        <v>424891.55999999994</v>
      </c>
      <c r="H30" s="2210"/>
      <c r="I30" s="2211">
        <f>SUM(C$11:C30)</f>
        <v>248677294.60999998</v>
      </c>
      <c r="J30" s="2213">
        <f t="shared" si="1"/>
        <v>357012.77592672413</v>
      </c>
      <c r="K30" s="2213">
        <f t="shared" si="2"/>
        <v>2150454.6705531613</v>
      </c>
      <c r="L30" s="2211">
        <f t="shared" si="0"/>
        <v>246526839.93944684</v>
      </c>
      <c r="M30" s="2211"/>
    </row>
    <row r="31" spans="1:13">
      <c r="A31" s="2203"/>
      <c r="B31" s="2203">
        <v>9</v>
      </c>
      <c r="C31" s="2208">
        <v>-81061.900000000038</v>
      </c>
      <c r="D31" s="2208">
        <v>-2506.2800000000002</v>
      </c>
      <c r="E31" s="2208">
        <v>-61825.96</v>
      </c>
      <c r="F31" s="2208"/>
      <c r="G31" s="2209">
        <v>-145394.14000000004</v>
      </c>
      <c r="H31" s="2210"/>
      <c r="I31" s="2211">
        <f>SUM(C$11:C31)</f>
        <v>248596232.70999998</v>
      </c>
      <c r="J31" s="2213">
        <f t="shared" si="1"/>
        <v>357236.72939655167</v>
      </c>
      <c r="K31" s="2213">
        <f t="shared" si="2"/>
        <v>2507691.3999497131</v>
      </c>
      <c r="L31" s="2211">
        <f t="shared" si="0"/>
        <v>246088541.31005028</v>
      </c>
      <c r="M31" s="2211"/>
    </row>
    <row r="32" spans="1:13">
      <c r="A32" s="2203"/>
      <c r="B32" s="2203">
        <v>10</v>
      </c>
      <c r="C32" s="2208">
        <v>87873223.509999976</v>
      </c>
      <c r="D32" s="2208">
        <v>36378.14</v>
      </c>
      <c r="E32" s="2208">
        <v>8623922.4899999984</v>
      </c>
      <c r="F32" s="2208">
        <v>364553.74</v>
      </c>
      <c r="G32" s="2209">
        <v>96898077.879999965</v>
      </c>
      <c r="H32" s="2210"/>
      <c r="I32" s="2211">
        <f>SUM(C$11:C32)</f>
        <v>336469456.21999997</v>
      </c>
      <c r="J32" s="2213">
        <f t="shared" si="1"/>
        <v>420305.81101293094</v>
      </c>
      <c r="K32" s="2213">
        <f t="shared" si="2"/>
        <v>2927997.2109626438</v>
      </c>
      <c r="L32" s="2211">
        <f t="shared" si="0"/>
        <v>333541459.00903732</v>
      </c>
      <c r="M32" s="2211"/>
    </row>
    <row r="33" spans="1:13">
      <c r="A33" s="2203"/>
      <c r="B33" s="2203">
        <v>11</v>
      </c>
      <c r="C33" s="2208">
        <v>434391075.3300001</v>
      </c>
      <c r="D33" s="2208">
        <v>-4161.4500000000007</v>
      </c>
      <c r="E33" s="2208">
        <v>-1457462.9400000004</v>
      </c>
      <c r="F33" s="2208">
        <v>2700529.23</v>
      </c>
      <c r="G33" s="2209">
        <v>435629980.17000014</v>
      </c>
      <c r="H33" s="2210"/>
      <c r="I33" s="2211">
        <f>SUM(C$11:C33)</f>
        <v>770860531.55000007</v>
      </c>
      <c r="J33" s="2213">
        <f t="shared" si="1"/>
        <v>795495.68086925289</v>
      </c>
      <c r="K33" s="2213">
        <f t="shared" si="2"/>
        <v>3723492.8918318967</v>
      </c>
      <c r="L33" s="2211">
        <f t="shared" si="0"/>
        <v>767137038.6581682</v>
      </c>
      <c r="M33" s="2211"/>
    </row>
    <row r="34" spans="1:13">
      <c r="A34" s="2203"/>
      <c r="B34" s="2203">
        <v>12</v>
      </c>
      <c r="C34" s="2208">
        <v>7978725.1199999703</v>
      </c>
      <c r="D34" s="2208">
        <v>4034.919999999991</v>
      </c>
      <c r="E34" s="2208">
        <v>943607.23</v>
      </c>
      <c r="F34" s="2208">
        <v>970519.44000000006</v>
      </c>
      <c r="G34" s="2209">
        <v>9896886.7099999748</v>
      </c>
      <c r="H34" s="2210"/>
      <c r="I34" s="2212">
        <f>SUM(C$11:C34)</f>
        <v>778839256.67000008</v>
      </c>
      <c r="J34" s="2213">
        <f t="shared" si="1"/>
        <v>1113290.077744253</v>
      </c>
      <c r="K34" s="2213">
        <f t="shared" si="2"/>
        <v>4836782.9695761502</v>
      </c>
      <c r="L34" s="2211">
        <f t="shared" si="0"/>
        <v>774002473.70042396</v>
      </c>
      <c r="M34" s="2213">
        <f>SUM(L22:L34)/13</f>
        <v>287225424.6045447</v>
      </c>
    </row>
    <row r="35" spans="1:13">
      <c r="A35" s="2202">
        <v>2011</v>
      </c>
      <c r="B35" s="2203">
        <v>1</v>
      </c>
      <c r="C35" s="2208">
        <v>1570431.4800000181</v>
      </c>
      <c r="D35" s="2208">
        <v>150</v>
      </c>
      <c r="E35" s="2208">
        <v>81574.509999999995</v>
      </c>
      <c r="F35" s="2208">
        <v>21651.35</v>
      </c>
      <c r="G35" s="2209">
        <v>1673807.3400000182</v>
      </c>
      <c r="H35" s="2210"/>
      <c r="I35" s="2211">
        <f>SUM(C$11:C35)</f>
        <v>780409688.1500001</v>
      </c>
      <c r="J35" s="2213">
        <f t="shared" si="1"/>
        <v>1120150.1040373563</v>
      </c>
      <c r="K35" s="2213">
        <f t="shared" si="2"/>
        <v>5956933.0736135067</v>
      </c>
      <c r="L35" s="2211">
        <f t="shared" si="0"/>
        <v>774452755.07638657</v>
      </c>
      <c r="M35" s="2211"/>
    </row>
    <row r="36" spans="1:13">
      <c r="A36" s="2203"/>
      <c r="B36" s="2203">
        <v>2</v>
      </c>
      <c r="C36" s="2208">
        <v>14494419.71000002</v>
      </c>
      <c r="D36" s="2208">
        <v>203.29000000000002</v>
      </c>
      <c r="E36" s="2208">
        <v>32193.41</v>
      </c>
      <c r="F36" s="2208">
        <v>1865956.72</v>
      </c>
      <c r="G36" s="2209">
        <v>16392773.130000019</v>
      </c>
      <c r="H36" s="2210"/>
      <c r="I36" s="2211">
        <f>SUM(C$11:C36)</f>
        <v>794904107.86000013</v>
      </c>
      <c r="J36" s="2213">
        <f t="shared" si="1"/>
        <v>1131690.945409483</v>
      </c>
      <c r="K36" s="2213">
        <f t="shared" si="2"/>
        <v>7088624.01902299</v>
      </c>
      <c r="L36" s="2211">
        <f t="shared" si="0"/>
        <v>787815483.84097719</v>
      </c>
      <c r="M36" s="2211"/>
    </row>
    <row r="37" spans="1:13">
      <c r="A37" s="2203"/>
      <c r="B37" s="2203">
        <v>3</v>
      </c>
      <c r="C37" s="2208">
        <v>-1319835.47</v>
      </c>
      <c r="D37" s="2208"/>
      <c r="E37" s="2208">
        <v>50543.16</v>
      </c>
      <c r="F37" s="2208">
        <v>62917.19999999999</v>
      </c>
      <c r="G37" s="2209">
        <v>-1206375.1100000001</v>
      </c>
      <c r="H37" s="2210"/>
      <c r="I37" s="2211">
        <f>SUM(C$11:C37)</f>
        <v>793584272.3900001</v>
      </c>
      <c r="J37" s="2213">
        <f t="shared" si="1"/>
        <v>1141155.4455818967</v>
      </c>
      <c r="K37" s="2213">
        <f t="shared" si="2"/>
        <v>8229779.4646048862</v>
      </c>
      <c r="L37" s="2211">
        <f t="shared" si="0"/>
        <v>785354492.92539525</v>
      </c>
      <c r="M37" s="2211"/>
    </row>
    <row r="38" spans="1:13">
      <c r="A38" s="2203"/>
      <c r="B38" s="2203">
        <v>4</v>
      </c>
      <c r="C38" s="2208">
        <v>818994.6799999997</v>
      </c>
      <c r="D38" s="2208">
        <v>-1945.55</v>
      </c>
      <c r="E38" s="2208">
        <v>7431.9300000000012</v>
      </c>
      <c r="F38" s="2208">
        <v>-16373.909999999994</v>
      </c>
      <c r="G38" s="2209">
        <v>808107.14999999967</v>
      </c>
      <c r="H38" s="2210"/>
      <c r="I38" s="2211">
        <f>SUM(C$11:C38)</f>
        <v>794403267.07000005</v>
      </c>
      <c r="J38" s="2213">
        <f t="shared" si="1"/>
        <v>1140795.6461637933</v>
      </c>
      <c r="K38" s="2213">
        <f t="shared" si="2"/>
        <v>9370575.1107686795</v>
      </c>
      <c r="L38" s="2211">
        <f t="shared" si="0"/>
        <v>785032691.95923138</v>
      </c>
      <c r="M38" s="2211"/>
    </row>
    <row r="39" spans="1:13">
      <c r="A39" s="2203"/>
      <c r="B39" s="2203">
        <v>5</v>
      </c>
      <c r="C39" s="2208">
        <v>-674048.58999999892</v>
      </c>
      <c r="D39" s="2208"/>
      <c r="E39" s="2208">
        <v>16323.12</v>
      </c>
      <c r="F39" s="2208">
        <v>62500.57</v>
      </c>
      <c r="G39" s="2209">
        <v>-595224.89999999898</v>
      </c>
      <c r="H39" s="2210"/>
      <c r="I39" s="2211">
        <f>SUM(C$11:C39)</f>
        <v>793729218.48000002</v>
      </c>
      <c r="J39" s="2213">
        <f t="shared" si="1"/>
        <v>1140899.7741020115</v>
      </c>
      <c r="K39" s="2213">
        <f t="shared" si="2"/>
        <v>10511474.884870691</v>
      </c>
      <c r="L39" s="2211">
        <f t="shared" si="0"/>
        <v>783217743.59512937</v>
      </c>
      <c r="M39" s="2211"/>
    </row>
    <row r="40" spans="1:13">
      <c r="A40" s="2203"/>
      <c r="B40" s="2203">
        <v>6</v>
      </c>
      <c r="C40" s="2208">
        <v>6013549.9000000004</v>
      </c>
      <c r="D40" s="2208"/>
      <c r="E40" s="2208">
        <v>27267.920000000002</v>
      </c>
      <c r="F40" s="2208">
        <v>4503.0700000000006</v>
      </c>
      <c r="G40" s="2209">
        <v>6045320.8900000006</v>
      </c>
      <c r="H40" s="2210"/>
      <c r="I40" s="2211">
        <f>SUM(C$11:C40)</f>
        <v>799742768.38</v>
      </c>
      <c r="J40" s="2213">
        <f t="shared" si="1"/>
        <v>1144735.6227442529</v>
      </c>
      <c r="K40" s="2213">
        <f t="shared" si="2"/>
        <v>11656210.507614944</v>
      </c>
      <c r="L40" s="2211">
        <f t="shared" si="0"/>
        <v>788086557.87238503</v>
      </c>
      <c r="M40" s="2211"/>
    </row>
    <row r="41" spans="1:13">
      <c r="A41" s="2203"/>
      <c r="B41" s="2203">
        <v>7</v>
      </c>
      <c r="C41" s="2208">
        <v>225620.78999999992</v>
      </c>
      <c r="D41" s="2208"/>
      <c r="E41" s="2208">
        <v>12962.32</v>
      </c>
      <c r="F41" s="2208">
        <v>-11911.15</v>
      </c>
      <c r="G41" s="2209">
        <v>226671.95999999993</v>
      </c>
      <c r="H41" s="2210"/>
      <c r="I41" s="2211">
        <f>SUM(C$11:C41)</f>
        <v>799968389.16999996</v>
      </c>
      <c r="J41" s="2213">
        <f t="shared" si="1"/>
        <v>1149217.7855962645</v>
      </c>
      <c r="K41" s="2213">
        <f t="shared" si="2"/>
        <v>12805428.293211209</v>
      </c>
      <c r="L41" s="2211">
        <f t="shared" si="0"/>
        <v>787162960.87678874</v>
      </c>
      <c r="M41" s="2211"/>
    </row>
    <row r="42" spans="1:13">
      <c r="A42" s="2203"/>
      <c r="B42" s="2203">
        <v>8</v>
      </c>
      <c r="C42" s="2208">
        <v>292520.68000000005</v>
      </c>
      <c r="D42" s="2208"/>
      <c r="E42" s="2208">
        <v>-146659.68</v>
      </c>
      <c r="F42" s="2208">
        <v>-419.81999999999982</v>
      </c>
      <c r="G42" s="2209">
        <v>145441.18000000005</v>
      </c>
      <c r="H42" s="2210"/>
      <c r="I42" s="2211">
        <f>SUM(C$11:C42)</f>
        <v>800260909.8499999</v>
      </c>
      <c r="J42" s="2213">
        <f t="shared" si="1"/>
        <v>1149590.0136637932</v>
      </c>
      <c r="K42" s="2213">
        <f t="shared" si="2"/>
        <v>13955018.306875002</v>
      </c>
      <c r="L42" s="2211">
        <f t="shared" si="0"/>
        <v>786305891.54312491</v>
      </c>
      <c r="M42" s="2211"/>
    </row>
    <row r="43" spans="1:13">
      <c r="A43" s="2203"/>
      <c r="B43" s="2203">
        <v>9</v>
      </c>
      <c r="C43" s="2208">
        <v>2253449.2999999998</v>
      </c>
      <c r="D43" s="2208"/>
      <c r="E43" s="2208">
        <v>1664.07</v>
      </c>
      <c r="F43" s="2208">
        <v>13507.07</v>
      </c>
      <c r="G43" s="2209">
        <v>2268620.4399999995</v>
      </c>
      <c r="H43" s="2210"/>
      <c r="I43" s="2211">
        <f>SUM(C$11:C43)</f>
        <v>802514359.14999986</v>
      </c>
      <c r="J43" s="2213">
        <f t="shared" si="1"/>
        <v>1151419.0150862066</v>
      </c>
      <c r="K43" s="2213">
        <f t="shared" si="2"/>
        <v>15106437.321961209</v>
      </c>
      <c r="L43" s="2211">
        <f t="shared" si="0"/>
        <v>787407921.82803869</v>
      </c>
      <c r="M43" s="2211"/>
    </row>
    <row r="44" spans="1:13">
      <c r="A44" s="2203"/>
      <c r="B44" s="2203">
        <v>10</v>
      </c>
      <c r="C44" s="2208">
        <v>-169597.82000000009</v>
      </c>
      <c r="D44" s="2208"/>
      <c r="E44" s="2208">
        <v>114065.09</v>
      </c>
      <c r="F44" s="2208">
        <v>90745.720000000088</v>
      </c>
      <c r="G44" s="2209">
        <v>35212.989999999991</v>
      </c>
      <c r="H44" s="2210"/>
      <c r="I44" s="2211">
        <f>SUM(C$11:C44)</f>
        <v>802344761.3299998</v>
      </c>
      <c r="J44" s="2213">
        <f t="shared" si="1"/>
        <v>1152916.034827586</v>
      </c>
      <c r="K44" s="2213">
        <f t="shared" si="2"/>
        <v>16259353.356788795</v>
      </c>
      <c r="L44" s="2211">
        <f t="shared" si="0"/>
        <v>786085407.97321105</v>
      </c>
      <c r="M44" s="2211"/>
    </row>
    <row r="45" spans="1:13">
      <c r="A45" s="2203"/>
      <c r="B45" s="2203">
        <v>11</v>
      </c>
      <c r="C45" s="2208">
        <v>-125784.32000000015</v>
      </c>
      <c r="D45" s="2208"/>
      <c r="E45" s="2208">
        <v>86833.01</v>
      </c>
      <c r="F45" s="2208">
        <v>-1201.9299999999989</v>
      </c>
      <c r="G45" s="2209">
        <v>-40153.240000000158</v>
      </c>
      <c r="H45" s="2210"/>
      <c r="I45" s="2211">
        <f>SUM(C$11:C45)</f>
        <v>802218977.00999975</v>
      </c>
      <c r="J45" s="2213">
        <f t="shared" si="1"/>
        <v>1152703.8350143675</v>
      </c>
      <c r="K45" s="2213">
        <f t="shared" si="2"/>
        <v>17412057.191803165</v>
      </c>
      <c r="L45" s="2211">
        <f t="shared" si="0"/>
        <v>784806919.81819654</v>
      </c>
      <c r="M45" s="2211"/>
    </row>
    <row r="46" spans="1:13">
      <c r="A46" s="2203"/>
      <c r="B46" s="2203">
        <v>12</v>
      </c>
      <c r="C46" s="2208">
        <v>91950.220000000016</v>
      </c>
      <c r="D46" s="2208">
        <v>87946.400000000009</v>
      </c>
      <c r="E46" s="2208">
        <v>-2114.7600000000002</v>
      </c>
      <c r="F46" s="2208">
        <v>-15583.36</v>
      </c>
      <c r="G46" s="2209">
        <v>162198.5</v>
      </c>
      <c r="H46" s="2210"/>
      <c r="I46" s="2212">
        <f>SUM(C$11:C46)</f>
        <v>802310927.22999978</v>
      </c>
      <c r="J46" s="2213">
        <f t="shared" si="1"/>
        <v>1152679.5289080455</v>
      </c>
      <c r="K46" s="2213">
        <f t="shared" si="2"/>
        <v>18564736.720711209</v>
      </c>
      <c r="L46" s="2211">
        <f t="shared" si="0"/>
        <v>783746190.50928855</v>
      </c>
      <c r="M46" s="2214">
        <f>SUM(L34:L46)/13</f>
        <v>784113653.19373691</v>
      </c>
    </row>
    <row r="47" spans="1:13">
      <c r="A47" s="2202">
        <v>2012</v>
      </c>
      <c r="B47" s="2203">
        <v>1</v>
      </c>
      <c r="C47" s="2209">
        <v>36175.22000000003</v>
      </c>
      <c r="D47" s="2209">
        <v>5450.7599999999948</v>
      </c>
      <c r="E47" s="2209">
        <v>18068</v>
      </c>
      <c r="F47" s="2209"/>
      <c r="G47" s="2209">
        <v>59693.980000000025</v>
      </c>
      <c r="H47" s="2210"/>
      <c r="I47" s="2211">
        <f>SUM(C$11:C47)</f>
        <v>802347102.44999981</v>
      </c>
      <c r="J47" s="2213">
        <f t="shared" si="1"/>
        <v>1152771.5730459767</v>
      </c>
      <c r="K47" s="2213">
        <f t="shared" si="2"/>
        <v>19717508.293757185</v>
      </c>
      <c r="L47" s="2211">
        <f t="shared" si="0"/>
        <v>782629594.15624261</v>
      </c>
      <c r="M47" s="2211"/>
    </row>
    <row r="48" spans="1:13">
      <c r="A48" s="2203"/>
      <c r="B48" s="2203">
        <v>2</v>
      </c>
      <c r="C48" s="2209">
        <v>72991.140000000101</v>
      </c>
      <c r="D48" s="2209">
        <v>-3198.7500000000005</v>
      </c>
      <c r="E48" s="2209">
        <v>9638.2299999999977</v>
      </c>
      <c r="F48" s="2209">
        <v>7334.5300000000007</v>
      </c>
      <c r="G48" s="2209">
        <v>86765.150000000096</v>
      </c>
      <c r="H48" s="2210"/>
      <c r="I48" s="2211">
        <f>SUM(C$11:C48)</f>
        <v>802420093.58999979</v>
      </c>
      <c r="J48" s="2213">
        <f t="shared" si="1"/>
        <v>1152849.9971551721</v>
      </c>
      <c r="K48" s="2213">
        <f t="shared" si="2"/>
        <v>20870358.290912356</v>
      </c>
      <c r="L48" s="2211">
        <f t="shared" si="0"/>
        <v>781549735.29908741</v>
      </c>
      <c r="M48" s="2211"/>
    </row>
    <row r="49" spans="1:13">
      <c r="A49" s="2203"/>
      <c r="B49" s="2203">
        <v>3</v>
      </c>
      <c r="C49" s="2209">
        <v>990797.12000000011</v>
      </c>
      <c r="D49" s="2209">
        <v>-3043.53</v>
      </c>
      <c r="E49" s="2209"/>
      <c r="F49" s="2209"/>
      <c r="G49" s="2209">
        <v>987753.59000000008</v>
      </c>
      <c r="H49" s="2210"/>
      <c r="I49" s="2211">
        <f>SUM(C$11:C49)</f>
        <v>803410890.7099998</v>
      </c>
      <c r="J49" s="2213">
        <f t="shared" si="1"/>
        <v>1153614.212859195</v>
      </c>
      <c r="K49" s="2213">
        <f t="shared" si="2"/>
        <v>22023972.503771551</v>
      </c>
      <c r="L49" s="2211">
        <f t="shared" si="0"/>
        <v>781386918.20622826</v>
      </c>
      <c r="M49" s="2211"/>
    </row>
    <row r="50" spans="1:13">
      <c r="A50" s="2203"/>
      <c r="B50" s="2203">
        <v>4</v>
      </c>
      <c r="C50" s="2209">
        <v>970877.82</v>
      </c>
      <c r="D50" s="2209"/>
      <c r="E50" s="2209"/>
      <c r="F50" s="2209"/>
      <c r="G50" s="2209">
        <v>970877.82</v>
      </c>
      <c r="H50" s="2210"/>
      <c r="I50" s="2211">
        <f>SUM(C$11:C50)</f>
        <v>804381768.52999985</v>
      </c>
      <c r="J50" s="2213">
        <f t="shared" si="1"/>
        <v>1155023.4620977009</v>
      </c>
      <c r="K50" s="2213">
        <f t="shared" si="2"/>
        <v>23178995.965869252</v>
      </c>
      <c r="L50" s="2211">
        <f t="shared" si="0"/>
        <v>781202772.56413054</v>
      </c>
      <c r="M50" s="2211"/>
    </row>
    <row r="51" spans="1:13">
      <c r="A51" s="2203"/>
      <c r="B51" s="2203">
        <v>5</v>
      </c>
      <c r="C51" s="2209">
        <v>-384812.7</v>
      </c>
      <c r="D51" s="2209">
        <v>-89.579999999999472</v>
      </c>
      <c r="E51" s="2209"/>
      <c r="F51" s="2209"/>
      <c r="G51" s="2209">
        <v>-384902.28</v>
      </c>
      <c r="H51" s="2210"/>
      <c r="I51" s="2211">
        <f>SUM(C$11:C51)</f>
        <v>803996955.8299998</v>
      </c>
      <c r="J51" s="2213">
        <f t="shared" si="1"/>
        <v>1155444.4858908043</v>
      </c>
      <c r="K51" s="2213">
        <f t="shared" si="2"/>
        <v>24334440.451760057</v>
      </c>
      <c r="L51" s="2211">
        <f t="shared" si="0"/>
        <v>779662515.37823975</v>
      </c>
      <c r="M51" s="2211"/>
    </row>
    <row r="52" spans="1:13">
      <c r="A52" s="2203"/>
      <c r="B52" s="2203">
        <v>6</v>
      </c>
      <c r="C52" s="2209">
        <v>3221591.9999999991</v>
      </c>
      <c r="D52" s="2209"/>
      <c r="E52" s="2209">
        <v>6011.32</v>
      </c>
      <c r="F52" s="2209"/>
      <c r="G52" s="2209">
        <v>3227603.3199999989</v>
      </c>
      <c r="H52" s="2210"/>
      <c r="I52" s="2211">
        <f>SUM(C$11:C52)</f>
        <v>807218547.8299998</v>
      </c>
      <c r="J52" s="2213">
        <f t="shared" si="1"/>
        <v>1157482.4020545974</v>
      </c>
      <c r="K52" s="2213">
        <f t="shared" si="2"/>
        <v>25491922.853814654</v>
      </c>
      <c r="L52" s="2211">
        <f t="shared" si="0"/>
        <v>781726624.9761852</v>
      </c>
      <c r="M52" s="2211"/>
    </row>
    <row r="53" spans="1:13">
      <c r="A53" s="2203"/>
      <c r="B53" s="2203">
        <v>7</v>
      </c>
      <c r="C53" s="2209">
        <v>35015.020000000004</v>
      </c>
      <c r="D53" s="2209">
        <v>69653.289999999994</v>
      </c>
      <c r="E53" s="2209"/>
      <c r="F53" s="2209"/>
      <c r="G53" s="2209">
        <v>104668.31</v>
      </c>
      <c r="H53" s="2210"/>
      <c r="I53" s="2211">
        <f>SUM(C$11:C53)</f>
        <v>807253562.84999979</v>
      </c>
      <c r="J53" s="2213">
        <f t="shared" si="1"/>
        <v>1159821.9185919538</v>
      </c>
      <c r="K53" s="2213">
        <f t="shared" si="2"/>
        <v>26651744.772406608</v>
      </c>
      <c r="L53" s="2211">
        <f t="shared" si="0"/>
        <v>780601818.07759321</v>
      </c>
      <c r="M53" s="2211"/>
    </row>
    <row r="54" spans="1:13">
      <c r="A54" s="2203"/>
      <c r="B54" s="2203">
        <v>8</v>
      </c>
      <c r="C54" s="2209">
        <v>267305.88</v>
      </c>
      <c r="D54" s="2209">
        <v>-1446.0600000000002</v>
      </c>
      <c r="E54" s="2209">
        <v>65066.259999999995</v>
      </c>
      <c r="F54" s="2209"/>
      <c r="G54" s="2209">
        <v>330926.08000000002</v>
      </c>
      <c r="H54" s="2210"/>
      <c r="I54" s="2211">
        <f>SUM(C$11:C54)</f>
        <v>807520868.72999978</v>
      </c>
      <c r="J54" s="2213">
        <f t="shared" si="1"/>
        <v>1160039.1031465514</v>
      </c>
      <c r="K54" s="2213">
        <f t="shared" si="2"/>
        <v>27811783.875553161</v>
      </c>
      <c r="L54" s="2211">
        <f t="shared" si="0"/>
        <v>779709084.85444665</v>
      </c>
      <c r="M54" s="2211"/>
    </row>
    <row r="55" spans="1:13">
      <c r="A55" s="2203"/>
      <c r="B55" s="2203">
        <v>9</v>
      </c>
      <c r="C55" s="2209">
        <v>126156.16000000002</v>
      </c>
      <c r="D55" s="2209"/>
      <c r="E55" s="2209"/>
      <c r="F55" s="2209"/>
      <c r="G55" s="2209">
        <v>126156.16000000002</v>
      </c>
      <c r="H55" s="2210"/>
      <c r="I55" s="2211">
        <f>SUM(C$11:C55)</f>
        <v>807647024.88999975</v>
      </c>
      <c r="J55" s="2213">
        <f t="shared" si="1"/>
        <v>1160321.7626580456</v>
      </c>
      <c r="K55" s="2213">
        <f t="shared" si="2"/>
        <v>28972105.638211206</v>
      </c>
      <c r="L55" s="2211">
        <f t="shared" si="0"/>
        <v>778674919.2517885</v>
      </c>
      <c r="M55" s="2211"/>
    </row>
    <row r="56" spans="1:13">
      <c r="A56" s="2203"/>
      <c r="B56" s="2203">
        <v>10</v>
      </c>
      <c r="C56" s="2209">
        <v>376118.1999999999</v>
      </c>
      <c r="D56" s="2209"/>
      <c r="E56" s="2209"/>
      <c r="F56" s="2209"/>
      <c r="G56" s="2209">
        <v>376118.1999999999</v>
      </c>
      <c r="H56" s="2210"/>
      <c r="I56" s="2211">
        <f>SUM(C$11:C56)</f>
        <v>808023143.08999979</v>
      </c>
      <c r="J56" s="2213">
        <f t="shared" si="1"/>
        <v>1160682.5919396547</v>
      </c>
      <c r="K56" s="2213">
        <f t="shared" si="2"/>
        <v>30132788.23015086</v>
      </c>
      <c r="L56" s="2211">
        <f t="shared" si="0"/>
        <v>777890354.85984898</v>
      </c>
      <c r="M56" s="2211"/>
    </row>
    <row r="57" spans="1:13">
      <c r="A57" s="2203"/>
      <c r="B57" s="2203">
        <v>11</v>
      </c>
      <c r="C57" s="2209">
        <v>23435318.120000001</v>
      </c>
      <c r="D57" s="2209"/>
      <c r="E57" s="2209">
        <v>13477.84</v>
      </c>
      <c r="F57" s="2209">
        <v>1393.22</v>
      </c>
      <c r="G57" s="2209">
        <v>23450189.18</v>
      </c>
      <c r="H57" s="2210"/>
      <c r="I57" s="2211">
        <f>SUM(C$11:C57)</f>
        <v>831458461.2099998</v>
      </c>
      <c r="J57" s="2213">
        <f t="shared" si="1"/>
        <v>1177788.5088362065</v>
      </c>
      <c r="K57" s="2213">
        <f t="shared" si="2"/>
        <v>31310576.738987066</v>
      </c>
      <c r="L57" s="2211">
        <f t="shared" si="0"/>
        <v>800147884.47101271</v>
      </c>
      <c r="M57" s="2211"/>
    </row>
    <row r="58" spans="1:13">
      <c r="A58" s="2203"/>
      <c r="B58" s="2203">
        <v>12</v>
      </c>
      <c r="C58" s="2209">
        <v>28383674.890000004</v>
      </c>
      <c r="D58" s="2209">
        <v>3196.4700000000003</v>
      </c>
      <c r="E58" s="2209">
        <v>18110.599999999999</v>
      </c>
      <c r="F58" s="2209"/>
      <c r="G58" s="2209">
        <v>28404981.960000005</v>
      </c>
      <c r="H58" s="2210"/>
      <c r="I58" s="2212">
        <f>SUM(C$11:C58)</f>
        <v>859842136.09999979</v>
      </c>
      <c r="J58" s="2213">
        <f t="shared" si="1"/>
        <v>1215014.7969181032</v>
      </c>
      <c r="K58" s="2213">
        <f t="shared" si="2"/>
        <v>32525591.535905167</v>
      </c>
      <c r="L58" s="2211">
        <f t="shared" si="0"/>
        <v>827316544.56409466</v>
      </c>
      <c r="M58" s="2214">
        <f>SUM(L46:L58)/13</f>
        <v>785864996.70524514</v>
      </c>
    </row>
    <row r="59" spans="1:13">
      <c r="A59" s="2203">
        <v>2013</v>
      </c>
      <c r="B59" s="2203">
        <v>1</v>
      </c>
      <c r="C59" s="2215">
        <v>-59287.020000000513</v>
      </c>
      <c r="D59" s="2215"/>
      <c r="E59" s="2215">
        <v>-66494.39</v>
      </c>
      <c r="F59" s="2215"/>
      <c r="G59" s="2215">
        <v>-125781.41000000051</v>
      </c>
      <c r="H59" s="2210"/>
      <c r="I59" s="2211">
        <f>SUM(C$11:C59)</f>
        <v>859782849.0799998</v>
      </c>
      <c r="J59" s="2213">
        <f t="shared" si="1"/>
        <v>1235362.7767097696</v>
      </c>
      <c r="K59" s="2213">
        <f t="shared" si="2"/>
        <v>33760954.31261494</v>
      </c>
      <c r="L59" s="2211">
        <f t="shared" si="0"/>
        <v>826021894.76738489</v>
      </c>
      <c r="M59" s="2213"/>
    </row>
    <row r="60" spans="1:13">
      <c r="A60" s="2203"/>
      <c r="B60" s="2203">
        <v>2</v>
      </c>
      <c r="C60" s="2215">
        <v>185502.72999999992</v>
      </c>
      <c r="D60" s="2215"/>
      <c r="E60" s="2215">
        <v>3043.3399999999983</v>
      </c>
      <c r="F60" s="2215"/>
      <c r="G60" s="2215">
        <v>188546.06999999992</v>
      </c>
      <c r="H60" s="2210"/>
      <c r="I60" s="2211">
        <f>SUM(C$11:C60)</f>
        <v>859968351.80999982</v>
      </c>
      <c r="J60" s="2213">
        <f t="shared" si="1"/>
        <v>1235453.4489152296</v>
      </c>
      <c r="K60" s="2213">
        <f t="shared" si="2"/>
        <v>34996407.761530168</v>
      </c>
      <c r="L60" s="2211">
        <f t="shared" si="0"/>
        <v>824971944.04846966</v>
      </c>
      <c r="M60" s="2213"/>
    </row>
    <row r="61" spans="1:13">
      <c r="A61" s="2203"/>
      <c r="B61" s="2203">
        <v>3</v>
      </c>
      <c r="C61" s="2215">
        <v>2339450.0599999996</v>
      </c>
      <c r="D61" s="2215"/>
      <c r="E61" s="2215">
        <v>94425.87</v>
      </c>
      <c r="F61" s="2215"/>
      <c r="G61" s="2215">
        <v>2433875.9299999997</v>
      </c>
      <c r="H61" s="2210"/>
      <c r="I61" s="2211">
        <f>SUM(C$11:C61)</f>
        <v>862307801.86999977</v>
      </c>
      <c r="J61" s="2213">
        <f t="shared" si="1"/>
        <v>1237267.351781609</v>
      </c>
      <c r="K61" s="2213">
        <f t="shared" si="2"/>
        <v>36233675.113311775</v>
      </c>
      <c r="L61" s="2211">
        <f t="shared" si="0"/>
        <v>826074126.756688</v>
      </c>
      <c r="M61" s="2213"/>
    </row>
    <row r="62" spans="1:13">
      <c r="A62" s="2203"/>
      <c r="B62" s="2203">
        <v>4</v>
      </c>
      <c r="C62" s="2215">
        <v>61120.800000000032</v>
      </c>
      <c r="D62" s="2215"/>
      <c r="E62" s="2215">
        <v>11340.34</v>
      </c>
      <c r="F62" s="2215"/>
      <c r="G62" s="2215">
        <v>72461.140000000029</v>
      </c>
      <c r="H62" s="2210"/>
      <c r="I62" s="2211">
        <f>SUM(C$11:C62)</f>
        <v>862368922.66999972</v>
      </c>
      <c r="J62" s="2213">
        <f t="shared" si="1"/>
        <v>1238991.899813218</v>
      </c>
      <c r="K62" s="2213">
        <f t="shared" si="2"/>
        <v>37472667.013124995</v>
      </c>
      <c r="L62" s="2211">
        <f t="shared" si="0"/>
        <v>824896255.65687478</v>
      </c>
      <c r="M62" s="2213"/>
    </row>
    <row r="63" spans="1:13">
      <c r="A63" s="2203"/>
      <c r="B63" s="2203">
        <v>5</v>
      </c>
      <c r="C63" s="2215">
        <v>347498048.94999999</v>
      </c>
      <c r="D63" s="2215"/>
      <c r="E63" s="2215">
        <v>43707.21</v>
      </c>
      <c r="F63" s="2215"/>
      <c r="G63" s="2215">
        <v>347541756.15999997</v>
      </c>
      <c r="H63" s="2210"/>
      <c r="I63" s="2211">
        <f>SUM(C$11:C63)</f>
        <v>1209866971.6199996</v>
      </c>
      <c r="J63" s="2213">
        <f t="shared" si="1"/>
        <v>1488675.2114152294</v>
      </c>
      <c r="K63" s="2213">
        <f t="shared" si="2"/>
        <v>38961342.224540226</v>
      </c>
      <c r="L63" s="2211">
        <f t="shared" si="0"/>
        <v>1170905629.3954594</v>
      </c>
      <c r="M63" s="2213"/>
    </row>
    <row r="64" spans="1:13">
      <c r="A64" s="2203"/>
      <c r="B64" s="2203">
        <v>6</v>
      </c>
      <c r="C64" s="2215">
        <v>6595151.2699999893</v>
      </c>
      <c r="D64" s="2215"/>
      <c r="E64" s="2215">
        <v>-21113.75</v>
      </c>
      <c r="F64" s="2215"/>
      <c r="G64" s="2215">
        <v>6574037.5199999893</v>
      </c>
      <c r="H64" s="2210"/>
      <c r="I64" s="2211">
        <f>SUM(C$11:C64)</f>
        <v>1216462122.8899996</v>
      </c>
      <c r="J64" s="2213">
        <f t="shared" si="1"/>
        <v>1743052.51042385</v>
      </c>
      <c r="K64" s="2213">
        <f t="shared" si="2"/>
        <v>40704394.734964073</v>
      </c>
      <c r="L64" s="2211">
        <f t="shared" si="0"/>
        <v>1175757728.1550355</v>
      </c>
      <c r="M64" s="2213"/>
    </row>
    <row r="65" spans="1:13">
      <c r="A65" s="2203"/>
      <c r="B65" s="2203">
        <v>7</v>
      </c>
      <c r="C65" s="2215">
        <v>786452.25999999652</v>
      </c>
      <c r="D65" s="2215"/>
      <c r="E65" s="2215">
        <v>41107.699999999997</v>
      </c>
      <c r="F65" s="2215"/>
      <c r="G65" s="2215">
        <v>827559.95999999647</v>
      </c>
      <c r="H65" s="2210"/>
      <c r="I65" s="2211">
        <f>SUM(C$11:C65)</f>
        <v>1217248575.1499996</v>
      </c>
      <c r="J65" s="2213">
        <f t="shared" si="1"/>
        <v>1748355.3865229881</v>
      </c>
      <c r="K65" s="2213">
        <f t="shared" si="2"/>
        <v>42452750.121487059</v>
      </c>
      <c r="L65" s="2211">
        <f t="shared" si="0"/>
        <v>1174795825.0285125</v>
      </c>
      <c r="M65" s="2213"/>
    </row>
    <row r="66" spans="1:13">
      <c r="A66" s="2203"/>
      <c r="B66" s="2203">
        <v>8</v>
      </c>
      <c r="C66" s="2215">
        <v>557256.60999999475</v>
      </c>
      <c r="D66" s="2215"/>
      <c r="E66" s="2215">
        <v>2423.2399999999998</v>
      </c>
      <c r="F66" s="2215"/>
      <c r="G66" s="2215">
        <v>559679.84999999474</v>
      </c>
      <c r="H66" s="2210"/>
      <c r="I66" s="2211">
        <f>SUM(C$11:C66)</f>
        <v>1217805831.7599995</v>
      </c>
      <c r="J66" s="2213">
        <f t="shared" si="1"/>
        <v>1749320.6946192523</v>
      </c>
      <c r="K66" s="2213">
        <f t="shared" si="2"/>
        <v>44202070.816106312</v>
      </c>
      <c r="L66" s="2211">
        <f t="shared" si="0"/>
        <v>1173603760.9438932</v>
      </c>
      <c r="M66" s="2213"/>
    </row>
    <row r="67" spans="1:13">
      <c r="A67" s="2203"/>
      <c r="B67" s="2203">
        <v>9</v>
      </c>
      <c r="C67" s="2215">
        <v>479725.25999998843</v>
      </c>
      <c r="D67" s="2215"/>
      <c r="E67" s="2215">
        <v>9768.93</v>
      </c>
      <c r="F67" s="2215"/>
      <c r="G67" s="2215">
        <v>489494.18999998842</v>
      </c>
      <c r="H67" s="2210"/>
      <c r="I67" s="2211">
        <f>SUM(C$11:C67)</f>
        <v>1218285557.0199995</v>
      </c>
      <c r="J67" s="2213">
        <f t="shared" si="1"/>
        <v>1750065.6528591947</v>
      </c>
      <c r="K67" s="2213">
        <f t="shared" si="2"/>
        <v>45952136.468965508</v>
      </c>
      <c r="L67" s="2211">
        <f t="shared" si="0"/>
        <v>1172333420.551034</v>
      </c>
      <c r="M67" s="2213"/>
    </row>
    <row r="68" spans="1:13">
      <c r="A68" s="2203"/>
      <c r="B68" s="2203">
        <v>10</v>
      </c>
      <c r="C68" s="2215">
        <v>338600.24999999983</v>
      </c>
      <c r="D68" s="2215"/>
      <c r="E68" s="2215">
        <v>102339.83</v>
      </c>
      <c r="F68" s="2215"/>
      <c r="G68" s="2215">
        <v>440940.07999999984</v>
      </c>
      <c r="H68" s="2210"/>
      <c r="I68" s="2211">
        <f>SUM(C$11:C68)</f>
        <v>1218624157.2699995</v>
      </c>
      <c r="J68" s="2213">
        <f t="shared" si="1"/>
        <v>1750653.5303807463</v>
      </c>
      <c r="K68" s="2213">
        <f t="shared" si="2"/>
        <v>47702789.999346256</v>
      </c>
      <c r="L68" s="2211">
        <f t="shared" si="0"/>
        <v>1170921367.2706532</v>
      </c>
      <c r="M68" s="2213"/>
    </row>
    <row r="69" spans="1:13">
      <c r="A69" s="2203"/>
      <c r="B69" s="2203">
        <v>11</v>
      </c>
      <c r="C69" s="2215">
        <v>754740.09999999974</v>
      </c>
      <c r="D69" s="2215"/>
      <c r="E69" s="2215">
        <v>88.22</v>
      </c>
      <c r="F69" s="2215"/>
      <c r="G69" s="2215">
        <v>754828.31999999972</v>
      </c>
      <c r="H69" s="2210"/>
      <c r="I69" s="2211">
        <f>SUM(C$11:C69)</f>
        <v>1219378897.3699994</v>
      </c>
      <c r="J69" s="2213">
        <f t="shared" si="1"/>
        <v>1751438.976034482</v>
      </c>
      <c r="K69" s="2213">
        <f t="shared" si="2"/>
        <v>49454228.975380741</v>
      </c>
      <c r="L69" s="2211">
        <f t="shared" si="0"/>
        <v>1169924668.3946187</v>
      </c>
      <c r="M69" s="2213"/>
    </row>
    <row r="70" spans="1:13">
      <c r="A70" s="2203"/>
      <c r="B70" s="2203">
        <v>12</v>
      </c>
      <c r="C70" s="2215">
        <v>3132231.4299999997</v>
      </c>
      <c r="D70" s="2215"/>
      <c r="E70" s="2215">
        <v>503.53000000000003</v>
      </c>
      <c r="F70" s="2215"/>
      <c r="G70" s="2215">
        <v>3132734.9599999995</v>
      </c>
      <c r="H70" s="2210"/>
      <c r="I70" s="2212">
        <f>SUM(C$11:C70)</f>
        <v>1222511128.7999995</v>
      </c>
      <c r="J70" s="2213">
        <f t="shared" si="1"/>
        <v>1754231.340639367</v>
      </c>
      <c r="K70" s="2213">
        <f t="shared" si="2"/>
        <v>51208460.316020109</v>
      </c>
      <c r="L70" s="2211">
        <f t="shared" si="0"/>
        <v>1171302668.4839795</v>
      </c>
      <c r="M70" s="2214">
        <f>SUM(L58:L70)/13</f>
        <v>1039140448.7705153</v>
      </c>
    </row>
    <row r="71" spans="1:13" s="2255" customFormat="1">
      <c r="A71" s="2250">
        <v>2014</v>
      </c>
      <c r="B71" s="2251">
        <v>1</v>
      </c>
      <c r="C71" s="2215">
        <v>639665.49999999965</v>
      </c>
      <c r="D71" s="2215">
        <v>182774.96000000002</v>
      </c>
      <c r="E71" s="2215">
        <v>767.07</v>
      </c>
      <c r="F71" s="2215"/>
      <c r="G71" s="2215">
        <v>823207.52999999968</v>
      </c>
      <c r="H71" s="2219"/>
      <c r="I71" s="2252">
        <f>SUM(C$11:C71)</f>
        <v>1223150794.2999995</v>
      </c>
      <c r="J71" s="2253">
        <f t="shared" si="1"/>
        <v>1756941.0367097694</v>
      </c>
      <c r="K71" s="2253">
        <f t="shared" si="2"/>
        <v>52965401.352729879</v>
      </c>
      <c r="L71" s="2254">
        <f t="shared" si="0"/>
        <v>1170185392.9472697</v>
      </c>
      <c r="M71" s="2253"/>
    </row>
    <row r="72" spans="1:13" s="2255" customFormat="1">
      <c r="A72" s="2250"/>
      <c r="B72" s="2251">
        <v>2</v>
      </c>
      <c r="C72" s="2215">
        <v>92456.37</v>
      </c>
      <c r="D72" s="2215"/>
      <c r="E72" s="2215">
        <v>40.46</v>
      </c>
      <c r="F72" s="2215"/>
      <c r="G72" s="2215">
        <v>92496.83</v>
      </c>
      <c r="H72" s="2219"/>
      <c r="I72" s="2252">
        <f>SUM(C$11:C72)</f>
        <v>1223243250.6699994</v>
      </c>
      <c r="J72" s="2253">
        <f t="shared" si="1"/>
        <v>1757466.9863290223</v>
      </c>
      <c r="K72" s="2253">
        <f t="shared" si="2"/>
        <v>54722868.339058898</v>
      </c>
      <c r="L72" s="2254">
        <f t="shared" si="0"/>
        <v>1168520382.3309405</v>
      </c>
      <c r="M72" s="2253"/>
    </row>
    <row r="73" spans="1:13" s="2255" customFormat="1">
      <c r="A73" s="2250"/>
      <c r="B73" s="2251">
        <v>3</v>
      </c>
      <c r="C73" s="2215">
        <v>257303.03000000009</v>
      </c>
      <c r="D73" s="2215"/>
      <c r="E73" s="2215">
        <v>128.33000000000001</v>
      </c>
      <c r="F73" s="2215"/>
      <c r="G73" s="2215">
        <v>257431.36000000007</v>
      </c>
      <c r="H73" s="2219"/>
      <c r="I73" s="2252">
        <f>SUM(C$11:C73)</f>
        <v>1223500553.6999993</v>
      </c>
      <c r="J73" s="2253">
        <f t="shared" si="1"/>
        <v>1757718.2502658037</v>
      </c>
      <c r="K73" s="2253">
        <f t="shared" si="2"/>
        <v>56480586.589324705</v>
      </c>
      <c r="L73" s="2254">
        <f t="shared" si="0"/>
        <v>1167019967.1106746</v>
      </c>
      <c r="M73" s="2253"/>
    </row>
    <row r="74" spans="1:13" s="2255" customFormat="1">
      <c r="A74" s="2250"/>
      <c r="B74" s="2251">
        <v>4</v>
      </c>
      <c r="C74" s="2215">
        <v>2947367.6799999992</v>
      </c>
      <c r="D74" s="2215"/>
      <c r="E74" s="2215">
        <v>440.53999999999996</v>
      </c>
      <c r="F74" s="2215"/>
      <c r="G74" s="2215">
        <v>2947808.2199999993</v>
      </c>
      <c r="H74" s="2219"/>
      <c r="I74" s="2252">
        <f>SUM(C$11:C74)</f>
        <v>1226447921.3799994</v>
      </c>
      <c r="J74" s="2253">
        <f t="shared" si="1"/>
        <v>1760020.4562356311</v>
      </c>
      <c r="K74" s="2253">
        <f t="shared" si="2"/>
        <v>58240607.045560338</v>
      </c>
      <c r="L74" s="2254">
        <f t="shared" si="0"/>
        <v>1168207314.334439</v>
      </c>
      <c r="M74" s="2253"/>
    </row>
    <row r="75" spans="1:13" s="2255" customFormat="1">
      <c r="A75" s="2250"/>
      <c r="B75" s="2251">
        <v>5</v>
      </c>
      <c r="C75" s="2215">
        <v>122035.54000000002</v>
      </c>
      <c r="D75" s="2215"/>
      <c r="E75" s="2215">
        <v>42.37</v>
      </c>
      <c r="F75" s="2215"/>
      <c r="G75" s="2215">
        <v>122077.91000000002</v>
      </c>
      <c r="H75" s="2219"/>
      <c r="I75" s="2252">
        <f>SUM(C$11:C75)</f>
        <v>1226569956.9199994</v>
      </c>
      <c r="J75" s="2253">
        <f t="shared" si="1"/>
        <v>1762225.487284482</v>
      </c>
      <c r="K75" s="2253">
        <f t="shared" si="2"/>
        <v>60002832.532844819</v>
      </c>
      <c r="L75" s="2254">
        <f t="shared" si="0"/>
        <v>1166567124.3871546</v>
      </c>
      <c r="M75" s="2253"/>
    </row>
    <row r="76" spans="1:13" s="2255" customFormat="1">
      <c r="A76" s="2250"/>
      <c r="B76" s="2251">
        <v>6</v>
      </c>
      <c r="C76" s="2215">
        <v>284853.58000000007</v>
      </c>
      <c r="D76" s="2215">
        <v>576.34</v>
      </c>
      <c r="E76" s="2215">
        <v>5.53</v>
      </c>
      <c r="F76" s="2215"/>
      <c r="G76" s="2215">
        <v>285435.45000000007</v>
      </c>
      <c r="H76" s="2219"/>
      <c r="I76" s="2252">
        <f>SUM(C$11:C76)</f>
        <v>1226854810.4999993</v>
      </c>
      <c r="J76" s="2253">
        <f t="shared" si="1"/>
        <v>1762517.7926867807</v>
      </c>
      <c r="K76" s="2253">
        <f t="shared" si="2"/>
        <v>61765350.325531602</v>
      </c>
      <c r="L76" s="2254">
        <f t="shared" si="0"/>
        <v>1165089460.1744676</v>
      </c>
      <c r="M76" s="2253"/>
    </row>
    <row r="77" spans="1:13" s="2255" customFormat="1">
      <c r="A77" s="2250"/>
      <c r="B77" s="2251">
        <v>7</v>
      </c>
      <c r="C77" s="2215">
        <v>92267.080000000016</v>
      </c>
      <c r="D77" s="2215"/>
      <c r="E77" s="2215">
        <v>147.02000000000001</v>
      </c>
      <c r="F77" s="2215"/>
      <c r="G77" s="2215">
        <v>92414.10000000002</v>
      </c>
      <c r="H77" s="2219"/>
      <c r="I77" s="2252">
        <f>SUM(C$11:C77)</f>
        <v>1226947077.5799992</v>
      </c>
      <c r="J77" s="2253">
        <f t="shared" si="1"/>
        <v>1762788.7127011484</v>
      </c>
      <c r="K77" s="2253">
        <f t="shared" si="2"/>
        <v>63528139.038232751</v>
      </c>
      <c r="L77" s="2254">
        <f t="shared" si="0"/>
        <v>1163418938.5417664</v>
      </c>
      <c r="M77" s="2253"/>
    </row>
    <row r="78" spans="1:13" s="2255" customFormat="1">
      <c r="A78" s="2250"/>
      <c r="B78" s="2251">
        <v>8</v>
      </c>
      <c r="C78" s="2215">
        <v>18638.840000000004</v>
      </c>
      <c r="D78" s="2215"/>
      <c r="E78" s="2215">
        <v>21.47</v>
      </c>
      <c r="F78" s="2215"/>
      <c r="G78" s="2215">
        <v>18660.310000000005</v>
      </c>
      <c r="H78" s="2219"/>
      <c r="I78" s="2252">
        <f>SUM(C$11:C78)</f>
        <v>1226965716.4199991</v>
      </c>
      <c r="J78" s="2253">
        <f t="shared" si="1"/>
        <v>1762868.3864942517</v>
      </c>
      <c r="K78" s="2253">
        <f t="shared" si="2"/>
        <v>65291007.424727</v>
      </c>
      <c r="L78" s="2254">
        <f t="shared" si="0"/>
        <v>1161674708.9952722</v>
      </c>
      <c r="M78" s="2253"/>
    </row>
    <row r="79" spans="1:13" s="2255" customFormat="1">
      <c r="A79" s="2250"/>
      <c r="B79" s="2251">
        <v>9</v>
      </c>
      <c r="C79" s="2215">
        <v>-115736.94000000003</v>
      </c>
      <c r="D79" s="2215"/>
      <c r="E79" s="2215">
        <v>553.99</v>
      </c>
      <c r="F79" s="2215"/>
      <c r="G79" s="2215">
        <v>-115182.95000000003</v>
      </c>
      <c r="H79" s="2219"/>
      <c r="I79" s="2252">
        <f>SUM(C$11:C79)</f>
        <v>1226849979.4799991</v>
      </c>
      <c r="J79" s="2253">
        <f t="shared" si="1"/>
        <v>1762798.6321120679</v>
      </c>
      <c r="K79" s="2253">
        <f t="shared" si="2"/>
        <v>67053806.056839071</v>
      </c>
      <c r="L79" s="2254">
        <f t="shared" si="0"/>
        <v>1159796173.4231601</v>
      </c>
      <c r="M79" s="2253"/>
    </row>
    <row r="80" spans="1:13" s="2255" customFormat="1">
      <c r="A80" s="2250"/>
      <c r="B80" s="2251">
        <v>10</v>
      </c>
      <c r="C80" s="2215">
        <v>423269.07999999996</v>
      </c>
      <c r="D80" s="2215"/>
      <c r="E80" s="2215">
        <v>6.15</v>
      </c>
      <c r="F80" s="2215"/>
      <c r="G80" s="2215">
        <v>423275.23</v>
      </c>
      <c r="H80" s="2219"/>
      <c r="I80" s="2252">
        <f>SUM(C$11:C80)</f>
        <v>1227273248.559999</v>
      </c>
      <c r="J80" s="2253">
        <f t="shared" si="1"/>
        <v>1763019.5603735617</v>
      </c>
      <c r="K80" s="2253">
        <f t="shared" si="2"/>
        <v>68816825.617212638</v>
      </c>
      <c r="L80" s="2254">
        <f t="shared" si="0"/>
        <v>1158456422.9427865</v>
      </c>
      <c r="M80" s="2253"/>
    </row>
    <row r="81" spans="1:13" s="2255" customFormat="1">
      <c r="A81" s="2250"/>
      <c r="B81" s="2251">
        <v>11</v>
      </c>
      <c r="C81" s="2215">
        <v>282683.90000000002</v>
      </c>
      <c r="D81" s="2215">
        <v>1813531.28</v>
      </c>
      <c r="E81" s="2215">
        <v>21.26</v>
      </c>
      <c r="F81" s="2215"/>
      <c r="G81" s="2215">
        <v>2096236.44</v>
      </c>
      <c r="H81" s="2219"/>
      <c r="I81" s="2252">
        <f>SUM(C$11:C81)</f>
        <v>1227555932.4599991</v>
      </c>
      <c r="J81" s="2253">
        <f t="shared" si="1"/>
        <v>1763526.7105028722</v>
      </c>
      <c r="K81" s="2253">
        <f t="shared" si="2"/>
        <v>70580352.327715516</v>
      </c>
      <c r="L81" s="2254">
        <f t="shared" si="0"/>
        <v>1156975580.1322837</v>
      </c>
      <c r="M81" s="2253"/>
    </row>
    <row r="82" spans="1:13" s="2255" customFormat="1">
      <c r="A82" s="2250"/>
      <c r="B82" s="2251">
        <v>12</v>
      </c>
      <c r="C82" s="2215">
        <v>288801.48</v>
      </c>
      <c r="D82" s="2215">
        <v>4331.97</v>
      </c>
      <c r="E82" s="2215">
        <v>76811.7</v>
      </c>
      <c r="F82" s="2215"/>
      <c r="G82" s="2215">
        <v>369945.14999999997</v>
      </c>
      <c r="H82" s="2219"/>
      <c r="I82" s="2256">
        <f>SUM(C$11:C82)</f>
        <v>1227844733.9399991</v>
      </c>
      <c r="J82" s="2253">
        <f t="shared" si="1"/>
        <v>1763937.2603448264</v>
      </c>
      <c r="K82" s="2253">
        <f t="shared" si="2"/>
        <v>72344289.588060349</v>
      </c>
      <c r="L82" s="2254">
        <f t="shared" si="0"/>
        <v>1155500444.3519387</v>
      </c>
      <c r="M82" s="2257">
        <f>SUM(L70:L82)/13</f>
        <v>1164054967.550472</v>
      </c>
    </row>
    <row r="83" spans="1:13">
      <c r="A83" s="2216">
        <v>2015</v>
      </c>
      <c r="B83" s="2203">
        <v>1</v>
      </c>
      <c r="C83" s="2215">
        <v>101592.22999999995</v>
      </c>
      <c r="D83" s="2215">
        <v>190842.5</v>
      </c>
      <c r="E83" s="2215">
        <v>2374.87</v>
      </c>
      <c r="F83" s="2215"/>
      <c r="G83" s="2215">
        <v>294809.59999999998</v>
      </c>
      <c r="H83" s="2218"/>
      <c r="I83" s="2252">
        <f>SUM(C$11:C83)</f>
        <v>1227946326.1699991</v>
      </c>
      <c r="J83" s="2253">
        <f t="shared" ref="J83:J94" si="3">+C83*J$8*0.5+J$8*I82</f>
        <v>1764217.7155962631</v>
      </c>
      <c r="K83" s="2253">
        <f t="shared" ref="K83:K94" si="4">J83+K82</f>
        <v>74108507.303656608</v>
      </c>
      <c r="L83" s="2254">
        <f t="shared" ref="L83:L94" si="5">+I83-K83</f>
        <v>1153837818.8663425</v>
      </c>
      <c r="M83" s="2214"/>
    </row>
    <row r="84" spans="1:13">
      <c r="A84" s="2216"/>
      <c r="B84" s="2203">
        <v>2</v>
      </c>
      <c r="C84" s="2215">
        <v>262042.13999999998</v>
      </c>
      <c r="D84" s="2215">
        <v>28559.41</v>
      </c>
      <c r="E84" s="2215">
        <v>29091.260000000002</v>
      </c>
      <c r="F84" s="2215">
        <v>8182.88</v>
      </c>
      <c r="G84" s="2215">
        <v>327875.69</v>
      </c>
      <c r="H84" s="2218"/>
      <c r="I84" s="2252">
        <f>SUM(C$11:C84)</f>
        <v>1228208368.3099992</v>
      </c>
      <c r="J84" s="2253">
        <f t="shared" si="3"/>
        <v>1764478.9471839068</v>
      </c>
      <c r="K84" s="2253">
        <f t="shared" si="4"/>
        <v>75872986.250840515</v>
      </c>
      <c r="L84" s="2254">
        <f t="shared" si="5"/>
        <v>1152335382.0591588</v>
      </c>
      <c r="M84" s="2214"/>
    </row>
    <row r="85" spans="1:13">
      <c r="A85" s="2216"/>
      <c r="B85" s="2203">
        <v>3</v>
      </c>
      <c r="C85" s="2215">
        <v>56095.71</v>
      </c>
      <c r="D85" s="2215">
        <v>31274.29</v>
      </c>
      <c r="E85" s="2215">
        <v>4.24</v>
      </c>
      <c r="F85" s="2215"/>
      <c r="G85" s="2215">
        <v>87374.24</v>
      </c>
      <c r="H85" s="2218"/>
      <c r="I85" s="2252">
        <f>SUM(C$11:C85)</f>
        <v>1228264464.0199993</v>
      </c>
      <c r="J85" s="2253">
        <f t="shared" si="3"/>
        <v>1764707.4944899415</v>
      </c>
      <c r="K85" s="2253">
        <f t="shared" si="4"/>
        <v>77637693.745330453</v>
      </c>
      <c r="L85" s="2254">
        <f t="shared" si="5"/>
        <v>1150626770.2746687</v>
      </c>
      <c r="M85" s="2214"/>
    </row>
    <row r="86" spans="1:13">
      <c r="A86" s="2216"/>
      <c r="B86" s="2203">
        <v>4</v>
      </c>
      <c r="C86" s="2215">
        <v>32366</v>
      </c>
      <c r="D86" s="2215">
        <v>5086.76</v>
      </c>
      <c r="E86" s="2215">
        <v>-3.28</v>
      </c>
      <c r="F86" s="2215"/>
      <c r="G86" s="2215">
        <v>37449.480000000003</v>
      </c>
      <c r="H86" s="2218"/>
      <c r="I86" s="2252">
        <f>SUM(C$11:C86)</f>
        <v>1228296830.0199993</v>
      </c>
      <c r="J86" s="2253">
        <f t="shared" si="3"/>
        <v>1764771.0445689645</v>
      </c>
      <c r="K86" s="2253">
        <f t="shared" si="4"/>
        <v>79402464.789899424</v>
      </c>
      <c r="L86" s="2254">
        <f t="shared" si="5"/>
        <v>1148894365.2300999</v>
      </c>
      <c r="M86" s="2214"/>
    </row>
    <row r="87" spans="1:13">
      <c r="A87" s="2216"/>
      <c r="B87" s="2203">
        <v>5</v>
      </c>
      <c r="C87" s="2215">
        <v>331467191.00999999</v>
      </c>
      <c r="D87" s="2215">
        <v>5086.18</v>
      </c>
      <c r="E87" s="2215">
        <v>2201719.71</v>
      </c>
      <c r="F87" s="2215"/>
      <c r="G87" s="2215">
        <v>333673996.89999998</v>
      </c>
      <c r="H87" s="2218"/>
      <c r="I87" s="2252">
        <f>SUM(C$11:C87)</f>
        <v>1559764021.0299993</v>
      </c>
      <c r="J87" s="2253">
        <f t="shared" si="3"/>
        <v>2002917.2780531598</v>
      </c>
      <c r="K87" s="2253">
        <f t="shared" si="4"/>
        <v>81405382.067952588</v>
      </c>
      <c r="L87" s="2254">
        <f t="shared" si="5"/>
        <v>1478358638.9620466</v>
      </c>
      <c r="M87" s="2214"/>
    </row>
    <row r="88" spans="1:13">
      <c r="A88" s="2216"/>
      <c r="B88" s="2203">
        <v>6</v>
      </c>
      <c r="C88" s="2215">
        <v>1376123.2599999998</v>
      </c>
      <c r="D88" s="2215">
        <v>-30044.81</v>
      </c>
      <c r="E88" s="2215">
        <v>52642.070000000007</v>
      </c>
      <c r="F88" s="2215"/>
      <c r="G88" s="2215">
        <v>1398720.5199999998</v>
      </c>
      <c r="H88" s="2218"/>
      <c r="I88" s="2252">
        <f>SUM(C$11:C88)</f>
        <v>1561140144.2899992</v>
      </c>
      <c r="J88" s="2253">
        <f t="shared" si="3"/>
        <v>2242028.8543965509</v>
      </c>
      <c r="K88" s="2253">
        <f t="shared" si="4"/>
        <v>83647410.92234914</v>
      </c>
      <c r="L88" s="2254">
        <f t="shared" si="5"/>
        <v>1477492733.36765</v>
      </c>
      <c r="M88" s="2214"/>
    </row>
    <row r="89" spans="1:13">
      <c r="A89" s="2216"/>
      <c r="B89" s="2203">
        <v>7</v>
      </c>
      <c r="C89" s="2215">
        <v>879772.95000000007</v>
      </c>
      <c r="D89" s="2215">
        <v>5086.76</v>
      </c>
      <c r="E89" s="2215">
        <v>11627.740000000002</v>
      </c>
      <c r="F89" s="2215"/>
      <c r="G89" s="2215">
        <v>896487.45000000007</v>
      </c>
      <c r="H89" s="2218"/>
      <c r="I89" s="2252">
        <f>SUM(C$11:C89)</f>
        <v>1562019917.2399993</v>
      </c>
      <c r="J89" s="2253">
        <f t="shared" si="3"/>
        <v>2243649.4694899414</v>
      </c>
      <c r="K89" s="2253">
        <f t="shared" si="4"/>
        <v>85891060.391839087</v>
      </c>
      <c r="L89" s="2254">
        <f t="shared" si="5"/>
        <v>1476128856.8481603</v>
      </c>
      <c r="M89" s="2214"/>
    </row>
    <row r="90" spans="1:13">
      <c r="A90" s="2216"/>
      <c r="B90" s="2203">
        <v>8</v>
      </c>
      <c r="C90" s="2215">
        <v>823008.70000000007</v>
      </c>
      <c r="D90" s="2215">
        <v>-1.33</v>
      </c>
      <c r="E90" s="2215">
        <v>10505.689999999999</v>
      </c>
      <c r="F90" s="2215"/>
      <c r="G90" s="2215">
        <v>833513.06</v>
      </c>
      <c r="H90" s="2218"/>
      <c r="I90" s="2252">
        <f>SUM(C$11:C90)</f>
        <v>1562842925.9399993</v>
      </c>
      <c r="J90" s="2253">
        <f t="shared" si="3"/>
        <v>2244872.7321695392</v>
      </c>
      <c r="K90" s="2253">
        <f t="shared" si="4"/>
        <v>88135933.124008626</v>
      </c>
      <c r="L90" s="2254">
        <f t="shared" si="5"/>
        <v>1474706992.8159907</v>
      </c>
      <c r="M90" s="2214"/>
    </row>
    <row r="91" spans="1:13">
      <c r="A91" s="2216"/>
      <c r="B91" s="2203">
        <v>9</v>
      </c>
      <c r="C91" s="2215">
        <v>789098.23999996425</v>
      </c>
      <c r="D91" s="2215"/>
      <c r="E91" s="2215">
        <v>61992.14</v>
      </c>
      <c r="F91" s="2215"/>
      <c r="G91" s="2215">
        <v>851090.37999996427</v>
      </c>
      <c r="H91" s="2218"/>
      <c r="I91" s="2252">
        <f>SUM(C$11:C91)</f>
        <v>1563632024.1799994</v>
      </c>
      <c r="J91" s="2253">
        <f>+C91*J$8*0.5+J$8*I90</f>
        <v>2246030.8549712636</v>
      </c>
      <c r="K91" s="2253">
        <f t="shared" si="4"/>
        <v>90381963.978979886</v>
      </c>
      <c r="L91" s="2254">
        <f t="shared" si="5"/>
        <v>1473250060.2010195</v>
      </c>
      <c r="M91" s="2214"/>
    </row>
    <row r="92" spans="1:13">
      <c r="A92" s="2216"/>
      <c r="B92" s="2203">
        <v>10</v>
      </c>
      <c r="C92" s="2215">
        <v>757496.57999999984</v>
      </c>
      <c r="D92" s="2215">
        <v>0.46</v>
      </c>
      <c r="E92" s="2215">
        <v>-855.06999999999994</v>
      </c>
      <c r="F92" s="2215"/>
      <c r="G92" s="2215">
        <v>756641.96999999986</v>
      </c>
      <c r="H92" s="2218"/>
      <c r="I92" s="2252">
        <f>SUM(C$11:C92)</f>
        <v>1564389520.7599993</v>
      </c>
      <c r="J92" s="2253">
        <f t="shared" si="3"/>
        <v>2247141.9144683899</v>
      </c>
      <c r="K92" s="2253">
        <f t="shared" si="4"/>
        <v>92629105.893448278</v>
      </c>
      <c r="L92" s="2254">
        <f t="shared" si="5"/>
        <v>1471760414.8665509</v>
      </c>
      <c r="M92" s="2214"/>
    </row>
    <row r="93" spans="1:13">
      <c r="A93" s="2216"/>
      <c r="B93" s="2203">
        <v>11</v>
      </c>
      <c r="C93" s="2215">
        <v>159196.459999999</v>
      </c>
      <c r="D93" s="2215"/>
      <c r="E93" s="2215">
        <v>33407.71</v>
      </c>
      <c r="F93" s="2215"/>
      <c r="G93" s="2215">
        <v>192604.16999999899</v>
      </c>
      <c r="H93" s="2218"/>
      <c r="I93" s="2252">
        <f>SUM(C$11:C93)</f>
        <v>1564548717.2199993</v>
      </c>
      <c r="J93" s="2253">
        <f t="shared" si="3"/>
        <v>2247800.4583189646</v>
      </c>
      <c r="K93" s="2253">
        <f t="shared" si="4"/>
        <v>94876906.351767242</v>
      </c>
      <c r="L93" s="2254">
        <f t="shared" si="5"/>
        <v>1469671810.868232</v>
      </c>
      <c r="M93" s="2214"/>
    </row>
    <row r="94" spans="1:13">
      <c r="A94" s="2216"/>
      <c r="B94" s="2203">
        <v>12</v>
      </c>
      <c r="C94" s="2215">
        <v>2183127.1100000003</v>
      </c>
      <c r="D94" s="2215"/>
      <c r="E94" s="2215">
        <v>522.9</v>
      </c>
      <c r="F94" s="2215"/>
      <c r="G94" s="2215">
        <v>2183650.0100000002</v>
      </c>
      <c r="H94" s="2218"/>
      <c r="I94" s="2256">
        <f>SUM(C$11:C94)</f>
        <v>1566731844.3299992</v>
      </c>
      <c r="J94" s="2253">
        <f t="shared" si="3"/>
        <v>2249483.1620330452</v>
      </c>
      <c r="K94" s="2253">
        <f t="shared" si="4"/>
        <v>97126389.513800293</v>
      </c>
      <c r="L94" s="2254">
        <f t="shared" si="5"/>
        <v>1469605454.8161988</v>
      </c>
      <c r="M94" s="2257">
        <f>SUM(L82:L94)/13</f>
        <v>1350166903.3483121</v>
      </c>
    </row>
    <row r="95" spans="1:13">
      <c r="A95" s="2216">
        <v>2016</v>
      </c>
      <c r="B95" s="2203">
        <v>1</v>
      </c>
      <c r="C95" s="2215">
        <v>-1183636.0400000003</v>
      </c>
      <c r="D95" s="2215">
        <v>0</v>
      </c>
      <c r="E95" s="2215">
        <v>1308397.97</v>
      </c>
      <c r="F95" s="2215">
        <v>0</v>
      </c>
      <c r="G95" s="2215">
        <v>124761.9299999997</v>
      </c>
      <c r="H95" s="2218"/>
      <c r="I95" s="2405">
        <f>SUM(C$11:C95)</f>
        <v>1565548208.2899992</v>
      </c>
      <c r="J95" s="2213">
        <f>+C95*J$8*0.5+J$8*I94</f>
        <v>2250201.1872270103</v>
      </c>
      <c r="K95" s="2213">
        <f>J95+K94</f>
        <v>99376590.701027304</v>
      </c>
      <c r="L95" s="2211">
        <f>+I95-K95</f>
        <v>1466171617.5889719</v>
      </c>
      <c r="M95" s="2218"/>
    </row>
    <row r="96" spans="1:13">
      <c r="A96" s="2218"/>
      <c r="B96" s="2203">
        <v>2</v>
      </c>
      <c r="C96" s="2215">
        <v>970859.33000000007</v>
      </c>
      <c r="D96" s="2215">
        <v>0</v>
      </c>
      <c r="E96" s="2215">
        <v>-827973.83</v>
      </c>
      <c r="F96" s="2215">
        <v>0</v>
      </c>
      <c r="G96" s="2215">
        <v>142885.50000000012</v>
      </c>
      <c r="H96" s="2218"/>
      <c r="I96" s="2405">
        <f>SUM(C$11:C96)</f>
        <v>1566519067.6199992</v>
      </c>
      <c r="J96" s="2213">
        <f t="shared" ref="J96:J106" si="6">+C96*J$8*0.5+J$8*I95</f>
        <v>2250048.3303951137</v>
      </c>
      <c r="K96" s="2213">
        <f t="shared" ref="K96:K106" si="7">J96+K95</f>
        <v>101626639.03142242</v>
      </c>
      <c r="L96" s="2211">
        <f t="shared" ref="L96:L106" si="8">+I96-K96</f>
        <v>1464892428.5885768</v>
      </c>
      <c r="M96" s="2218"/>
    </row>
    <row r="97" spans="1:13">
      <c r="A97" s="2218"/>
      <c r="B97" s="2203">
        <v>3</v>
      </c>
      <c r="C97" s="2215">
        <v>10349995.800000001</v>
      </c>
      <c r="D97" s="2215">
        <v>0</v>
      </c>
      <c r="E97" s="2215">
        <v>5258.78</v>
      </c>
      <c r="F97" s="2215">
        <v>0</v>
      </c>
      <c r="G97" s="2215">
        <v>10355254.58</v>
      </c>
      <c r="H97" s="2218"/>
      <c r="I97" s="2405">
        <f>SUM(C$11:C97)</f>
        <v>1576869063.4199991</v>
      </c>
      <c r="J97" s="2213">
        <f t="shared" si="6"/>
        <v>2258181.1286206883</v>
      </c>
      <c r="K97" s="2213">
        <f t="shared" si="7"/>
        <v>103884820.16004311</v>
      </c>
      <c r="L97" s="2211">
        <f t="shared" si="8"/>
        <v>1472984243.2599561</v>
      </c>
      <c r="M97" s="2218"/>
    </row>
    <row r="98" spans="1:13">
      <c r="A98" s="2218"/>
      <c r="B98" s="2203">
        <v>4</v>
      </c>
      <c r="C98" s="2215">
        <v>-1132812.6899999995</v>
      </c>
      <c r="D98" s="2215">
        <v>0</v>
      </c>
      <c r="E98" s="2215">
        <v>683.17000000000007</v>
      </c>
      <c r="F98" s="2215">
        <v>0</v>
      </c>
      <c r="G98" s="2215">
        <v>-1132129.5199999996</v>
      </c>
      <c r="H98" s="2218"/>
      <c r="I98" s="2405">
        <f>SUM(C$11:C98)</f>
        <v>1575736250.7299991</v>
      </c>
      <c r="J98" s="2213">
        <f t="shared" si="6"/>
        <v>2264802.6682112054</v>
      </c>
      <c r="K98" s="2213">
        <f t="shared" si="7"/>
        <v>106149622.82825431</v>
      </c>
      <c r="L98" s="2211">
        <f t="shared" si="8"/>
        <v>1469586627.9017448</v>
      </c>
      <c r="M98" s="2218"/>
    </row>
    <row r="99" spans="1:13">
      <c r="A99" s="2218"/>
      <c r="B99" s="2203">
        <v>5</v>
      </c>
      <c r="C99" s="2215">
        <v>-66570.559999999998</v>
      </c>
      <c r="D99" s="2215">
        <v>0</v>
      </c>
      <c r="E99" s="2215">
        <v>18691.89</v>
      </c>
      <c r="F99" s="2215">
        <v>0</v>
      </c>
      <c r="G99" s="2215">
        <v>-47878.67</v>
      </c>
      <c r="H99" s="2218"/>
      <c r="I99" s="2405">
        <f>SUM(C$11:C99)</f>
        <v>1575669680.1699991</v>
      </c>
      <c r="J99" s="2213">
        <f t="shared" si="6"/>
        <v>2263941.0423132167</v>
      </c>
      <c r="K99" s="2213">
        <f t="shared" si="7"/>
        <v>108413563.87056753</v>
      </c>
      <c r="L99" s="2211">
        <f t="shared" si="8"/>
        <v>1467256116.2994316</v>
      </c>
      <c r="M99" s="2218"/>
    </row>
    <row r="100" spans="1:13">
      <c r="A100" s="2218"/>
      <c r="B100" s="2203">
        <v>6</v>
      </c>
      <c r="C100" s="2215">
        <v>223262.02999999997</v>
      </c>
      <c r="D100" s="2215">
        <v>0</v>
      </c>
      <c r="E100" s="2215">
        <v>791.75</v>
      </c>
      <c r="F100" s="2215">
        <v>0</v>
      </c>
      <c r="G100" s="2215">
        <v>224053.77999999997</v>
      </c>
      <c r="H100" s="2218"/>
      <c r="I100" s="2405">
        <f>SUM(C$11:C100)</f>
        <v>1575892942.1999991</v>
      </c>
      <c r="J100" s="2213">
        <f t="shared" si="6"/>
        <v>2264053.6080244239</v>
      </c>
      <c r="K100" s="2213">
        <f t="shared" si="7"/>
        <v>110677617.47859195</v>
      </c>
      <c r="L100" s="2211">
        <f t="shared" si="8"/>
        <v>1465215324.7214072</v>
      </c>
      <c r="M100" s="2218"/>
    </row>
    <row r="101" spans="1:13">
      <c r="A101" s="2218"/>
      <c r="B101" s="2203">
        <v>7</v>
      </c>
      <c r="C101" s="2215">
        <v>44732.240000000005</v>
      </c>
      <c r="D101" s="2215">
        <v>0</v>
      </c>
      <c r="E101" s="2215">
        <v>331.99</v>
      </c>
      <c r="F101" s="2215">
        <v>0</v>
      </c>
      <c r="G101" s="2215">
        <v>45064.23</v>
      </c>
      <c r="H101" s="2218"/>
      <c r="I101" s="2405">
        <f>SUM(C$11:C101)</f>
        <v>1575937674.4399991</v>
      </c>
      <c r="J101" s="2213">
        <f t="shared" si="6"/>
        <v>2264246.1326436768</v>
      </c>
      <c r="K101" s="2213">
        <f t="shared" si="7"/>
        <v>112941863.61123562</v>
      </c>
      <c r="L101" s="2211">
        <f t="shared" si="8"/>
        <v>1462995810.8287635</v>
      </c>
      <c r="M101" s="2218"/>
    </row>
    <row r="102" spans="1:13">
      <c r="A102" s="2218"/>
      <c r="B102" s="2203">
        <v>8</v>
      </c>
      <c r="C102" s="2215">
        <v>-18202.430000000029</v>
      </c>
      <c r="D102" s="2215">
        <v>0</v>
      </c>
      <c r="E102" s="2215">
        <v>939.08</v>
      </c>
      <c r="F102" s="2215">
        <v>0</v>
      </c>
      <c r="G102" s="2215">
        <v>-17263.350000000028</v>
      </c>
      <c r="H102" s="2218"/>
      <c r="I102" s="2405">
        <f>SUM(C$11:C102)</f>
        <v>1575919472.009999</v>
      </c>
      <c r="J102" s="2213">
        <f t="shared" si="6"/>
        <v>2264265.1914152284</v>
      </c>
      <c r="K102" s="2213">
        <f t="shared" si="7"/>
        <v>115206128.80265085</v>
      </c>
      <c r="L102" s="2211">
        <f t="shared" si="8"/>
        <v>1460713343.2073481</v>
      </c>
      <c r="M102" s="2218"/>
    </row>
    <row r="103" spans="1:13">
      <c r="A103" s="2218"/>
      <c r="B103" s="2203">
        <v>9</v>
      </c>
      <c r="C103" s="2215">
        <v>40725.879999999997</v>
      </c>
      <c r="D103" s="2215">
        <v>0</v>
      </c>
      <c r="E103" s="2215">
        <v>1203.52</v>
      </c>
      <c r="F103" s="2215">
        <v>0</v>
      </c>
      <c r="G103" s="2215">
        <v>41929.4</v>
      </c>
      <c r="H103" s="2218"/>
      <c r="I103" s="2405">
        <f>SUM(C$11:C103)</f>
        <v>1575960197.8899992</v>
      </c>
      <c r="J103" s="2213">
        <f t="shared" si="6"/>
        <v>2264281.3720545964</v>
      </c>
      <c r="K103" s="2213">
        <f t="shared" si="7"/>
        <v>117470410.17470545</v>
      </c>
      <c r="L103" s="2211">
        <f t="shared" si="8"/>
        <v>1458489787.7152936</v>
      </c>
      <c r="M103" s="2218"/>
    </row>
    <row r="104" spans="1:13">
      <c r="A104" s="2218"/>
      <c r="B104" s="2203">
        <v>10</v>
      </c>
      <c r="C104" s="2215">
        <v>-37384.25999999998</v>
      </c>
      <c r="D104" s="2215">
        <v>0</v>
      </c>
      <c r="E104" s="2215">
        <v>89.85</v>
      </c>
      <c r="F104" s="2215">
        <v>0</v>
      </c>
      <c r="G104" s="2215">
        <v>-37294.409999999982</v>
      </c>
      <c r="H104" s="2218"/>
      <c r="I104" s="2405">
        <f>SUM(C$11:C104)</f>
        <v>1575922813.6299992</v>
      </c>
      <c r="J104" s="2213">
        <f t="shared" si="6"/>
        <v>2264283.772643677</v>
      </c>
      <c r="K104" s="2213">
        <f t="shared" si="7"/>
        <v>119734693.94734912</v>
      </c>
      <c r="L104" s="2211">
        <f t="shared" si="8"/>
        <v>1456188119.6826501</v>
      </c>
      <c r="M104" s="2218"/>
    </row>
    <row r="105" spans="1:13">
      <c r="A105" s="2218"/>
      <c r="B105" s="2203">
        <v>11</v>
      </c>
      <c r="C105" s="2215">
        <v>30780.99</v>
      </c>
      <c r="D105" s="2215">
        <v>0</v>
      </c>
      <c r="E105" s="2215">
        <v>291.12</v>
      </c>
      <c r="F105" s="2215">
        <v>0</v>
      </c>
      <c r="G105" s="2215">
        <v>31072.10999999999</v>
      </c>
      <c r="H105" s="2218"/>
      <c r="I105" s="2405">
        <f>SUM(C$11:C105)</f>
        <v>1575953594.6199992</v>
      </c>
      <c r="J105" s="2213">
        <f t="shared" si="6"/>
        <v>2264279.0289152288</v>
      </c>
      <c r="K105" s="2213">
        <f t="shared" si="7"/>
        <v>121998972.97626434</v>
      </c>
      <c r="L105" s="2211">
        <f t="shared" si="8"/>
        <v>1453954621.6437349</v>
      </c>
      <c r="M105" s="2218"/>
    </row>
    <row r="106" spans="1:13">
      <c r="A106" s="2218"/>
      <c r="B106" s="2203">
        <v>12</v>
      </c>
      <c r="C106" s="2215">
        <v>24419.43</v>
      </c>
      <c r="D106" s="2215">
        <v>0</v>
      </c>
      <c r="E106" s="2215">
        <v>168.73999999999998</v>
      </c>
      <c r="F106" s="2215">
        <v>0</v>
      </c>
      <c r="G106" s="2215">
        <v>24588.17</v>
      </c>
      <c r="H106" s="2218"/>
      <c r="I106" s="2406">
        <f>SUM(C$11:C106)</f>
        <v>1575978014.0499992</v>
      </c>
      <c r="J106" s="2213">
        <f t="shared" si="6"/>
        <v>2264318.6843893668</v>
      </c>
      <c r="K106" s="2213">
        <f t="shared" si="7"/>
        <v>124263291.66065371</v>
      </c>
      <c r="L106" s="2211">
        <f t="shared" si="8"/>
        <v>1451714722.3893456</v>
      </c>
      <c r="M106" s="2214">
        <f>SUM(L94:L106)/13</f>
        <v>1463059093.741802</v>
      </c>
    </row>
    <row r="107" spans="1:13">
      <c r="A107" s="2216">
        <v>2017</v>
      </c>
      <c r="B107" s="2203">
        <v>1</v>
      </c>
      <c r="C107" s="2217">
        <v>3502.08</v>
      </c>
      <c r="D107" s="2217">
        <v>0</v>
      </c>
      <c r="E107" s="2217">
        <v>64.259999999999991</v>
      </c>
      <c r="F107" s="2217">
        <v>0</v>
      </c>
      <c r="G107" s="2217">
        <v>3566.34</v>
      </c>
      <c r="H107" s="2218"/>
      <c r="I107" s="2405">
        <f>SUM(C$11:C107)</f>
        <v>1575981516.1299992</v>
      </c>
      <c r="J107" s="2213">
        <f>+C107*J$8*0.5+J$8*I106</f>
        <v>2264338.7429454015</v>
      </c>
      <c r="K107" s="2213">
        <f>J107+K106</f>
        <v>126527630.40359911</v>
      </c>
      <c r="L107" s="2211">
        <f>+I107-K107</f>
        <v>1449453885.7264001</v>
      </c>
      <c r="M107" s="2218"/>
    </row>
    <row r="108" spans="1:13">
      <c r="A108" s="2218"/>
      <c r="B108" s="2203">
        <v>2</v>
      </c>
      <c r="C108" s="2217">
        <v>15540.720000000001</v>
      </c>
      <c r="D108" s="2217">
        <v>0</v>
      </c>
      <c r="E108" s="2217">
        <v>411.22</v>
      </c>
      <c r="F108" s="2217">
        <v>0</v>
      </c>
      <c r="G108" s="2217">
        <v>15951.94</v>
      </c>
      <c r="H108" s="2218"/>
      <c r="I108" s="2405">
        <f>SUM(C$11:C108)</f>
        <v>1575997056.8499992</v>
      </c>
      <c r="J108" s="2213">
        <f t="shared" ref="J108:J118" si="9">+C108*J$8*0.5+J$8*I107</f>
        <v>2264352.4231178151</v>
      </c>
      <c r="K108" s="2213">
        <f t="shared" ref="K108:K118" si="10">J108+K107</f>
        <v>128791982.82671693</v>
      </c>
      <c r="L108" s="2211">
        <f t="shared" ref="L108:L118" si="11">+I108-K108</f>
        <v>1447205074.0232823</v>
      </c>
      <c r="M108" s="2218"/>
    </row>
    <row r="109" spans="1:13">
      <c r="A109" s="2218"/>
      <c r="B109" s="2203">
        <v>3</v>
      </c>
      <c r="C109" s="2217">
        <v>6783.6200000000008</v>
      </c>
      <c r="D109" s="2217">
        <v>0</v>
      </c>
      <c r="E109" s="2217">
        <v>516.38</v>
      </c>
      <c r="F109" s="2217">
        <v>0</v>
      </c>
      <c r="G109" s="2217">
        <v>7300.0000000000009</v>
      </c>
      <c r="H109" s="2218"/>
      <c r="I109" s="2405">
        <f>SUM(C$11:C109)</f>
        <v>1576003840.4699991</v>
      </c>
      <c r="J109" s="2213">
        <f t="shared" si="9"/>
        <v>2264368.4607183896</v>
      </c>
      <c r="K109" s="2213">
        <f t="shared" si="10"/>
        <v>131056351.28743532</v>
      </c>
      <c r="L109" s="2211">
        <f t="shared" si="11"/>
        <v>1444947489.1825638</v>
      </c>
      <c r="M109" s="2218"/>
    </row>
    <row r="110" spans="1:13">
      <c r="A110" s="2218"/>
      <c r="B110" s="2203">
        <v>4</v>
      </c>
      <c r="C110" s="2217">
        <v>6293.1500000000015</v>
      </c>
      <c r="D110" s="2217">
        <v>0</v>
      </c>
      <c r="E110" s="2217">
        <v>280.15999999999997</v>
      </c>
      <c r="F110" s="2217">
        <v>0</v>
      </c>
      <c r="G110" s="2217">
        <v>6573.3100000000013</v>
      </c>
      <c r="H110" s="2218"/>
      <c r="I110" s="2405">
        <f>SUM(C$11:C110)</f>
        <v>1576010133.6199992</v>
      </c>
      <c r="J110" s="2213">
        <f t="shared" si="9"/>
        <v>2264377.8549497114</v>
      </c>
      <c r="K110" s="2213">
        <f t="shared" si="10"/>
        <v>133320729.14238504</v>
      </c>
      <c r="L110" s="2211">
        <f t="shared" si="11"/>
        <v>1442689404.4776142</v>
      </c>
      <c r="M110" s="2218"/>
    </row>
    <row r="111" spans="1:13">
      <c r="A111" s="2218"/>
      <c r="B111" s="2203">
        <v>5</v>
      </c>
      <c r="C111" s="2217">
        <v>191.73999999999995</v>
      </c>
      <c r="D111" s="2217">
        <v>0</v>
      </c>
      <c r="E111" s="2217">
        <v>138.81</v>
      </c>
      <c r="F111" s="2217">
        <v>0</v>
      </c>
      <c r="G111" s="2217">
        <v>330.54999999999995</v>
      </c>
      <c r="H111" s="2218"/>
      <c r="I111" s="2405">
        <f>SUM(C$11:C111)</f>
        <v>1576010325.3599992</v>
      </c>
      <c r="J111" s="2213">
        <f t="shared" si="9"/>
        <v>2264382.5136350566</v>
      </c>
      <c r="K111" s="2213">
        <f t="shared" si="10"/>
        <v>135585111.6560201</v>
      </c>
      <c r="L111" s="2211">
        <f t="shared" si="11"/>
        <v>1440425213.703979</v>
      </c>
      <c r="M111" s="2218"/>
    </row>
    <row r="112" spans="1:13">
      <c r="A112" s="2218"/>
      <c r="B112" s="2203">
        <v>6</v>
      </c>
      <c r="C112" s="2217">
        <v>3386921.3299999991</v>
      </c>
      <c r="D112" s="2217">
        <v>0</v>
      </c>
      <c r="E112" s="2217">
        <v>-957.81</v>
      </c>
      <c r="F112" s="2217">
        <v>-295.44</v>
      </c>
      <c r="G112" s="2217">
        <v>3385668.0799999991</v>
      </c>
      <c r="H112" s="2218"/>
      <c r="I112" s="2405">
        <f>SUM(C$11:C112)</f>
        <v>1579397246.6899991</v>
      </c>
      <c r="J112" s="2213">
        <f t="shared" si="9"/>
        <v>2266815.7845186768</v>
      </c>
      <c r="K112" s="2213">
        <f t="shared" si="10"/>
        <v>137851927.44053879</v>
      </c>
      <c r="L112" s="2211">
        <f t="shared" si="11"/>
        <v>1441545319.2494602</v>
      </c>
      <c r="M112" s="2218"/>
    </row>
    <row r="113" spans="1:13">
      <c r="A113" s="2218"/>
      <c r="B113" s="2203">
        <v>7</v>
      </c>
      <c r="C113" s="2217">
        <v>30851.050000000007</v>
      </c>
      <c r="D113" s="2217">
        <v>0</v>
      </c>
      <c r="E113" s="2217">
        <v>21.260000000000009</v>
      </c>
      <c r="F113" s="2217">
        <v>-11.22</v>
      </c>
      <c r="G113" s="2217">
        <v>30861.090000000004</v>
      </c>
      <c r="H113" s="2218"/>
      <c r="I113" s="2405">
        <f>SUM(C$11:C113)</f>
        <v>1579428097.7399991</v>
      </c>
      <c r="J113" s="2213">
        <f t="shared" si="9"/>
        <v>2269271.0807686765</v>
      </c>
      <c r="K113" s="2213">
        <f t="shared" si="10"/>
        <v>140121198.52130747</v>
      </c>
      <c r="L113" s="2211">
        <f t="shared" si="11"/>
        <v>1439306899.2186916</v>
      </c>
      <c r="M113" s="2218"/>
    </row>
    <row r="114" spans="1:13">
      <c r="A114" s="2218"/>
      <c r="B114" s="2203">
        <v>8</v>
      </c>
      <c r="C114" s="2217">
        <v>25248.27</v>
      </c>
      <c r="D114" s="2217">
        <v>0</v>
      </c>
      <c r="E114" s="2217">
        <v>79.81</v>
      </c>
      <c r="F114" s="2217">
        <v>0</v>
      </c>
      <c r="G114" s="2217">
        <v>25328.080000000002</v>
      </c>
      <c r="H114" s="2218"/>
      <c r="I114" s="2405">
        <f>SUM(C$11:C114)</f>
        <v>1579453346.009999</v>
      </c>
      <c r="J114" s="2213">
        <f t="shared" si="9"/>
        <v>2269311.382004309</v>
      </c>
      <c r="K114" s="2213">
        <f t="shared" si="10"/>
        <v>142390509.90331179</v>
      </c>
      <c r="L114" s="2211">
        <f t="shared" si="11"/>
        <v>1437062836.1066873</v>
      </c>
      <c r="M114" s="2218"/>
    </row>
    <row r="115" spans="1:13">
      <c r="A115" s="2218"/>
      <c r="B115" s="2203">
        <v>9</v>
      </c>
      <c r="C115" s="2217">
        <v>1400.13</v>
      </c>
      <c r="D115" s="2217">
        <v>0</v>
      </c>
      <c r="E115" s="2217">
        <v>59.620000000000005</v>
      </c>
      <c r="F115" s="2217">
        <v>0</v>
      </c>
      <c r="G115" s="2217">
        <v>1459.75</v>
      </c>
      <c r="H115" s="2218"/>
      <c r="I115" s="2405">
        <f>SUM(C$11:C115)</f>
        <v>1579454746.1399992</v>
      </c>
      <c r="J115" s="2213">
        <f t="shared" si="9"/>
        <v>2269330.5259698262</v>
      </c>
      <c r="K115" s="2213">
        <f t="shared" si="10"/>
        <v>144659840.42928162</v>
      </c>
      <c r="L115" s="2211">
        <f t="shared" si="11"/>
        <v>1434794905.7107174</v>
      </c>
      <c r="M115" s="2218"/>
    </row>
    <row r="116" spans="1:13">
      <c r="A116" s="2218"/>
      <c r="B116" s="2203">
        <v>10</v>
      </c>
      <c r="C116" s="2217">
        <v>13168.619999999999</v>
      </c>
      <c r="D116" s="2217">
        <v>0</v>
      </c>
      <c r="E116" s="2217">
        <v>66.319999999999993</v>
      </c>
      <c r="F116" s="2217">
        <v>0</v>
      </c>
      <c r="G116" s="2217">
        <v>13234.939999999999</v>
      </c>
      <c r="H116" s="2218"/>
      <c r="I116" s="2405">
        <f>SUM(C$11:C116)</f>
        <v>1579467914.759999</v>
      </c>
      <c r="J116" s="2213">
        <f t="shared" si="9"/>
        <v>2269340.9920258611</v>
      </c>
      <c r="K116" s="2213">
        <f t="shared" si="10"/>
        <v>146929181.42130747</v>
      </c>
      <c r="L116" s="2211">
        <f t="shared" si="11"/>
        <v>1432538733.3386915</v>
      </c>
      <c r="M116" s="2218"/>
    </row>
    <row r="117" spans="1:13">
      <c r="A117" s="2218"/>
      <c r="B117" s="2203">
        <v>11</v>
      </c>
      <c r="C117" s="2217">
        <v>-167968.38</v>
      </c>
      <c r="D117" s="2217">
        <v>0</v>
      </c>
      <c r="E117" s="2217">
        <v>80.710000000000008</v>
      </c>
      <c r="F117" s="2217">
        <v>0</v>
      </c>
      <c r="G117" s="2217">
        <v>-167887.67</v>
      </c>
      <c r="H117" s="2218"/>
      <c r="I117" s="2405">
        <f>SUM(C$11:C117)</f>
        <v>1579299946.3799989</v>
      </c>
      <c r="J117" s="2213">
        <f t="shared" si="9"/>
        <v>2269229.7853017226</v>
      </c>
      <c r="K117" s="2213">
        <f t="shared" si="10"/>
        <v>149198411.20660919</v>
      </c>
      <c r="L117" s="2211">
        <f t="shared" si="11"/>
        <v>1430101535.1733897</v>
      </c>
      <c r="M117" s="2218"/>
    </row>
    <row r="118" spans="1:13">
      <c r="A118" s="2218"/>
      <c r="B118" s="2203">
        <v>12</v>
      </c>
      <c r="C118" s="2217">
        <v>-874152.39999999991</v>
      </c>
      <c r="D118" s="2217">
        <v>0</v>
      </c>
      <c r="E118" s="2217">
        <v>0</v>
      </c>
      <c r="F118" s="2217">
        <v>0</v>
      </c>
      <c r="G118" s="2217">
        <v>-874152.39999999991</v>
      </c>
      <c r="H118" s="2218"/>
      <c r="I118" s="2406">
        <f>SUM(C$11:C118)</f>
        <v>1578425793.9799988</v>
      </c>
      <c r="J118" s="2213">
        <f t="shared" si="9"/>
        <v>2268481.1353160902</v>
      </c>
      <c r="K118" s="2213">
        <f t="shared" si="10"/>
        <v>151466892.34192529</v>
      </c>
      <c r="L118" s="2211">
        <f t="shared" si="11"/>
        <v>1426958901.6380734</v>
      </c>
      <c r="M118" s="2214">
        <f>SUM(L106:L118)/13</f>
        <v>1439903455.379915</v>
      </c>
    </row>
    <row r="119" spans="1:13">
      <c r="A119" s="2216">
        <v>2018</v>
      </c>
      <c r="B119" s="2203">
        <v>1</v>
      </c>
      <c r="C119" s="2215"/>
      <c r="D119" s="2215"/>
      <c r="E119" s="2215"/>
      <c r="F119" s="2215"/>
      <c r="G119" s="2215"/>
      <c r="H119" s="2218"/>
      <c r="I119" s="2405">
        <f>SUM(C$11:C119)</f>
        <v>1578425793.9799988</v>
      </c>
      <c r="J119" s="2213">
        <f>+C119*J$8*0.5+J$8*I118</f>
        <v>2267853.1522701131</v>
      </c>
      <c r="K119" s="2213">
        <f>J119+K118</f>
        <v>153734745.4941954</v>
      </c>
      <c r="L119" s="2211">
        <f>+I119-K119</f>
        <v>1424691048.4858034</v>
      </c>
      <c r="M119" s="2218"/>
    </row>
    <row r="120" spans="1:13">
      <c r="A120" s="2218"/>
      <c r="B120" s="2203">
        <v>2</v>
      </c>
      <c r="C120" s="2215"/>
      <c r="D120" s="2215"/>
      <c r="E120" s="2215"/>
      <c r="F120" s="2215"/>
      <c r="G120" s="2215"/>
      <c r="H120" s="2218"/>
      <c r="I120" s="2405">
        <f>SUM(C$11:C120)</f>
        <v>1578425793.9799988</v>
      </c>
      <c r="J120" s="2213">
        <f t="shared" ref="J120:J130" si="12">+C120*J$8*0.5+J$8*I119</f>
        <v>2267853.1522701131</v>
      </c>
      <c r="K120" s="2213">
        <f t="shared" ref="K120:K130" si="13">J120+K119</f>
        <v>156002598.64646551</v>
      </c>
      <c r="L120" s="2211">
        <f t="shared" ref="L120:L130" si="14">+I120-K120</f>
        <v>1422423195.3335333</v>
      </c>
      <c r="M120" s="2218"/>
    </row>
    <row r="121" spans="1:13">
      <c r="A121" s="2218"/>
      <c r="B121" s="2203">
        <v>3</v>
      </c>
      <c r="C121" s="2215"/>
      <c r="D121" s="2215"/>
      <c r="E121" s="2215"/>
      <c r="F121" s="2215"/>
      <c r="G121" s="2215"/>
      <c r="H121" s="2218"/>
      <c r="I121" s="2405">
        <f>SUM(C$11:C121)</f>
        <v>1578425793.9799988</v>
      </c>
      <c r="J121" s="2213">
        <f t="shared" si="12"/>
        <v>2267853.1522701131</v>
      </c>
      <c r="K121" s="2213">
        <f t="shared" si="13"/>
        <v>158270451.79873562</v>
      </c>
      <c r="L121" s="2211">
        <f t="shared" si="14"/>
        <v>1420155342.1812632</v>
      </c>
      <c r="M121" s="2218"/>
    </row>
    <row r="122" spans="1:13">
      <c r="A122" s="2218"/>
      <c r="B122" s="2203">
        <v>4</v>
      </c>
      <c r="C122" s="2215"/>
      <c r="D122" s="2215"/>
      <c r="E122" s="2215"/>
      <c r="F122" s="2215"/>
      <c r="G122" s="2215"/>
      <c r="H122" s="2218"/>
      <c r="I122" s="2405">
        <f>SUM(C$11:C122)</f>
        <v>1578425793.9799988</v>
      </c>
      <c r="J122" s="2213">
        <f t="shared" si="12"/>
        <v>2267853.1522701131</v>
      </c>
      <c r="K122" s="2213">
        <f t="shared" si="13"/>
        <v>160538304.95100573</v>
      </c>
      <c r="L122" s="2211">
        <f t="shared" si="14"/>
        <v>1417887489.0289931</v>
      </c>
      <c r="M122" s="2218"/>
    </row>
    <row r="123" spans="1:13">
      <c r="A123" s="2218"/>
      <c r="B123" s="2203">
        <v>5</v>
      </c>
      <c r="C123" s="2215"/>
      <c r="D123" s="2215"/>
      <c r="E123" s="2215"/>
      <c r="F123" s="2215"/>
      <c r="G123" s="2215"/>
      <c r="H123" s="2218"/>
      <c r="I123" s="2405">
        <f>SUM(C$11:C123)</f>
        <v>1578425793.9799988</v>
      </c>
      <c r="J123" s="2213">
        <f t="shared" si="12"/>
        <v>2267853.1522701131</v>
      </c>
      <c r="K123" s="2213">
        <f t="shared" si="13"/>
        <v>162806158.10327584</v>
      </c>
      <c r="L123" s="2211">
        <f t="shared" si="14"/>
        <v>1415619635.8767231</v>
      </c>
      <c r="M123" s="2218"/>
    </row>
    <row r="124" spans="1:13">
      <c r="A124" s="2218"/>
      <c r="B124" s="2203">
        <v>6</v>
      </c>
      <c r="C124" s="2215"/>
      <c r="D124" s="2215"/>
      <c r="E124" s="2215"/>
      <c r="F124" s="2215"/>
      <c r="G124" s="2215"/>
      <c r="H124" s="2218"/>
      <c r="I124" s="2405">
        <f>SUM(C$11:C124)</f>
        <v>1578425793.9799988</v>
      </c>
      <c r="J124" s="2213">
        <f t="shared" si="12"/>
        <v>2267853.1522701131</v>
      </c>
      <c r="K124" s="2213">
        <f t="shared" si="13"/>
        <v>165074011.25554594</v>
      </c>
      <c r="L124" s="2211">
        <f t="shared" si="14"/>
        <v>1413351782.724453</v>
      </c>
      <c r="M124" s="2218"/>
    </row>
    <row r="125" spans="1:13">
      <c r="A125" s="2218"/>
      <c r="B125" s="2203">
        <v>7</v>
      </c>
      <c r="C125" s="2215"/>
      <c r="D125" s="2215"/>
      <c r="E125" s="2215"/>
      <c r="F125" s="2215"/>
      <c r="G125" s="2215"/>
      <c r="H125" s="2218"/>
      <c r="I125" s="2405">
        <f>SUM(C$11:C125)</f>
        <v>1578425793.9799988</v>
      </c>
      <c r="J125" s="2213">
        <f t="shared" si="12"/>
        <v>2267853.1522701131</v>
      </c>
      <c r="K125" s="2213">
        <f t="shared" si="13"/>
        <v>167341864.40781605</v>
      </c>
      <c r="L125" s="2211">
        <f t="shared" si="14"/>
        <v>1411083929.5721827</v>
      </c>
      <c r="M125" s="2218"/>
    </row>
    <row r="126" spans="1:13">
      <c r="A126" s="2218"/>
      <c r="B126" s="2203">
        <v>8</v>
      </c>
      <c r="C126" s="2215"/>
      <c r="D126" s="2215"/>
      <c r="E126" s="2215"/>
      <c r="F126" s="2215"/>
      <c r="G126" s="2215"/>
      <c r="H126" s="2218"/>
      <c r="I126" s="2405">
        <f>SUM(C$11:C126)</f>
        <v>1578425793.9799988</v>
      </c>
      <c r="J126" s="2213">
        <f t="shared" si="12"/>
        <v>2267853.1522701131</v>
      </c>
      <c r="K126" s="2213">
        <f t="shared" si="13"/>
        <v>169609717.56008616</v>
      </c>
      <c r="L126" s="2211">
        <f t="shared" si="14"/>
        <v>1408816076.4199126</v>
      </c>
      <c r="M126" s="2218"/>
    </row>
    <row r="127" spans="1:13">
      <c r="A127" s="2218"/>
      <c r="B127" s="2203">
        <v>9</v>
      </c>
      <c r="C127" s="2215"/>
      <c r="D127" s="2215"/>
      <c r="E127" s="2215"/>
      <c r="F127" s="2215"/>
      <c r="G127" s="2215"/>
      <c r="H127" s="2218"/>
      <c r="I127" s="2405">
        <f>SUM(C$11:C127)</f>
        <v>1578425793.9799988</v>
      </c>
      <c r="J127" s="2213">
        <f t="shared" si="12"/>
        <v>2267853.1522701131</v>
      </c>
      <c r="K127" s="2213">
        <f t="shared" si="13"/>
        <v>171877570.71235627</v>
      </c>
      <c r="L127" s="2211">
        <f t="shared" si="14"/>
        <v>1406548223.2676425</v>
      </c>
      <c r="M127" s="2218"/>
    </row>
    <row r="128" spans="1:13">
      <c r="A128" s="2218"/>
      <c r="B128" s="2203">
        <v>10</v>
      </c>
      <c r="C128" s="2215"/>
      <c r="D128" s="2215"/>
      <c r="E128" s="2215"/>
      <c r="F128" s="2215"/>
      <c r="G128" s="2215"/>
      <c r="H128" s="2218"/>
      <c r="I128" s="2405">
        <f>SUM(C$11:C128)</f>
        <v>1578425793.9799988</v>
      </c>
      <c r="J128" s="2213">
        <f t="shared" si="12"/>
        <v>2267853.1522701131</v>
      </c>
      <c r="K128" s="2213">
        <f t="shared" si="13"/>
        <v>174145423.86462638</v>
      </c>
      <c r="L128" s="2211">
        <f t="shared" si="14"/>
        <v>1404280370.1153724</v>
      </c>
      <c r="M128" s="2218"/>
    </row>
    <row r="129" spans="1:13">
      <c r="A129" s="2218"/>
      <c r="B129" s="2203">
        <v>11</v>
      </c>
      <c r="C129" s="2215"/>
      <c r="D129" s="2215"/>
      <c r="E129" s="2215"/>
      <c r="F129" s="2215"/>
      <c r="G129" s="2215"/>
      <c r="H129" s="2218"/>
      <c r="I129" s="2405">
        <f>SUM(C$11:C129)</f>
        <v>1578425793.9799988</v>
      </c>
      <c r="J129" s="2213">
        <f t="shared" si="12"/>
        <v>2267853.1522701131</v>
      </c>
      <c r="K129" s="2213">
        <f t="shared" si="13"/>
        <v>176413277.01689649</v>
      </c>
      <c r="L129" s="2211">
        <f t="shared" si="14"/>
        <v>1402012516.9631023</v>
      </c>
      <c r="M129" s="2218"/>
    </row>
    <row r="130" spans="1:13">
      <c r="A130" s="2218"/>
      <c r="B130" s="2203">
        <v>12</v>
      </c>
      <c r="C130" s="2215"/>
      <c r="D130" s="2215"/>
      <c r="E130" s="2215"/>
      <c r="F130" s="2215"/>
      <c r="G130" s="2215"/>
      <c r="H130" s="2218"/>
      <c r="I130" s="2406">
        <f>SUM(C$11:C130)</f>
        <v>1578425793.9799988</v>
      </c>
      <c r="J130" s="2213">
        <f t="shared" si="12"/>
        <v>2267853.1522701131</v>
      </c>
      <c r="K130" s="2213">
        <f t="shared" si="13"/>
        <v>178681130.16916659</v>
      </c>
      <c r="L130" s="2211">
        <f t="shared" si="14"/>
        <v>1399744663.8108323</v>
      </c>
      <c r="M130" s="2214">
        <f>SUM(L118:L130)/13</f>
        <v>1413351782.7244527</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pageSetUpPr autoPageBreaks="0" fitToPage="1"/>
  </sheetPr>
  <dimension ref="A1:K108"/>
  <sheetViews>
    <sheetView workbookViewId="0">
      <selection sqref="A1:J1"/>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740" t="s">
        <v>1731</v>
      </c>
      <c r="B1" s="2741"/>
      <c r="C1" s="2741"/>
      <c r="D1" s="2741"/>
      <c r="E1" s="2741"/>
      <c r="F1" s="2741"/>
      <c r="G1" s="2741"/>
      <c r="H1" s="2741"/>
      <c r="I1" s="2741"/>
      <c r="J1" s="2742"/>
    </row>
    <row r="2" spans="1:10">
      <c r="C2"/>
      <c r="F2" s="462"/>
      <c r="I2" s="462"/>
    </row>
    <row r="3" spans="1:10">
      <c r="C3"/>
      <c r="F3" s="462"/>
      <c r="I3" s="462"/>
    </row>
    <row r="4" spans="1:10" ht="15.75" thickBot="1">
      <c r="A4" s="1088" t="s">
        <v>1091</v>
      </c>
      <c r="C4"/>
      <c r="F4" s="462"/>
      <c r="I4" s="462"/>
    </row>
    <row r="5" spans="1:10" s="462" customFormat="1" ht="26.25" thickBot="1">
      <c r="A5" s="1112" t="s">
        <v>30</v>
      </c>
      <c r="B5" s="1215" t="s">
        <v>1086</v>
      </c>
      <c r="C5" s="1215" t="s">
        <v>1089</v>
      </c>
      <c r="D5" s="1105"/>
      <c r="E5" s="1105" t="s">
        <v>1108</v>
      </c>
      <c r="F5" s="1105" t="s">
        <v>26</v>
      </c>
      <c r="G5" s="1112" t="s">
        <v>1087</v>
      </c>
      <c r="H5" s="1105" t="s">
        <v>1092</v>
      </c>
      <c r="I5" s="1112" t="s">
        <v>834</v>
      </c>
      <c r="J5" s="1105" t="s">
        <v>304</v>
      </c>
    </row>
    <row r="6" spans="1:10" s="462" customFormat="1">
      <c r="A6" s="965"/>
    </row>
    <row r="7" spans="1:10">
      <c r="A7" s="333">
        <v>1</v>
      </c>
      <c r="B7" s="276" t="s">
        <v>382</v>
      </c>
      <c r="C7" s="1087" t="str">
        <f ca="1">OFFSET(INDIRECT(G7),0,-5)</f>
        <v>Preferred Cost</v>
      </c>
      <c r="D7" s="1102"/>
      <c r="E7" s="1085">
        <v>9.8000000000000004E-2</v>
      </c>
      <c r="F7" s="1084" t="s">
        <v>1088</v>
      </c>
      <c r="G7" s="1091" t="s">
        <v>1141</v>
      </c>
      <c r="H7" s="1090" t="str">
        <f ca="1">"Line "&amp;OFFSET(INDIRECT(G7),0,-7)</f>
        <v>Line 121</v>
      </c>
      <c r="I7" s="1118" t="s">
        <v>335</v>
      </c>
      <c r="J7" s="1092" t="s">
        <v>1109</v>
      </c>
    </row>
    <row r="8" spans="1:10" s="462" customFormat="1">
      <c r="A8" s="333">
        <f>A7+1</f>
        <v>2</v>
      </c>
      <c r="B8" s="334" t="s">
        <v>1090</v>
      </c>
      <c r="C8" s="1087" t="str">
        <f>'Att 7 - Trans Enhance Charge'!$C$23</f>
        <v>Increased ROE (basis points)</v>
      </c>
      <c r="D8" s="1101"/>
      <c r="E8" s="1086">
        <v>50</v>
      </c>
      <c r="F8" s="1084" t="s">
        <v>1088</v>
      </c>
      <c r="G8" s="2120" t="s">
        <v>1633</v>
      </c>
      <c r="H8" s="1093" t="str">
        <f>"Row "&amp;ROW('Att 7 - Trans Enhance Charge'!C23)</f>
        <v>Row 23</v>
      </c>
      <c r="I8" s="1118" t="s">
        <v>1142</v>
      </c>
      <c r="J8" s="1092" t="s">
        <v>1650</v>
      </c>
    </row>
    <row r="9" spans="1:10" s="1671" customFormat="1" ht="38.25">
      <c r="A9" s="2170">
        <f>A8+1</f>
        <v>3</v>
      </c>
      <c r="B9" s="1767" t="s">
        <v>907</v>
      </c>
      <c r="C9" s="2171" t="str">
        <f>'Att 3 - Revenue Credits'!B41</f>
        <v>Common pole location fixed annual revenue credit</v>
      </c>
      <c r="D9" s="2172"/>
      <c r="E9" s="2173">
        <f>12*46314</f>
        <v>555768</v>
      </c>
      <c r="F9" s="2174" t="s">
        <v>1088</v>
      </c>
      <c r="G9" s="2175" t="s">
        <v>1632</v>
      </c>
      <c r="H9" s="2176" t="str">
        <f>"Row "&amp;ROW('Att 3 - Revenue Credits'!E41)</f>
        <v>Row 41</v>
      </c>
      <c r="I9" s="2177" t="s">
        <v>1124</v>
      </c>
      <c r="J9" s="2178" t="s">
        <v>1714</v>
      </c>
    </row>
    <row r="10" spans="1:10" s="462" customFormat="1">
      <c r="A10" s="2115">
        <v>4</v>
      </c>
      <c r="B10" s="2110" t="s">
        <v>1629</v>
      </c>
      <c r="C10" s="1087" t="str">
        <f ca="1">OFFSET(INDIRECT(G10),0,-5)</f>
        <v>1/8th Rule</v>
      </c>
      <c r="D10" s="2116"/>
      <c r="E10" s="2117">
        <v>0</v>
      </c>
      <c r="F10" s="2115" t="s">
        <v>1088</v>
      </c>
      <c r="G10" s="2112" t="s">
        <v>1630</v>
      </c>
      <c r="H10" s="2118" t="str">
        <f ca="1">"Line "&amp;OFFSET(INDIRECT(G10),0,-7)</f>
        <v>Line 48</v>
      </c>
      <c r="I10" s="2093" t="s">
        <v>335</v>
      </c>
      <c r="J10" s="2119" t="s">
        <v>1631</v>
      </c>
    </row>
    <row r="11" spans="1:10" s="462" customFormat="1"/>
    <row r="12" spans="1:10">
      <c r="C12"/>
      <c r="F12" s="462"/>
      <c r="I12" s="462"/>
    </row>
    <row r="13" spans="1:10" ht="15.75" thickBot="1">
      <c r="A13" s="1089" t="s">
        <v>686</v>
      </c>
      <c r="C13"/>
      <c r="F13" s="462"/>
      <c r="I13" s="462"/>
    </row>
    <row r="14" spans="1:10" ht="25.5" customHeight="1" thickBot="1">
      <c r="A14" s="1112" t="s">
        <v>30</v>
      </c>
      <c r="B14" s="1215" t="s">
        <v>1086</v>
      </c>
      <c r="C14" s="1215" t="s">
        <v>1089</v>
      </c>
      <c r="D14" s="1112" t="str">
        <f>data_year-1&amp;" year-end balance"</f>
        <v>2016 year-end balance</v>
      </c>
      <c r="E14" s="1112" t="str">
        <f>data_year&amp;" year-end balance"</f>
        <v>2017 year-end balance</v>
      </c>
      <c r="F14" s="1105" t="s">
        <v>1085</v>
      </c>
      <c r="G14" s="1112" t="s">
        <v>1087</v>
      </c>
      <c r="H14" s="1112" t="s">
        <v>1121</v>
      </c>
      <c r="I14" s="1112" t="s">
        <v>1122</v>
      </c>
      <c r="J14" s="1112" t="s">
        <v>304</v>
      </c>
    </row>
    <row r="15" spans="1:10" s="462" customFormat="1" ht="13.5" thickBot="1">
      <c r="A15" s="2083">
        <v>0</v>
      </c>
      <c r="B15" s="2082" t="s">
        <v>1626</v>
      </c>
      <c r="C15" s="2087" t="s">
        <v>1590</v>
      </c>
      <c r="D15" s="2084" t="s">
        <v>1094</v>
      </c>
      <c r="E15" s="2084" t="s">
        <v>1083</v>
      </c>
      <c r="F15" s="2084" t="s">
        <v>1082</v>
      </c>
      <c r="G15" s="2084" t="s">
        <v>1084</v>
      </c>
      <c r="H15" s="2188" t="s">
        <v>1093</v>
      </c>
      <c r="I15" s="251"/>
      <c r="J15" s="1083"/>
    </row>
    <row r="16" spans="1:10" s="462" customFormat="1">
      <c r="A16" s="274">
        <f>A15+1</f>
        <v>1</v>
      </c>
      <c r="B16" s="1667" t="str">
        <f>'Att 2 - Other Taxes'!$B$44</f>
        <v>Total Other Taxes</v>
      </c>
      <c r="C16" s="275" t="str">
        <f>INDEX(FF1_INPUT,MATCH($F16,INDEX(FF1_INPUT,,6),0),MATCH(C$15,FF1_INPUT_columns,0))</f>
        <v>FERC 408.1  - Taxes Other than Income</v>
      </c>
      <c r="D16" s="1226">
        <f>INDEX(FF1_INPUT,MATCH($F16,INDEX(FF1_INPUT,,6),0),MATCH(data_year-1,FF1_INPUT_columns,0))</f>
        <v>189632535</v>
      </c>
      <c r="E16" s="1226">
        <f>INDEX(FF1_INPUT,MATCH($F16,INDEX(FF1_INPUT,,6),0),MATCH(data_year,FF1_INPUT_columns,0))</f>
        <v>196653710</v>
      </c>
      <c r="F16" s="1227" t="s">
        <v>1143</v>
      </c>
      <c r="G16" s="1228" t="s">
        <v>1591</v>
      </c>
      <c r="H16" s="2189">
        <f ca="1">(INDIRECT(RIGHT(G16,LEN(G16)-1))-E16)</f>
        <v>0</v>
      </c>
      <c r="I16" s="1229" t="s">
        <v>1144</v>
      </c>
      <c r="J16" s="1230" t="s">
        <v>1145</v>
      </c>
    </row>
    <row r="17" spans="1:10" s="462" customFormat="1">
      <c r="A17" s="1218">
        <f>A16+1</f>
        <v>2</v>
      </c>
      <c r="B17" s="1231" t="str">
        <f>'Att 5 - Cost Support'!C159</f>
        <v>Utility Investment Tax Credit Adj. - Net (411.4)</v>
      </c>
      <c r="C17" s="275" t="str">
        <f>INDEX(FF1_INPUT,MATCH($F17,INDEX(FF1_INPUT,,6),0),MATCH(C$15,FF1_INPUT_columns,0))</f>
        <v>FERC 411.4 - Net ITC adjustment</v>
      </c>
      <c r="D17" s="1221">
        <f>INDEX(FF1_INPUT,MATCH($F17,INDEX(FF1_INPUT,,6),0),MATCH(data_year-1,FF1_INPUT_columns,0))</f>
        <v>-4341401</v>
      </c>
      <c r="E17" s="1221">
        <f>INDEX(FF1_INPUT,MATCH($F17,INDEX(FF1_INPUT,,6),0),MATCH(data_year,FF1_INPUT_columns,0))</f>
        <v>-3698228</v>
      </c>
      <c r="F17" s="1222" t="s">
        <v>409</v>
      </c>
      <c r="G17" s="1223" t="s">
        <v>1592</v>
      </c>
      <c r="H17" s="2190">
        <f ca="1">(INDIRECT(RIGHT(G17,LEN(G17)-1))-E17)</f>
        <v>0</v>
      </c>
      <c r="I17" s="1224" t="s">
        <v>1105</v>
      </c>
      <c r="J17" s="1225"/>
    </row>
    <row r="18" spans="1:10" s="462" customFormat="1">
      <c r="A18" s="2089">
        <f t="shared" ref="A18:A82" si="0">A17+1</f>
        <v>3</v>
      </c>
      <c r="B18" s="2090" t="str">
        <f>'Att 10 - Acc Amort of PIS'!D13</f>
        <v>Attachment 5 input: Total Accumulated Amortization</v>
      </c>
      <c r="C18" s="275" t="str">
        <f>INDEX(FF1_INPUT,MATCH($F18,INDEX(FF1_INPUT,,6),0),MATCH(C$15,FF1_INPUT_columns,0))</f>
        <v xml:space="preserve"> Amort of Other Utility Plant</v>
      </c>
      <c r="D18" s="1221">
        <f>INDEX(FF1_INPUT,MATCH($F18,INDEX(FF1_INPUT,,6),0),MATCH(data_year-1,FF1_INPUT_columns,0))</f>
        <v>550553312</v>
      </c>
      <c r="E18" s="1221">
        <f>INDEX(FF1_INPUT,MATCH($F18,INDEX(FF1_INPUT,,6),0),MATCH(data_year,FF1_INPUT_columns,0))</f>
        <v>580005314</v>
      </c>
      <c r="F18" s="2091" t="s">
        <v>1342</v>
      </c>
      <c r="G18" s="2092" t="s">
        <v>1712</v>
      </c>
      <c r="H18" s="2191">
        <f ca="1">(INDIRECT(RIGHT(G18,LEN(G18)-1))--E18)</f>
        <v>0</v>
      </c>
      <c r="I18" s="2093" t="s">
        <v>1627</v>
      </c>
      <c r="J18" s="2094" t="s">
        <v>1628</v>
      </c>
    </row>
    <row r="19" spans="1:10" s="462" customFormat="1">
      <c r="A19" s="1218">
        <f t="shared" si="0"/>
        <v>4</v>
      </c>
      <c r="B19" s="1232" t="s">
        <v>9</v>
      </c>
      <c r="C19" s="275" t="str">
        <f>INDEX(FF1_INPUT,MATCH($F19,INDEX(FF1_INPUT,,6),0),MATCH(C$15,FF1_INPUT_columns,0))</f>
        <v>Electric plant held for future use</v>
      </c>
      <c r="D19" s="1103">
        <f>INDEX(FF1_INPUT,MATCH($F19,INDEX(FF1_INPUT,,6),0),MATCH(data_year-1,FF1_INPUT_columns,0))</f>
        <v>23502790</v>
      </c>
      <c r="E19" s="1221">
        <f>INDEX(FF1_INPUT,MATCH($F19,INDEX(FF1_INPUT,,6),0),MATCH(data_year,FF1_INPUT_columns,0))</f>
        <v>26134386</v>
      </c>
      <c r="F19" s="1222" t="s">
        <v>332</v>
      </c>
      <c r="G19" s="1223" t="s">
        <v>1844</v>
      </c>
      <c r="H19" s="2190">
        <f ca="1">(INDIRECT(RIGHT(G19,LEN(G19)-1))-E19)</f>
        <v>0.94999999925494194</v>
      </c>
      <c r="I19" s="1224" t="s">
        <v>1116</v>
      </c>
      <c r="J19" s="1225" t="s">
        <v>1107</v>
      </c>
    </row>
    <row r="20" spans="1:10" s="462" customFormat="1">
      <c r="A20" s="1564">
        <f t="shared" si="0"/>
        <v>5</v>
      </c>
      <c r="B20" s="1565"/>
      <c r="C20" s="275"/>
      <c r="D20" s="2102"/>
      <c r="E20" s="2103"/>
      <c r="F20" s="2104"/>
      <c r="G20" s="2096"/>
      <c r="H20" s="2192"/>
      <c r="I20" s="2097"/>
      <c r="J20" s="2098"/>
    </row>
    <row r="21" spans="1:10" s="462" customFormat="1">
      <c r="A21" s="1564">
        <f t="shared" si="0"/>
        <v>6</v>
      </c>
      <c r="B21" s="275" t="str">
        <f>'Att 5 - Cost Support'!$C$41</f>
        <v>Intangible Plant In Service</v>
      </c>
      <c r="C21" s="275" t="str">
        <f t="shared" ref="C21:C31" si="1">INDEX(FF1_INPUT,MATCH($F21,INDEX(FF1_INPUT,,6),0),MATCH(C$15,FF1_INPUT_columns,0))</f>
        <v>FERC 303 - Misc intangible plant (BoY)</v>
      </c>
      <c r="D21" s="1103">
        <f t="shared" ref="D21:D31" si="2">INDEX(FF1_INPUT,MATCH($F21,INDEX(FF1_INPUT,,6),0),MATCH(data_year-1,FF1_INPUT_columns,0))</f>
        <v>876732473</v>
      </c>
      <c r="E21" s="1221">
        <f t="shared" ref="E21:E31" si="3">INDEX(FF1_INPUT,MATCH($F21,INDEX(FF1_INPUT,,6),0),MATCH(data_year,FF1_INPUT_columns,0))</f>
        <v>884165367</v>
      </c>
      <c r="F21" s="1566" t="s">
        <v>1333</v>
      </c>
      <c r="G21" s="1567" t="s">
        <v>1599</v>
      </c>
      <c r="H21" s="2193"/>
      <c r="I21" s="1668" t="s">
        <v>1383</v>
      </c>
      <c r="J21" s="1569" t="s">
        <v>1638</v>
      </c>
    </row>
    <row r="22" spans="1:10" s="462" customFormat="1">
      <c r="A22" s="1564">
        <f t="shared" si="0"/>
        <v>7</v>
      </c>
      <c r="B22" s="275" t="str">
        <f>'Att 5 - Cost Support'!$C$41</f>
        <v>Intangible Plant In Service</v>
      </c>
      <c r="C22" s="275" t="str">
        <f t="shared" si="1"/>
        <v>FERC 303 - Misc intangible plant (EoY)</v>
      </c>
      <c r="D22" s="1103">
        <f t="shared" si="2"/>
        <v>884188667</v>
      </c>
      <c r="E22" s="1221">
        <f t="shared" si="3"/>
        <v>936908128</v>
      </c>
      <c r="F22" s="1566" t="s">
        <v>1334</v>
      </c>
      <c r="G22" s="1567" t="s">
        <v>1598</v>
      </c>
      <c r="H22" s="2193"/>
      <c r="I22" s="1668" t="s">
        <v>1383</v>
      </c>
      <c r="J22" s="1569" t="s">
        <v>1638</v>
      </c>
    </row>
    <row r="23" spans="1:10" s="462" customFormat="1">
      <c r="A23" s="1564">
        <f t="shared" si="0"/>
        <v>8</v>
      </c>
      <c r="B23" s="275" t="str">
        <f>'Att 5 - Cost Support'!$C$62</f>
        <v>Production Plant In Service</v>
      </c>
      <c r="C23" s="275" t="str">
        <f t="shared" si="1"/>
        <v>Total production plant (BoY)</v>
      </c>
      <c r="D23" s="1103">
        <f t="shared" si="2"/>
        <v>12154489265</v>
      </c>
      <c r="E23" s="1221">
        <f t="shared" si="3"/>
        <v>12212881186</v>
      </c>
      <c r="F23" s="1566" t="s">
        <v>1337</v>
      </c>
      <c r="G23" s="1567" t="s">
        <v>1597</v>
      </c>
      <c r="H23" s="2193"/>
      <c r="I23" s="1668" t="s">
        <v>1383</v>
      </c>
      <c r="J23" s="1569" t="s">
        <v>1638</v>
      </c>
    </row>
    <row r="24" spans="1:10" s="462" customFormat="1">
      <c r="A24" s="1564">
        <f t="shared" si="0"/>
        <v>9</v>
      </c>
      <c r="B24" s="275" t="str">
        <f>'Att 5 - Cost Support'!$C$62</f>
        <v>Production Plant In Service</v>
      </c>
      <c r="C24" s="275" t="str">
        <f t="shared" si="1"/>
        <v>Total production plant (EoY)</v>
      </c>
      <c r="D24" s="1103">
        <f t="shared" si="2"/>
        <v>12367792103</v>
      </c>
      <c r="E24" s="1221">
        <f t="shared" si="3"/>
        <v>12344232810</v>
      </c>
      <c r="F24" s="1566" t="s">
        <v>1338</v>
      </c>
      <c r="G24" s="1567" t="s">
        <v>1596</v>
      </c>
      <c r="H24" s="2193"/>
      <c r="I24" s="1668" t="s">
        <v>1383</v>
      </c>
      <c r="J24" s="1569" t="s">
        <v>1638</v>
      </c>
    </row>
    <row r="25" spans="1:10" s="462" customFormat="1">
      <c r="A25" s="2089">
        <f t="shared" si="0"/>
        <v>10</v>
      </c>
      <c r="B25" s="275" t="str">
        <f>'Att 5 - Cost Support'!$C$20</f>
        <v>Transmission Plant In Service</v>
      </c>
      <c r="C25" s="275" t="str">
        <f t="shared" si="1"/>
        <v>Total transmission plant (BoY)</v>
      </c>
      <c r="D25" s="1103">
        <f t="shared" si="2"/>
        <v>5910756444</v>
      </c>
      <c r="E25" s="1221">
        <f t="shared" si="3"/>
        <v>6051719907</v>
      </c>
      <c r="F25" s="2091" t="s">
        <v>1331</v>
      </c>
      <c r="G25" s="1567" t="s">
        <v>1601</v>
      </c>
      <c r="H25" s="2193"/>
      <c r="I25" s="1668" t="s">
        <v>1383</v>
      </c>
      <c r="J25" s="1569" t="s">
        <v>1638</v>
      </c>
    </row>
    <row r="26" spans="1:10" s="462" customFormat="1">
      <c r="A26" s="1564">
        <f t="shared" si="0"/>
        <v>11</v>
      </c>
      <c r="B26" s="275" t="str">
        <f>'Att 5 - Cost Support'!$C$20</f>
        <v>Transmission Plant In Service</v>
      </c>
      <c r="C26" s="275" t="str">
        <f t="shared" si="1"/>
        <v>Total transmission plant (EoY)</v>
      </c>
      <c r="D26" s="1103">
        <f t="shared" si="2"/>
        <v>6051719907</v>
      </c>
      <c r="E26" s="1221">
        <f t="shared" si="3"/>
        <v>6222285657</v>
      </c>
      <c r="F26" s="1566" t="s">
        <v>1330</v>
      </c>
      <c r="G26" s="1567" t="s">
        <v>1602</v>
      </c>
      <c r="H26" s="2193"/>
      <c r="I26" s="1668" t="s">
        <v>1383</v>
      </c>
      <c r="J26" s="1569" t="s">
        <v>1638</v>
      </c>
    </row>
    <row r="27" spans="1:10" s="462" customFormat="1">
      <c r="A27" s="1564">
        <f t="shared" si="0"/>
        <v>12</v>
      </c>
      <c r="B27" s="275" t="str">
        <f>'Att 5 - Cost Support'!$C$36</f>
        <v>Distribution Plant In Service</v>
      </c>
      <c r="C27" s="275" t="str">
        <f t="shared" si="1"/>
        <v>Total distribution plant (BoY)</v>
      </c>
      <c r="D27" s="1103">
        <f t="shared" si="2"/>
        <v>6401275118</v>
      </c>
      <c r="E27" s="1221">
        <f t="shared" si="3"/>
        <v>6581302000</v>
      </c>
      <c r="F27" s="1566" t="s">
        <v>1332</v>
      </c>
      <c r="G27" s="1567" t="s">
        <v>1603</v>
      </c>
      <c r="H27" s="2193"/>
      <c r="I27" s="1668" t="s">
        <v>1383</v>
      </c>
      <c r="J27" s="1569" t="s">
        <v>1638</v>
      </c>
    </row>
    <row r="28" spans="1:10" s="462" customFormat="1">
      <c r="A28" s="1564">
        <f t="shared" si="0"/>
        <v>13</v>
      </c>
      <c r="B28" s="275" t="str">
        <f>'Att 5 - Cost Support'!$C$36</f>
        <v>Distribution Plant In Service</v>
      </c>
      <c r="C28" s="275" t="str">
        <f t="shared" si="1"/>
        <v>Total distribution plant (EoY)</v>
      </c>
      <c r="D28" s="1103">
        <f t="shared" si="2"/>
        <v>6582809080</v>
      </c>
      <c r="E28" s="1221">
        <f t="shared" si="3"/>
        <v>6780558594</v>
      </c>
      <c r="F28" s="1566" t="s">
        <v>1339</v>
      </c>
      <c r="G28" s="1567" t="s">
        <v>1604</v>
      </c>
      <c r="H28" s="2193"/>
      <c r="I28" s="1668" t="s">
        <v>1383</v>
      </c>
      <c r="J28" s="1569" t="s">
        <v>1638</v>
      </c>
    </row>
    <row r="29" spans="1:10" s="462" customFormat="1">
      <c r="A29" s="1564">
        <f t="shared" si="0"/>
        <v>14</v>
      </c>
      <c r="B29" s="275" t="str">
        <f>'Att 5 - Cost Support'!$C$46</f>
        <v>General Plant In Service</v>
      </c>
      <c r="C29" s="275" t="str">
        <f t="shared" si="1"/>
        <v>Total general plant (BoY)</v>
      </c>
      <c r="D29" s="1103">
        <f t="shared" si="2"/>
        <v>1173341618</v>
      </c>
      <c r="E29" s="1221">
        <f t="shared" si="3"/>
        <v>1176030315</v>
      </c>
      <c r="F29" s="1566" t="s">
        <v>1335</v>
      </c>
      <c r="G29" s="1567" t="s">
        <v>1605</v>
      </c>
      <c r="H29" s="2193"/>
      <c r="I29" s="1668" t="s">
        <v>1383</v>
      </c>
      <c r="J29" s="1569" t="s">
        <v>1638</v>
      </c>
    </row>
    <row r="30" spans="1:10" s="462" customFormat="1">
      <c r="A30" s="1564">
        <f t="shared" si="0"/>
        <v>15</v>
      </c>
      <c r="B30" s="275" t="str">
        <f>'Att 5 - Cost Support'!$C$46</f>
        <v>General Plant In Service</v>
      </c>
      <c r="C30" s="275" t="str">
        <f t="shared" si="1"/>
        <v>Total general plant (EoY)</v>
      </c>
      <c r="D30" s="1103">
        <f t="shared" si="2"/>
        <v>1177924891</v>
      </c>
      <c r="E30" s="1221">
        <f t="shared" si="3"/>
        <v>1228976231</v>
      </c>
      <c r="F30" s="1566" t="s">
        <v>1336</v>
      </c>
      <c r="G30" s="1567" t="s">
        <v>1606</v>
      </c>
      <c r="H30" s="2193"/>
      <c r="I30" s="1668" t="s">
        <v>1383</v>
      </c>
      <c r="J30" s="1569" t="s">
        <v>1638</v>
      </c>
    </row>
    <row r="31" spans="1:10" s="462" customFormat="1">
      <c r="A31" s="2089">
        <f t="shared" si="0"/>
        <v>16</v>
      </c>
      <c r="B31" s="275" t="str">
        <f>'Att 5 - Cost Support'!C68</f>
        <v>Total Plant In Service</v>
      </c>
      <c r="C31" s="275" t="str">
        <f t="shared" si="1"/>
        <v>Total electric plant in service (EoY)</v>
      </c>
      <c r="D31" s="1103">
        <f t="shared" si="2"/>
        <v>27064434648</v>
      </c>
      <c r="E31" s="1221">
        <f t="shared" si="3"/>
        <v>27512961420</v>
      </c>
      <c r="F31" s="2091" t="s">
        <v>1595</v>
      </c>
      <c r="G31" s="2092" t="s">
        <v>1600</v>
      </c>
      <c r="H31" s="2193"/>
      <c r="I31" s="1668" t="s">
        <v>1383</v>
      </c>
      <c r="J31" s="1569" t="s">
        <v>1640</v>
      </c>
    </row>
    <row r="32" spans="1:10" s="462" customFormat="1">
      <c r="A32" s="2089">
        <f t="shared" si="0"/>
        <v>17</v>
      </c>
      <c r="B32" s="275"/>
      <c r="C32" s="2107"/>
      <c r="D32" s="2102"/>
      <c r="E32" s="2105"/>
      <c r="F32" s="2106"/>
      <c r="G32" s="2099"/>
      <c r="H32" s="2194"/>
      <c r="I32" s="2108"/>
      <c r="J32" s="2101"/>
    </row>
    <row r="33" spans="1:11" s="462" customFormat="1">
      <c r="A33" s="2089">
        <f t="shared" si="0"/>
        <v>18</v>
      </c>
      <c r="B33" s="275" t="s">
        <v>1841</v>
      </c>
      <c r="C33" s="275" t="str">
        <f>INDEX(FF1_INPUT,MATCH($F33,INDEX(FF1_INPUT,,6),0),MATCH(C$15,FF1_INPUT_columns,0))</f>
        <v>Electric Plant Purchased</v>
      </c>
      <c r="D33" s="1103">
        <f>INDEX(FF1_INPUT,MATCH($F33,INDEX(FF1_INPUT,,6),0),MATCH(data_year-1,FF1_INPUT_columns,0))</f>
        <v>0</v>
      </c>
      <c r="E33" s="1221">
        <f>INDEX(FF1_INPUT,MATCH($F33,INDEX(FF1_INPUT,,6),0),MATCH(data_year,FF1_INPUT_columns,0))</f>
        <v>0</v>
      </c>
      <c r="F33" s="1566" t="s">
        <v>1842</v>
      </c>
      <c r="G33" s="1567" t="s">
        <v>1843</v>
      </c>
      <c r="H33" s="2736">
        <f>E33-E34-'Att 5 - Cost Support'!G65</f>
        <v>0</v>
      </c>
      <c r="I33" s="1668" t="s">
        <v>1383</v>
      </c>
      <c r="J33" s="1569" t="s">
        <v>1638</v>
      </c>
    </row>
    <row r="34" spans="1:11" s="462" customFormat="1">
      <c r="A34" s="2089">
        <f t="shared" si="0"/>
        <v>19</v>
      </c>
      <c r="B34" s="275" t="str">
        <f>'Att 5 - Cost Support'!$C$65</f>
        <v>Electric Plant Sold</v>
      </c>
      <c r="C34" s="275" t="str">
        <f>INDEX(FF1_INPUT,MATCH($F34,INDEX(FF1_INPUT,,6),0),MATCH(C$15,FF1_INPUT_columns,0))</f>
        <v>Electric plant sold</v>
      </c>
      <c r="D34" s="1103">
        <f>INDEX(FF1_INPUT,MATCH($F34,INDEX(FF1_INPUT,,6),0),MATCH(data_year-1,FF1_INPUT_columns,0))</f>
        <v>0</v>
      </c>
      <c r="E34" s="1221">
        <f>INDEX(FF1_INPUT,MATCH($F34,INDEX(FF1_INPUT,,6),0),MATCH(data_year,FF1_INPUT_columns,0))</f>
        <v>0</v>
      </c>
      <c r="F34" s="1566" t="s">
        <v>1357</v>
      </c>
      <c r="G34" s="1567" t="s">
        <v>1594</v>
      </c>
      <c r="H34" s="2737"/>
      <c r="I34" s="1668" t="s">
        <v>1383</v>
      </c>
      <c r="J34" s="1569" t="s">
        <v>1638</v>
      </c>
    </row>
    <row r="35" spans="1:11" s="462" customFormat="1">
      <c r="A35" s="2089">
        <f t="shared" si="0"/>
        <v>20</v>
      </c>
      <c r="B35" s="275"/>
      <c r="C35" s="2107"/>
      <c r="D35" s="2102"/>
      <c r="E35" s="2103"/>
      <c r="F35" s="2104"/>
      <c r="G35" s="2096"/>
      <c r="H35" s="2192"/>
      <c r="I35" s="2097"/>
      <c r="J35" s="2098"/>
    </row>
    <row r="36" spans="1:11" s="462" customFormat="1">
      <c r="A36" s="2089">
        <f t="shared" si="0"/>
        <v>21</v>
      </c>
      <c r="B36" s="275" t="str">
        <f>'Att 5 - Cost Support'!C88</f>
        <v>Transmission Accumulated Depreciation</v>
      </c>
      <c r="C36" s="275" t="str">
        <f>INDEX(FF1_INPUT,MATCH($F36,INDEX(FF1_INPUT,,6),0),MATCH(C$15,FF1_INPUT_columns,0))</f>
        <v>Accum Dep - Transmission</v>
      </c>
      <c r="D36" s="1103">
        <f>INDEX(FF1_INPUT,MATCH($F36,INDEX(FF1_INPUT,,6),0),MATCH(data_year-1,FF1_INPUT_columns,0))</f>
        <v>1592275183</v>
      </c>
      <c r="E36" s="1221">
        <f>INDEX(FF1_INPUT,MATCH($F36,INDEX(FF1_INPUT,,6),0),MATCH(data_year,FF1_INPUT_columns,0))</f>
        <v>1680313619</v>
      </c>
      <c r="F36" s="1566" t="s">
        <v>1340</v>
      </c>
      <c r="G36" s="1567" t="s">
        <v>1607</v>
      </c>
      <c r="H36" s="2193">
        <f ca="1">(INDIRECT(RIGHT(G36,LEN(G36)-1))-E36)</f>
        <v>0.21000003814697266</v>
      </c>
      <c r="I36" s="1668" t="s">
        <v>1383</v>
      </c>
      <c r="J36" s="1569" t="s">
        <v>1638</v>
      </c>
    </row>
    <row r="37" spans="1:11" s="462" customFormat="1" ht="15" customHeight="1">
      <c r="A37" s="2089">
        <f t="shared" si="0"/>
        <v>22</v>
      </c>
      <c r="B37" s="275" t="str">
        <f>'Att 5 - Cost Support'!C104</f>
        <v>Distribution Accumulated Depreciation</v>
      </c>
      <c r="C37" s="275" t="str">
        <f>INDEX(FF1_INPUT,MATCH($F37,INDEX(FF1_INPUT,,6),0),MATCH(C$15,FF1_INPUT_columns,0))</f>
        <v>Accum Dep - Distribution</v>
      </c>
      <c r="D37" s="1103">
        <f>INDEX(FF1_INPUT,MATCH($F37,INDEX(FF1_INPUT,,6),0),MATCH(data_year-1,FF1_INPUT_columns,0))</f>
        <v>2679701608</v>
      </c>
      <c r="E37" s="1221">
        <f>INDEX(FF1_INPUT,MATCH($F37,INDEX(FF1_INPUT,,6),0),MATCH(data_year,FF1_INPUT_columns,0))</f>
        <v>2782769277</v>
      </c>
      <c r="F37" s="1566" t="s">
        <v>1341</v>
      </c>
      <c r="G37" s="1567" t="s">
        <v>1608</v>
      </c>
      <c r="H37" s="2193">
        <f ca="1">(INDIRECT(RIGHT(G37,LEN(G37)-1))-E37)</f>
        <v>-1.2699999809265137</v>
      </c>
      <c r="I37" s="1668" t="s">
        <v>1383</v>
      </c>
      <c r="J37" s="1569" t="s">
        <v>1638</v>
      </c>
    </row>
    <row r="38" spans="1:11" s="462" customFormat="1">
      <c r="A38" s="2089">
        <f t="shared" si="0"/>
        <v>23</v>
      </c>
      <c r="B38" s="275" t="str">
        <f>'Att 5 - Cost Support'!C109</f>
        <v>Accumulated Intangible Depreciation</v>
      </c>
      <c r="C38" s="2570" t="str">
        <f>INDEX(FF1_INPUT,MATCH($F38,INDEX(FF1_INPUT,,6),0),MATCH(C$15,FF1_INPUT_columns,0))</f>
        <v xml:space="preserve"> Amort of Other Utility Plant</v>
      </c>
      <c r="D38" s="1103">
        <f>INDEX(FF1_INPUT,MATCH($F38,INDEX(FF1_INPUT,,6),0),MATCH(data_year-1,FF1_INPUT_columns,0))</f>
        <v>550553312</v>
      </c>
      <c r="E38" s="1221">
        <f>INDEX(FF1_INPUT,MATCH($F38,INDEX(FF1_INPUT,,6),0),MATCH(data_year,FF1_INPUT_columns,0))</f>
        <v>580005314</v>
      </c>
      <c r="F38" s="1566" t="s">
        <v>1342</v>
      </c>
      <c r="G38" s="1567" t="s">
        <v>1593</v>
      </c>
      <c r="H38" s="2193">
        <f ca="1">(INDIRECT(RIGHT(G38,LEN(G38)-1))-E38)</f>
        <v>0.62000000476837158</v>
      </c>
      <c r="I38" s="1668" t="s">
        <v>1383</v>
      </c>
      <c r="J38" s="1569" t="s">
        <v>1638</v>
      </c>
    </row>
    <row r="39" spans="1:11" s="462" customFormat="1">
      <c r="A39" s="2089">
        <f t="shared" si="0"/>
        <v>24</v>
      </c>
      <c r="B39" s="275" t="str">
        <f>'Att 5 - Cost Support'!C114</f>
        <v>Accumulated General Depreciation</v>
      </c>
      <c r="C39" s="275" t="str">
        <f>INDEX(FF1_INPUT,MATCH($F39,INDEX(FF1_INPUT,,6),0),MATCH(C$15,FF1_INPUT_columns,0))</f>
        <v>Accum Dep - General</v>
      </c>
      <c r="D39" s="1103">
        <f>INDEX(FF1_INPUT,MATCH($F39,INDEX(FF1_INPUT,,6),0),MATCH(data_year-1,FF1_INPUT_columns,0))</f>
        <v>434316474</v>
      </c>
      <c r="E39" s="1221">
        <f>INDEX(FF1_INPUT,MATCH($F39,INDEX(FF1_INPUT,,6),0),MATCH(data_year,FF1_INPUT_columns,0))</f>
        <v>461124272</v>
      </c>
      <c r="F39" s="1566" t="s">
        <v>1343</v>
      </c>
      <c r="G39" s="1567" t="s">
        <v>1609</v>
      </c>
      <c r="H39" s="2193">
        <f ca="1">(INDIRECT(RIGHT(G39,LEN(G39)-1))-E39)</f>
        <v>0.1799999475479126</v>
      </c>
      <c r="I39" s="1668" t="s">
        <v>1383</v>
      </c>
      <c r="J39" s="1569" t="s">
        <v>1638</v>
      </c>
    </row>
    <row r="40" spans="1:11" s="462" customFormat="1">
      <c r="A40" s="2089">
        <f t="shared" si="0"/>
        <v>25</v>
      </c>
      <c r="B40" s="275"/>
      <c r="C40" s="2107"/>
      <c r="D40" s="2102"/>
      <c r="E40" s="2103"/>
      <c r="F40" s="2104"/>
      <c r="G40" s="2096"/>
      <c r="H40" s="1568"/>
      <c r="I40" s="2097"/>
      <c r="J40" s="2098"/>
      <c r="K40" s="2"/>
    </row>
    <row r="41" spans="1:11" s="462" customFormat="1">
      <c r="A41" s="1564">
        <f t="shared" si="0"/>
        <v>26</v>
      </c>
      <c r="B41" s="275"/>
      <c r="C41" s="275" t="str">
        <f>INDEX(FF1_INPUT,MATCH($F41,INDEX(FF1_INPUT,,6),0),MATCH(C$15,FF1_INPUT_columns,0))</f>
        <v>Accum Dep - Steam production</v>
      </c>
      <c r="D41" s="1103">
        <f>INDEX(FF1_INPUT,MATCH($F41,INDEX(FF1_INPUT,,6),0),MATCH(data_year-1,FF1_INPUT_columns,0))</f>
        <v>3044271915</v>
      </c>
      <c r="E41" s="1221">
        <f>INDEX(FF1_INPUT,MATCH($F41,INDEX(FF1_INPUT,,6),0),MATCH(data_year,FF1_INPUT_columns,0))</f>
        <v>3211337623</v>
      </c>
      <c r="F41" s="1566" t="s">
        <v>1344</v>
      </c>
      <c r="G41" s="2096"/>
      <c r="H41" s="1568"/>
      <c r="I41" s="2097"/>
      <c r="J41" s="1569" t="s">
        <v>1635</v>
      </c>
    </row>
    <row r="42" spans="1:11" s="462" customFormat="1">
      <c r="A42" s="1564">
        <f t="shared" si="0"/>
        <v>27</v>
      </c>
      <c r="B42" s="275"/>
      <c r="C42" s="275" t="str">
        <f>INDEX(FF1_INPUT,MATCH($F42,INDEX(FF1_INPUT,,6),0),MATCH(C$15,FF1_INPUT_columns,0))</f>
        <v>Accum Dep - Nuclear production</v>
      </c>
      <c r="D42" s="1103">
        <f>INDEX(FF1_INPUT,MATCH($F42,INDEX(FF1_INPUT,,6),0),MATCH(data_year-1,FF1_INPUT_columns,0))</f>
        <v>0</v>
      </c>
      <c r="E42" s="1221">
        <f>INDEX(FF1_INPUT,MATCH($F42,INDEX(FF1_INPUT,,6),0),MATCH(data_year,FF1_INPUT_columns,0))</f>
        <v>0</v>
      </c>
      <c r="F42" s="1566" t="s">
        <v>1345</v>
      </c>
      <c r="G42" s="2096"/>
      <c r="H42" s="1568"/>
      <c r="I42" s="2097"/>
      <c r="J42" s="1569" t="s">
        <v>1635</v>
      </c>
    </row>
    <row r="43" spans="1:11" s="462" customFormat="1">
      <c r="A43" s="1564">
        <f t="shared" si="0"/>
        <v>28</v>
      </c>
      <c r="B43" s="275"/>
      <c r="C43" s="275" t="str">
        <f>INDEX(FF1_INPUT,MATCH($F43,INDEX(FF1_INPUT,,6),0),MATCH(C$15,FF1_INPUT_columns,0))</f>
        <v>Accum Dep - Hydro (conventional) production</v>
      </c>
      <c r="D43" s="1103">
        <f>INDEX(FF1_INPUT,MATCH($F43,INDEX(FF1_INPUT,,6),0),MATCH(data_year-1,FF1_INPUT_columns,0))</f>
        <v>359720139</v>
      </c>
      <c r="E43" s="1221">
        <f>INDEX(FF1_INPUT,MATCH($F43,INDEX(FF1_INPUT,,6),0),MATCH(data_year,FF1_INPUT_columns,0))</f>
        <v>389589290</v>
      </c>
      <c r="F43" s="1566" t="s">
        <v>1346</v>
      </c>
      <c r="G43" s="2096"/>
      <c r="H43" s="1568"/>
      <c r="I43" s="2097"/>
      <c r="J43" s="1569" t="s">
        <v>1635</v>
      </c>
    </row>
    <row r="44" spans="1:11" s="462" customFormat="1">
      <c r="A44" s="1564">
        <f t="shared" si="0"/>
        <v>29</v>
      </c>
      <c r="B44" s="275"/>
      <c r="C44" s="275" t="str">
        <f>INDEX(FF1_INPUT,MATCH($F44,INDEX(FF1_INPUT,,6),0),MATCH(C$15,FF1_INPUT_columns,0))</f>
        <v>Accum Dep - Hydro (pumped storage) production</v>
      </c>
      <c r="D44" s="1103">
        <f>INDEX(FF1_INPUT,MATCH($F44,INDEX(FF1_INPUT,,6),0),MATCH(data_year-1,FF1_INPUT_columns,0))</f>
        <v>0</v>
      </c>
      <c r="E44" s="1221">
        <f>INDEX(FF1_INPUT,MATCH($F44,INDEX(FF1_INPUT,,6),0),MATCH(data_year,FF1_INPUT_columns,0))</f>
        <v>0</v>
      </c>
      <c r="F44" s="1566" t="s">
        <v>1347</v>
      </c>
      <c r="G44" s="2096"/>
      <c r="H44" s="1568"/>
      <c r="I44" s="2097"/>
      <c r="J44" s="1569" t="s">
        <v>1635</v>
      </c>
    </row>
    <row r="45" spans="1:11" s="462" customFormat="1">
      <c r="A45" s="1564">
        <f t="shared" si="0"/>
        <v>30</v>
      </c>
      <c r="B45" s="275"/>
      <c r="C45" s="275" t="str">
        <f>INDEX(FF1_INPUT,MATCH($F45,INDEX(FF1_INPUT,,6),0),MATCH(C$15,FF1_INPUT_columns,0))</f>
        <v>Accum Dep - Other production</v>
      </c>
      <c r="D45" s="1103">
        <f>INDEX(FF1_INPUT,MATCH($F45,INDEX(FF1_INPUT,,6),0),MATCH(data_year-1,FF1_INPUT_columns,0))</f>
        <v>916111993</v>
      </c>
      <c r="E45" s="1221">
        <f>INDEX(FF1_INPUT,MATCH($F45,INDEX(FF1_INPUT,,6),0),MATCH(data_year,FF1_INPUT_columns,0))</f>
        <v>1035507833</v>
      </c>
      <c r="F45" s="1566" t="s">
        <v>1348</v>
      </c>
      <c r="G45" s="2096"/>
      <c r="H45" s="1568"/>
      <c r="I45" s="2097"/>
      <c r="J45" s="1569" t="s">
        <v>1635</v>
      </c>
    </row>
    <row r="46" spans="1:11" s="462" customFormat="1">
      <c r="A46" s="1564">
        <f t="shared" si="0"/>
        <v>31</v>
      </c>
      <c r="B46" s="275" t="str">
        <f>'Att 5 - Cost Support'!$C$130</f>
        <v>Production Accumulated Depreciation</v>
      </c>
      <c r="C46" s="275"/>
      <c r="D46" s="1572">
        <f>SUM(D41:D45)</f>
        <v>4320104047</v>
      </c>
      <c r="E46" s="1572">
        <f>SUM(E41:E45)</f>
        <v>4636434746</v>
      </c>
      <c r="F46" s="1566" t="s">
        <v>1349</v>
      </c>
      <c r="G46" s="1567" t="s">
        <v>1634</v>
      </c>
      <c r="H46" s="2088">
        <f ca="1">(INDIRECT(RIGHT(G46,LEN(G46)-1))-E46)</f>
        <v>1.4400005340576172</v>
      </c>
      <c r="I46" s="1668" t="s">
        <v>1383</v>
      </c>
      <c r="J46" s="1569" t="s">
        <v>1639</v>
      </c>
    </row>
    <row r="47" spans="1:11" s="462" customFormat="1">
      <c r="A47" s="1564">
        <f t="shared" si="0"/>
        <v>32</v>
      </c>
      <c r="B47" s="275"/>
      <c r="C47" s="2107"/>
      <c r="D47" s="2102"/>
      <c r="E47" s="2103"/>
      <c r="F47" s="2104"/>
      <c r="G47" s="2096"/>
      <c r="H47" s="1568"/>
      <c r="I47" s="2097"/>
      <c r="J47" s="2098"/>
    </row>
    <row r="48" spans="1:11">
      <c r="A48" s="1564">
        <f t="shared" si="0"/>
        <v>33</v>
      </c>
      <c r="B48" s="1231" t="str">
        <f>'Att 5 - Cost Support'!C145</f>
        <v>Construction Materials &amp; Supplies</v>
      </c>
      <c r="C48" s="275" t="str">
        <f>INDEX(FF1_INPUT,MATCH($F48,INDEX(FF1_INPUT,,6),0),MATCH(C$15,FF1_INPUT_columns,0))</f>
        <v>Materials and supplies - est construction (EoY)</v>
      </c>
      <c r="D48" s="1103">
        <f>INDEX(FF1_INPUT,MATCH($F48,INDEX(FF1_INPUT,,6),0),MATCH(data_year-1,FF1_INPUT_columns,0))</f>
        <v>142252190</v>
      </c>
      <c r="E48" s="1221">
        <f>INDEX(FF1_INPUT,MATCH($F48,INDEX(FF1_INPUT,,6),0),MATCH(data_year,FF1_INPUT_columns,0))</f>
        <v>150015776</v>
      </c>
      <c r="F48" s="1233" t="s">
        <v>408</v>
      </c>
      <c r="G48" s="1223" t="s">
        <v>1610</v>
      </c>
      <c r="H48" s="2088">
        <f t="shared" ref="H48:H53" ca="1" si="4">(INDIRECT(RIGHT(G48,LEN(G48)-1))-E48)</f>
        <v>0</v>
      </c>
      <c r="I48" s="1224" t="s">
        <v>1105</v>
      </c>
      <c r="J48" s="1225" t="s">
        <v>1106</v>
      </c>
    </row>
    <row r="49" spans="1:10">
      <c r="A49" s="1564">
        <f t="shared" si="0"/>
        <v>34</v>
      </c>
      <c r="B49" s="1231" t="str">
        <f>'Att 5 - Cost Support'!C149</f>
        <v>Transmission Materials &amp; Supplies</v>
      </c>
      <c r="C49" s="275" t="str">
        <f>INDEX(FF1_INPUT,MATCH($F49,INDEX(FF1_INPUT,,6),0),MATCH(C$15,FF1_INPUT_columns,0))</f>
        <v>Materials and supplies - transmission (EoY)</v>
      </c>
      <c r="D49" s="1103">
        <f>INDEX(FF1_INPUT,MATCH($F49,INDEX(FF1_INPUT,,6),0),MATCH(data_year-1,FF1_INPUT_columns,0))</f>
        <v>715287</v>
      </c>
      <c r="E49" s="1221">
        <f>INDEX(FF1_INPUT,MATCH($F49,INDEX(FF1_INPUT,,6),0),MATCH(data_year,FF1_INPUT_columns,0))</f>
        <v>381386</v>
      </c>
      <c r="F49" s="1233" t="s">
        <v>330</v>
      </c>
      <c r="G49" s="1223" t="s">
        <v>1611</v>
      </c>
      <c r="H49" s="2088">
        <f t="shared" ca="1" si="4"/>
        <v>0</v>
      </c>
      <c r="I49" s="1224" t="s">
        <v>1105</v>
      </c>
      <c r="J49" s="1225" t="s">
        <v>1106</v>
      </c>
    </row>
    <row r="50" spans="1:10">
      <c r="A50" s="1564">
        <f t="shared" si="0"/>
        <v>35</v>
      </c>
      <c r="B50" s="1231" t="str">
        <f>'Att 5 - Cost Support'!C141</f>
        <v>Undistributed Stores Expense</v>
      </c>
      <c r="C50" s="275" t="str">
        <f>INDEX(FF1_INPUT,MATCH($F50,INDEX(FF1_INPUT,,6),0),MATCH(C$15,FF1_INPUT_columns,0))</f>
        <v>FERC 163 - Undistributed stores expense</v>
      </c>
      <c r="D50" s="1103">
        <f>INDEX(FF1_INPUT,MATCH($F50,INDEX(FF1_INPUT,,6),0),MATCH(data_year-1,FF1_INPUT_columns,0))</f>
        <v>0</v>
      </c>
      <c r="E50" s="1221">
        <f>INDEX(FF1_INPUT,MATCH($F50,INDEX(FF1_INPUT,,6),0),MATCH(data_year,FF1_INPUT_columns,0))</f>
        <v>0</v>
      </c>
      <c r="F50" s="1233" t="s">
        <v>329</v>
      </c>
      <c r="G50" s="1223" t="s">
        <v>1612</v>
      </c>
      <c r="H50" s="2088">
        <f t="shared" ca="1" si="4"/>
        <v>0</v>
      </c>
      <c r="I50" s="1224" t="s">
        <v>1105</v>
      </c>
      <c r="J50" s="1225" t="s">
        <v>1106</v>
      </c>
    </row>
    <row r="51" spans="1:10" s="462" customFormat="1">
      <c r="A51" s="1564">
        <f t="shared" si="0"/>
        <v>36</v>
      </c>
      <c r="B51" s="2090"/>
      <c r="C51" s="275"/>
      <c r="D51" s="2102"/>
      <c r="E51" s="2105"/>
      <c r="F51" s="2100"/>
      <c r="G51" s="2099"/>
      <c r="H51" s="2111"/>
      <c r="I51" s="2100"/>
      <c r="J51" s="2101"/>
    </row>
    <row r="52" spans="1:10">
      <c r="A52" s="1564">
        <f t="shared" si="0"/>
        <v>37</v>
      </c>
      <c r="B52" s="2090" t="s">
        <v>1995</v>
      </c>
      <c r="C52" s="275" t="str">
        <f t="shared" ref="C52:C59" si="5">INDEX(FF1_INPUT,MATCH($F52,INDEX(FF1_INPUT,,6),0),MATCH(C$15,FF1_INPUT_columns,0))</f>
        <v>FERC 190 - ADIT (BoY)</v>
      </c>
      <c r="D52" s="1103">
        <f t="shared" ref="D52:D59" si="6">INDEX(FF1_INPUT,MATCH($F52,INDEX(FF1_INPUT,,6),0),MATCH(data_year-1,FF1_INPUT_columns,0))</f>
        <v>606211204</v>
      </c>
      <c r="E52" s="1669">
        <f t="shared" ref="E52:E59" si="7">INDEX(FF1_INPUT,MATCH($F52,INDEX(FF1_INPUT,,6),0),MATCH(data_year,FF1_INPUT_columns,0))</f>
        <v>541859343</v>
      </c>
      <c r="F52" s="1233" t="s">
        <v>1613</v>
      </c>
      <c r="G52" s="1223" t="s">
        <v>2203</v>
      </c>
      <c r="H52" s="2088">
        <f ca="1">(INDIRECT(RIGHT(G52,LEN(G52)-1))-E52)</f>
        <v>-1</v>
      </c>
      <c r="I52" s="1224" t="s">
        <v>1002</v>
      </c>
      <c r="J52" s="1569" t="s">
        <v>1636</v>
      </c>
    </row>
    <row r="53" spans="1:10" s="462" customFormat="1">
      <c r="A53" s="1564">
        <f t="shared" si="0"/>
        <v>38</v>
      </c>
      <c r="B53" s="2090" t="s">
        <v>1995</v>
      </c>
      <c r="C53" s="275" t="str">
        <f t="shared" si="5"/>
        <v>FERC 190 - ADIT (EoY)</v>
      </c>
      <c r="D53" s="1103">
        <f t="shared" si="6"/>
        <v>541859343</v>
      </c>
      <c r="E53" s="1669">
        <f t="shared" si="7"/>
        <v>836588163</v>
      </c>
      <c r="F53" s="2109" t="s">
        <v>333</v>
      </c>
      <c r="G53" s="2092" t="s">
        <v>2199</v>
      </c>
      <c r="H53" s="2088">
        <f t="shared" ca="1" si="4"/>
        <v>0</v>
      </c>
      <c r="I53" s="2093" t="s">
        <v>961</v>
      </c>
      <c r="J53" s="1569" t="s">
        <v>1636</v>
      </c>
    </row>
    <row r="54" spans="1:10" s="462" customFormat="1">
      <c r="A54" s="1564">
        <f t="shared" si="0"/>
        <v>39</v>
      </c>
      <c r="B54" s="2090" t="s">
        <v>1996</v>
      </c>
      <c r="C54" s="275" t="str">
        <f t="shared" si="5"/>
        <v>FERC 281 - ADIT (BoY)</v>
      </c>
      <c r="D54" s="1103">
        <f t="shared" si="6"/>
        <v>285986998</v>
      </c>
      <c r="E54" s="1669">
        <f t="shared" si="7"/>
        <v>306993377</v>
      </c>
      <c r="F54" s="2109" t="s">
        <v>1614</v>
      </c>
      <c r="G54" s="2092" t="s">
        <v>2204</v>
      </c>
      <c r="H54" s="2088">
        <f t="shared" ref="H54:H59" ca="1" si="8">(INDIRECT(RIGHT(G54,LEN(G54)-1))--E54)</f>
        <v>0</v>
      </c>
      <c r="I54" s="1224" t="s">
        <v>1002</v>
      </c>
      <c r="J54" s="1569" t="s">
        <v>1637</v>
      </c>
    </row>
    <row r="55" spans="1:10" s="462" customFormat="1">
      <c r="A55" s="1564">
        <f t="shared" si="0"/>
        <v>40</v>
      </c>
      <c r="B55" s="2090" t="s">
        <v>1997</v>
      </c>
      <c r="C55" s="275" t="str">
        <f t="shared" si="5"/>
        <v>FERC 281 - ADIT (EoY)</v>
      </c>
      <c r="D55" s="1103">
        <f t="shared" si="6"/>
        <v>306993377</v>
      </c>
      <c r="E55" s="1669">
        <f t="shared" si="7"/>
        <v>185416334</v>
      </c>
      <c r="F55" s="2109" t="s">
        <v>1615</v>
      </c>
      <c r="G55" s="2092" t="s">
        <v>2200</v>
      </c>
      <c r="H55" s="2088">
        <f t="shared" ca="1" si="8"/>
        <v>0</v>
      </c>
      <c r="I55" s="2093" t="s">
        <v>961</v>
      </c>
      <c r="J55" s="1569" t="s">
        <v>1637</v>
      </c>
    </row>
    <row r="56" spans="1:10" s="462" customFormat="1">
      <c r="A56" s="1564">
        <f t="shared" si="0"/>
        <v>41</v>
      </c>
      <c r="B56" s="2090" t="s">
        <v>1998</v>
      </c>
      <c r="C56" s="275" t="str">
        <f t="shared" si="5"/>
        <v>FERC 282 - ADIT (BoY)</v>
      </c>
      <c r="D56" s="1103">
        <f t="shared" si="6"/>
        <v>4414667387</v>
      </c>
      <c r="E56" s="1669">
        <f t="shared" si="7"/>
        <v>4518977533</v>
      </c>
      <c r="F56" s="2109" t="s">
        <v>1616</v>
      </c>
      <c r="G56" s="2092" t="s">
        <v>2205</v>
      </c>
      <c r="H56" s="2088">
        <f t="shared" ca="1" si="8"/>
        <v>-10</v>
      </c>
      <c r="I56" s="1224" t="s">
        <v>1002</v>
      </c>
      <c r="J56" s="1569" t="s">
        <v>1637</v>
      </c>
    </row>
    <row r="57" spans="1:10" s="462" customFormat="1">
      <c r="A57" s="1564">
        <f t="shared" si="0"/>
        <v>42</v>
      </c>
      <c r="B57" s="2090" t="s">
        <v>1998</v>
      </c>
      <c r="C57" s="275" t="str">
        <f t="shared" si="5"/>
        <v>FERC 282 - ADIT (EoY)</v>
      </c>
      <c r="D57" s="1103">
        <f t="shared" si="6"/>
        <v>4518977533</v>
      </c>
      <c r="E57" s="1669">
        <f t="shared" si="7"/>
        <v>2972737275</v>
      </c>
      <c r="F57" s="2109" t="s">
        <v>1617</v>
      </c>
      <c r="G57" s="2092" t="s">
        <v>2201</v>
      </c>
      <c r="H57" s="2088">
        <f t="shared" ca="1" si="8"/>
        <v>0</v>
      </c>
      <c r="I57" s="2093" t="s">
        <v>961</v>
      </c>
      <c r="J57" s="1569" t="s">
        <v>1637</v>
      </c>
    </row>
    <row r="58" spans="1:10" s="462" customFormat="1">
      <c r="A58" s="1564">
        <f t="shared" si="0"/>
        <v>43</v>
      </c>
      <c r="B58" s="2090" t="s">
        <v>1999</v>
      </c>
      <c r="C58" s="275" t="str">
        <f t="shared" si="5"/>
        <v>FERC 283 - ADIT (BoY)</v>
      </c>
      <c r="D58" s="1103">
        <f t="shared" si="6"/>
        <v>657526736</v>
      </c>
      <c r="E58" s="1669">
        <f t="shared" si="7"/>
        <v>603137231</v>
      </c>
      <c r="F58" s="2109" t="s">
        <v>1618</v>
      </c>
      <c r="G58" s="2092" t="s">
        <v>2206</v>
      </c>
      <c r="H58" s="2088">
        <f t="shared" ca="1" si="8"/>
        <v>1</v>
      </c>
      <c r="I58" s="1224" t="s">
        <v>1002</v>
      </c>
      <c r="J58" s="1569" t="s">
        <v>1637</v>
      </c>
    </row>
    <row r="59" spans="1:10" s="462" customFormat="1">
      <c r="A59" s="1564">
        <f t="shared" si="0"/>
        <v>44</v>
      </c>
      <c r="B59" s="2090" t="s">
        <v>1999</v>
      </c>
      <c r="C59" s="275" t="str">
        <f t="shared" si="5"/>
        <v>FERC 283 - ADIT (EoY)</v>
      </c>
      <c r="D59" s="1103">
        <f t="shared" si="6"/>
        <v>603137231</v>
      </c>
      <c r="E59" s="1669">
        <f t="shared" si="7"/>
        <v>272914927</v>
      </c>
      <c r="F59" s="2109" t="s">
        <v>1619</v>
      </c>
      <c r="G59" s="2092" t="s">
        <v>2202</v>
      </c>
      <c r="H59" s="2088">
        <f t="shared" ca="1" si="8"/>
        <v>1</v>
      </c>
      <c r="I59" s="2093" t="s">
        <v>961</v>
      </c>
      <c r="J59" s="1569" t="s">
        <v>1637</v>
      </c>
    </row>
    <row r="60" spans="1:10" s="462" customFormat="1">
      <c r="A60" s="1564">
        <f t="shared" si="0"/>
        <v>45</v>
      </c>
      <c r="B60" s="2110"/>
      <c r="C60" s="275"/>
      <c r="D60" s="2102"/>
      <c r="E60" s="2114"/>
      <c r="F60" s="2100"/>
      <c r="G60" s="2099"/>
      <c r="H60" s="2095"/>
      <c r="I60" s="2100"/>
      <c r="J60" s="2101"/>
    </row>
    <row r="61" spans="1:10">
      <c r="A61" s="1564">
        <f t="shared" si="0"/>
        <v>46</v>
      </c>
      <c r="B61" s="1231" t="str">
        <f>'Att 5 - Cost Support'!C267</f>
        <v>(561) Load Dispatching</v>
      </c>
      <c r="C61" s="275" t="str">
        <f t="shared" ref="C61:C67" si="9">INDEX(FF1_INPUT,MATCH($F61,INDEX(FF1_INPUT,,6),0),MATCH(C$15,FF1_INPUT_columns,0))</f>
        <v>FERC 561 - Load Dispatch (LD)</v>
      </c>
      <c r="D61" s="1103">
        <f t="shared" ref="D61:D67" si="10">INDEX(FF1_INPUT,MATCH($F61,INDEX(FF1_INPUT,,6),0),MATCH(data_year-1,FF1_INPUT_columns,0))</f>
        <v>0</v>
      </c>
      <c r="E61" s="1221">
        <f t="shared" ref="E61:E67" si="11">INDEX(FF1_INPUT,MATCH($F61,INDEX(FF1_INPUT,,6),0),MATCH(data_year,FF1_INPUT_columns,0))</f>
        <v>0</v>
      </c>
      <c r="F61" s="1233" t="s">
        <v>639</v>
      </c>
      <c r="G61" s="1234" t="s">
        <v>2207</v>
      </c>
      <c r="H61" s="2088">
        <f t="shared" ref="H61:H80" ca="1" si="12">(INDIRECT(RIGHT(G61,LEN(G61)-1))-E61)</f>
        <v>0</v>
      </c>
      <c r="I61" s="1224" t="s">
        <v>1105</v>
      </c>
      <c r="J61" s="1225" t="s">
        <v>1115</v>
      </c>
    </row>
    <row r="62" spans="1:10" s="462" customFormat="1">
      <c r="A62" s="1564">
        <f t="shared" si="0"/>
        <v>47</v>
      </c>
      <c r="B62" s="1231" t="str">
        <f>'Att 5 - Cost Support'!C268</f>
        <v>(561.1) Load Dispatch-Reliability</v>
      </c>
      <c r="C62" s="275" t="str">
        <f t="shared" si="9"/>
        <v>FERC 561.1 - LD reliability</v>
      </c>
      <c r="D62" s="1103">
        <f t="shared" si="10"/>
        <v>0</v>
      </c>
      <c r="E62" s="1221">
        <f t="shared" si="11"/>
        <v>0</v>
      </c>
      <c r="F62" s="1233" t="s">
        <v>1111</v>
      </c>
      <c r="G62" s="1234" t="s">
        <v>2208</v>
      </c>
      <c r="H62" s="2088">
        <f t="shared" ca="1" si="12"/>
        <v>0</v>
      </c>
      <c r="I62" s="1224" t="s">
        <v>1105</v>
      </c>
      <c r="J62" s="1225" t="s">
        <v>1115</v>
      </c>
    </row>
    <row r="63" spans="1:10">
      <c r="A63" s="1564">
        <f t="shared" si="0"/>
        <v>48</v>
      </c>
      <c r="B63" s="1231" t="str">
        <f>'Att 5 - Cost Support'!C269</f>
        <v>(561.2) Load Dispatch-Monitor and Operate Transmission System</v>
      </c>
      <c r="C63" s="275" t="str">
        <f t="shared" si="9"/>
        <v>FERC 561.2 - LD monitor operate</v>
      </c>
      <c r="D63" s="1103">
        <f t="shared" si="10"/>
        <v>7180746</v>
      </c>
      <c r="E63" s="1221">
        <f t="shared" si="11"/>
        <v>6954702</v>
      </c>
      <c r="F63" s="1233" t="s">
        <v>204</v>
      </c>
      <c r="G63" s="1234" t="s">
        <v>2209</v>
      </c>
      <c r="H63" s="2088">
        <f ca="1">(INDIRECT(RIGHT(G63,LEN(G63)-1))-E63)</f>
        <v>0</v>
      </c>
      <c r="I63" s="1224" t="s">
        <v>1105</v>
      </c>
      <c r="J63" s="1225" t="s">
        <v>1115</v>
      </c>
    </row>
    <row r="64" spans="1:10">
      <c r="A64" s="1564">
        <f t="shared" si="0"/>
        <v>49</v>
      </c>
      <c r="B64" s="1231" t="str">
        <f>'Att 5 - Cost Support'!C270</f>
        <v>(561.3) Load Dispatch-Transmission Service and Scheduling</v>
      </c>
      <c r="C64" s="275" t="str">
        <f t="shared" si="9"/>
        <v>FERC 561.3 - LD service scheduling</v>
      </c>
      <c r="D64" s="1103">
        <f t="shared" si="10"/>
        <v>0</v>
      </c>
      <c r="E64" s="1221">
        <f t="shared" si="11"/>
        <v>0</v>
      </c>
      <c r="F64" s="1233" t="s">
        <v>423</v>
      </c>
      <c r="G64" s="1234" t="s">
        <v>2210</v>
      </c>
      <c r="H64" s="2088">
        <f t="shared" ca="1" si="12"/>
        <v>0</v>
      </c>
      <c r="I64" s="1224" t="s">
        <v>1105</v>
      </c>
      <c r="J64" s="1225" t="s">
        <v>1115</v>
      </c>
    </row>
    <row r="65" spans="1:10">
      <c r="A65" s="1564">
        <f t="shared" si="0"/>
        <v>50</v>
      </c>
      <c r="B65" s="1231" t="str">
        <f>'Att 5 - Cost Support'!C271</f>
        <v>(561.4) Scheduling, System Control and Dispatch Services</v>
      </c>
      <c r="C65" s="275" t="str">
        <f t="shared" si="9"/>
        <v>FERC 561.4 - Sched, sys control, dispatch</v>
      </c>
      <c r="D65" s="1103">
        <f t="shared" si="10"/>
        <v>1818514</v>
      </c>
      <c r="E65" s="1221">
        <f t="shared" si="11"/>
        <v>2007912</v>
      </c>
      <c r="F65" s="1233" t="s">
        <v>205</v>
      </c>
      <c r="G65" s="1234" t="s">
        <v>2211</v>
      </c>
      <c r="H65" s="2088">
        <f t="shared" ca="1" si="12"/>
        <v>0</v>
      </c>
      <c r="I65" s="1224" t="s">
        <v>1105</v>
      </c>
      <c r="J65" s="1225" t="s">
        <v>1115</v>
      </c>
    </row>
    <row r="66" spans="1:10">
      <c r="A66" s="1564">
        <f t="shared" si="0"/>
        <v>51</v>
      </c>
      <c r="B66" s="1231" t="str">
        <f>'Att 5 - Cost Support'!C272</f>
        <v>(561.5) Reliability, Planning and Standards Development</v>
      </c>
      <c r="C66" s="275" t="str">
        <f t="shared" si="9"/>
        <v>FERC 561.5 - Reliability, plan, standards</v>
      </c>
      <c r="D66" s="1103">
        <f t="shared" si="10"/>
        <v>1747640</v>
      </c>
      <c r="E66" s="1221">
        <f t="shared" si="11"/>
        <v>1674277</v>
      </c>
      <c r="F66" s="1233" t="s">
        <v>424</v>
      </c>
      <c r="G66" s="1234" t="s">
        <v>2198</v>
      </c>
      <c r="H66" s="2088">
        <f ca="1">(INDIRECT(RIGHT(G66,LEN(G66)-1))-E66)</f>
        <v>0</v>
      </c>
      <c r="I66" s="1224" t="s">
        <v>1105</v>
      </c>
      <c r="J66" s="1225" t="s">
        <v>1115</v>
      </c>
    </row>
    <row r="67" spans="1:10">
      <c r="A67" s="1564">
        <f t="shared" si="0"/>
        <v>52</v>
      </c>
      <c r="B67" s="1231" t="str">
        <f>'Att 5 - Cost Support'!C275</f>
        <v xml:space="preserve">     Less: Account 565</v>
      </c>
      <c r="C67" s="275" t="str">
        <f t="shared" si="9"/>
        <v>FERC 565  - Transmission by others</v>
      </c>
      <c r="D67" s="1103">
        <f t="shared" si="10"/>
        <v>130788907</v>
      </c>
      <c r="E67" s="1221">
        <f t="shared" si="11"/>
        <v>134473119</v>
      </c>
      <c r="F67" s="1233" t="s">
        <v>32</v>
      </c>
      <c r="G67" s="1234" t="s">
        <v>2212</v>
      </c>
      <c r="H67" s="2088">
        <f t="shared" ca="1" si="12"/>
        <v>0</v>
      </c>
      <c r="I67" s="1224" t="s">
        <v>1105</v>
      </c>
      <c r="J67" s="1225" t="s">
        <v>1115</v>
      </c>
    </row>
    <row r="68" spans="1:10" s="462" customFormat="1">
      <c r="A68" s="1564">
        <f t="shared" si="0"/>
        <v>53</v>
      </c>
      <c r="B68" s="2090"/>
      <c r="C68" s="275"/>
      <c r="D68" s="2102"/>
      <c r="E68" s="2105"/>
      <c r="F68" s="2100"/>
      <c r="G68" s="2113"/>
      <c r="H68" s="2111"/>
      <c r="I68" s="2100"/>
      <c r="J68" s="2101"/>
    </row>
    <row r="69" spans="1:10">
      <c r="A69" s="1564">
        <f t="shared" si="0"/>
        <v>54</v>
      </c>
      <c r="B69" s="1231" t="str">
        <f>'Att 5 - Cost Support'!C264</f>
        <v>Transmission O&amp;M</v>
      </c>
      <c r="C69" s="275" t="str">
        <f t="shared" ref="C69:C82" si="13">INDEX(FF1_INPUT,MATCH($F69,INDEX(FF1_INPUT,,6),0),MATCH(C$15,FF1_INPUT_columns,0))</f>
        <v>Total Transmission Expenses</v>
      </c>
      <c r="D69" s="1103">
        <f t="shared" ref="D69:D82" si="14">INDEX(FF1_INPUT,MATCH($F69,INDEX(FF1_INPUT,,6),0),MATCH(data_year-1,FF1_INPUT_columns,0))</f>
        <v>203261005</v>
      </c>
      <c r="E69" s="1221">
        <f t="shared" ref="E69:E82" si="15">INDEX(FF1_INPUT,MATCH($F69,INDEX(FF1_INPUT,,6),0),MATCH(data_year,FF1_INPUT_columns,0))</f>
        <v>204805841</v>
      </c>
      <c r="F69" s="1233" t="s">
        <v>33</v>
      </c>
      <c r="G69" s="1234" t="s">
        <v>2213</v>
      </c>
      <c r="H69" s="2088">
        <f t="shared" ca="1" si="12"/>
        <v>0</v>
      </c>
      <c r="I69" s="1224" t="s">
        <v>1105</v>
      </c>
      <c r="J69" s="1225" t="s">
        <v>1115</v>
      </c>
    </row>
    <row r="70" spans="1:10">
      <c r="A70" s="1564">
        <f t="shared" si="0"/>
        <v>55</v>
      </c>
      <c r="B70" s="1231" t="str">
        <f>'Att 5 - Cost Support'!$C$220</f>
        <v>Property Insurance Account 924</v>
      </c>
      <c r="C70" s="275" t="str">
        <f t="shared" si="13"/>
        <v>FERC 924 - Property Insurance</v>
      </c>
      <c r="D70" s="1103">
        <f t="shared" si="14"/>
        <v>14265351</v>
      </c>
      <c r="E70" s="1221">
        <f t="shared" si="15"/>
        <v>5579593</v>
      </c>
      <c r="F70" s="1233" t="s">
        <v>34</v>
      </c>
      <c r="G70" s="1234" t="s">
        <v>2214</v>
      </c>
      <c r="H70" s="2088">
        <f t="shared" ca="1" si="12"/>
        <v>0</v>
      </c>
      <c r="I70" s="1224" t="s">
        <v>1105</v>
      </c>
      <c r="J70" s="1225" t="s">
        <v>1119</v>
      </c>
    </row>
    <row r="71" spans="1:10">
      <c r="A71" s="1564">
        <f t="shared" si="0"/>
        <v>56</v>
      </c>
      <c r="B71" s="1231" t="str">
        <f>'Appendix A'!$C$121</f>
        <v xml:space="preserve">    Less Regulatory Commission Exp Account 928</v>
      </c>
      <c r="C71" s="275" t="str">
        <f t="shared" si="13"/>
        <v>FERC 928 - Regulatory Commission Expenses</v>
      </c>
      <c r="D71" s="1103">
        <f t="shared" si="14"/>
        <v>25261821</v>
      </c>
      <c r="E71" s="1221">
        <f t="shared" si="15"/>
        <v>22853804</v>
      </c>
      <c r="F71" s="1233" t="s">
        <v>35</v>
      </c>
      <c r="G71" s="1234" t="s">
        <v>1620</v>
      </c>
      <c r="H71" s="2088">
        <f t="shared" ca="1" si="12"/>
        <v>0</v>
      </c>
      <c r="I71" s="1224" t="s">
        <v>335</v>
      </c>
      <c r="J71" s="1225" t="str">
        <f ca="1">"Line "&amp;OFFSET(INDIRECT(RIGHT(G71,LEN(G71)-1)),0,-7)</f>
        <v>Line 61</v>
      </c>
    </row>
    <row r="72" spans="1:10">
      <c r="A72" s="1564">
        <f t="shared" si="0"/>
        <v>57</v>
      </c>
      <c r="B72" s="1231" t="str">
        <f>'Appendix A'!$C$122</f>
        <v xml:space="preserve">    Less General Advertising Exp Account 930.1</v>
      </c>
      <c r="C72" s="275" t="str">
        <f t="shared" si="13"/>
        <v>FERC 930.1 - General Advertising Expenses</v>
      </c>
      <c r="D72" s="1103">
        <f t="shared" si="14"/>
        <v>1818</v>
      </c>
      <c r="E72" s="1221">
        <f t="shared" si="15"/>
        <v>1435</v>
      </c>
      <c r="F72" s="1233" t="s">
        <v>38</v>
      </c>
      <c r="G72" s="1234" t="s">
        <v>1621</v>
      </c>
      <c r="H72" s="2088">
        <f t="shared" ca="1" si="12"/>
        <v>0</v>
      </c>
      <c r="I72" s="1224" t="s">
        <v>335</v>
      </c>
      <c r="J72" s="1225" t="str">
        <f ca="1">"Line "&amp;OFFSET(INDIRECT(RIGHT(G72,LEN(G72)-1)),0,-7)</f>
        <v>Line 62</v>
      </c>
    </row>
    <row r="73" spans="1:10">
      <c r="A73" s="1564">
        <f t="shared" si="0"/>
        <v>58</v>
      </c>
      <c r="B73" s="1231" t="str">
        <f>'Appendix A'!C117</f>
        <v>Total A&amp;G</v>
      </c>
      <c r="C73" s="275" t="str">
        <f t="shared" si="13"/>
        <v>Total A&amp;G Expenses</v>
      </c>
      <c r="D73" s="1103">
        <f t="shared" si="14"/>
        <v>129632900</v>
      </c>
      <c r="E73" s="1221">
        <f t="shared" si="15"/>
        <v>134499331</v>
      </c>
      <c r="F73" s="1233" t="s">
        <v>111</v>
      </c>
      <c r="G73" s="1234" t="s">
        <v>1622</v>
      </c>
      <c r="H73" s="2088">
        <f t="shared" ca="1" si="12"/>
        <v>0</v>
      </c>
      <c r="I73" s="1224" t="s">
        <v>335</v>
      </c>
      <c r="J73" s="1225" t="str">
        <f ca="1">"Line "&amp;OFFSET(INDIRECT(RIGHT(G73,LEN(G73)-1)),0,-7)</f>
        <v>Line 57</v>
      </c>
    </row>
    <row r="74" spans="1:10">
      <c r="A74" s="1564">
        <f t="shared" si="0"/>
        <v>59</v>
      </c>
      <c r="B74" s="1231" t="str">
        <f>'Att 5 - Cost Support'!C310</f>
        <v>Amortization of limited term electric plant (404)</v>
      </c>
      <c r="C74" s="275" t="str">
        <f t="shared" si="13"/>
        <v>Amort - Intangible, ltd term (FERC 404)</v>
      </c>
      <c r="D74" s="1103">
        <f t="shared" si="14"/>
        <v>36791866</v>
      </c>
      <c r="E74" s="1221">
        <f t="shared" si="15"/>
        <v>40052602</v>
      </c>
      <c r="F74" s="1233" t="s">
        <v>293</v>
      </c>
      <c r="G74" s="1234" t="s">
        <v>2215</v>
      </c>
      <c r="H74" s="2088">
        <f t="shared" ca="1" si="12"/>
        <v>0</v>
      </c>
      <c r="I74" s="1224" t="s">
        <v>1105</v>
      </c>
      <c r="J74" s="1225" t="s">
        <v>1120</v>
      </c>
    </row>
    <row r="75" spans="1:10">
      <c r="A75" s="1564">
        <f t="shared" si="0"/>
        <v>60</v>
      </c>
      <c r="B75" s="1231" t="str">
        <f>'Att 5 - Cost Support'!C311</f>
        <v>Amortization of other electric plant (405)</v>
      </c>
      <c r="C75" s="275" t="str">
        <f t="shared" si="13"/>
        <v>Amort exp - Intangible (FERC 405)</v>
      </c>
      <c r="D75" s="1103">
        <f t="shared" si="14"/>
        <v>0</v>
      </c>
      <c r="E75" s="1221">
        <f t="shared" si="15"/>
        <v>0</v>
      </c>
      <c r="F75" s="1233" t="s">
        <v>331</v>
      </c>
      <c r="G75" s="1234" t="s">
        <v>2216</v>
      </c>
      <c r="H75" s="2088">
        <f t="shared" ca="1" si="12"/>
        <v>0</v>
      </c>
      <c r="I75" s="1224" t="s">
        <v>1105</v>
      </c>
      <c r="J75" s="1225" t="s">
        <v>1120</v>
      </c>
    </row>
    <row r="76" spans="1:10">
      <c r="A76" s="1564">
        <f t="shared" si="0"/>
        <v>61</v>
      </c>
      <c r="B76" s="1231" t="str">
        <f>'Att 5 - Cost Support'!C300</f>
        <v>Depreciation expense (403)</v>
      </c>
      <c r="C76" s="275" t="str">
        <f t="shared" si="13"/>
        <v>Dep exp - Transmission (FERC 403)</v>
      </c>
      <c r="D76" s="1103">
        <f t="shared" si="14"/>
        <v>104655006</v>
      </c>
      <c r="E76" s="1221">
        <f t="shared" si="15"/>
        <v>106777986</v>
      </c>
      <c r="F76" s="1233" t="s">
        <v>295</v>
      </c>
      <c r="G76" s="1234" t="s">
        <v>2219</v>
      </c>
      <c r="H76" s="2088">
        <f t="shared" ca="1" si="12"/>
        <v>0</v>
      </c>
      <c r="I76" s="1224" t="s">
        <v>1105</v>
      </c>
      <c r="J76" s="1225" t="s">
        <v>1120</v>
      </c>
    </row>
    <row r="77" spans="1:10">
      <c r="A77" s="1564">
        <f t="shared" si="0"/>
        <v>62</v>
      </c>
      <c r="B77" s="1231" t="str">
        <f>'Att 5 - Cost Support'!C301</f>
        <v>Amortization of limited term electric plant (404)</v>
      </c>
      <c r="C77" s="275" t="str">
        <f t="shared" si="13"/>
        <v>Dep exp - Transmission, ltd term (FERC 404)</v>
      </c>
      <c r="D77" s="1103">
        <f t="shared" si="14"/>
        <v>0</v>
      </c>
      <c r="E77" s="1221">
        <f t="shared" si="15"/>
        <v>0</v>
      </c>
      <c r="F77" s="1233" t="s">
        <v>294</v>
      </c>
      <c r="G77" s="1234" t="s">
        <v>2220</v>
      </c>
      <c r="H77" s="2088">
        <f t="shared" ca="1" si="12"/>
        <v>0</v>
      </c>
      <c r="I77" s="1224" t="s">
        <v>1105</v>
      </c>
      <c r="J77" s="1225" t="s">
        <v>1120</v>
      </c>
    </row>
    <row r="78" spans="1:10">
      <c r="A78" s="1564">
        <f t="shared" si="0"/>
        <v>63</v>
      </c>
      <c r="B78" s="1231" t="str">
        <f>'Att 5 - Cost Support'!C305</f>
        <v>Depreciation expense (403)</v>
      </c>
      <c r="C78" s="275" t="str">
        <f t="shared" si="13"/>
        <v>Dep exp - General (FERC 403)</v>
      </c>
      <c r="D78" s="1103">
        <f t="shared" si="14"/>
        <v>39923447</v>
      </c>
      <c r="E78" s="1221">
        <f t="shared" si="15"/>
        <v>38785821</v>
      </c>
      <c r="F78" s="1233" t="s">
        <v>297</v>
      </c>
      <c r="G78" s="1234" t="s">
        <v>2217</v>
      </c>
      <c r="H78" s="2088">
        <f t="shared" ca="1" si="12"/>
        <v>0</v>
      </c>
      <c r="I78" s="1224" t="s">
        <v>1105</v>
      </c>
      <c r="J78" s="1225" t="s">
        <v>1120</v>
      </c>
    </row>
    <row r="79" spans="1:10">
      <c r="A79" s="1564">
        <f t="shared" si="0"/>
        <v>64</v>
      </c>
      <c r="B79" s="1231" t="str">
        <f>'Att 5 - Cost Support'!C306</f>
        <v>Amortization of limited term electric plant (404)</v>
      </c>
      <c r="C79" s="275" t="str">
        <f t="shared" si="13"/>
        <v>Dep exp - General, ltd term (FERC 404)</v>
      </c>
      <c r="D79" s="1103">
        <f t="shared" si="14"/>
        <v>1480588</v>
      </c>
      <c r="E79" s="1221">
        <f t="shared" si="15"/>
        <v>1035064</v>
      </c>
      <c r="F79" s="1233" t="s">
        <v>296</v>
      </c>
      <c r="G79" s="1234" t="s">
        <v>2218</v>
      </c>
      <c r="H79" s="2088">
        <f t="shared" ca="1" si="12"/>
        <v>0</v>
      </c>
      <c r="I79" s="1224" t="s">
        <v>1105</v>
      </c>
      <c r="J79" s="1225" t="s">
        <v>1120</v>
      </c>
    </row>
    <row r="80" spans="1:10">
      <c r="A80" s="1564">
        <f t="shared" si="0"/>
        <v>65</v>
      </c>
      <c r="B80" s="1231" t="str">
        <f>'Appendix A'!$C$12</f>
        <v>Transmission Wages Expense</v>
      </c>
      <c r="C80" s="275" t="str">
        <f t="shared" si="13"/>
        <v>Transmisison wages and salaries</v>
      </c>
      <c r="D80" s="1221">
        <f t="shared" si="14"/>
        <v>27291677</v>
      </c>
      <c r="E80" s="1221">
        <f t="shared" si="15"/>
        <v>26634206</v>
      </c>
      <c r="F80" s="1233" t="s">
        <v>44</v>
      </c>
      <c r="G80" s="1234" t="s">
        <v>1623</v>
      </c>
      <c r="H80" s="2088">
        <f t="shared" ca="1" si="12"/>
        <v>0</v>
      </c>
      <c r="I80" s="1224" t="s">
        <v>335</v>
      </c>
      <c r="J80" s="1225" t="str">
        <f ca="1">"Line "&amp;OFFSET(INDIRECT(RIGHT(G80,LEN(G80)-1)),0,-7)</f>
        <v>Line 1</v>
      </c>
    </row>
    <row r="81" spans="1:10">
      <c r="A81" s="1564">
        <f t="shared" si="0"/>
        <v>66</v>
      </c>
      <c r="B81" s="1231" t="str">
        <f>'Appendix A'!$C$14</f>
        <v>Total Wages Expense</v>
      </c>
      <c r="C81" s="275" t="str">
        <f t="shared" si="13"/>
        <v>Total O&amp;M salaries</v>
      </c>
      <c r="D81" s="1221">
        <f t="shared" si="14"/>
        <v>351524131</v>
      </c>
      <c r="E81" s="1221">
        <f t="shared" si="15"/>
        <v>356448651</v>
      </c>
      <c r="F81" s="1233" t="s">
        <v>46</v>
      </c>
      <c r="G81" s="1234" t="s">
        <v>1625</v>
      </c>
      <c r="H81" s="2088">
        <f ca="1">(INDIRECT(RIGHT(G81,LEN(G81)-1))-E81)</f>
        <v>0</v>
      </c>
      <c r="I81" s="1224" t="s">
        <v>335</v>
      </c>
      <c r="J81" s="1225" t="str">
        <f ca="1">"Line "&amp;OFFSET(INDIRECT(RIGHT(G81,LEN(G81)-1)),0,-7)</f>
        <v>Line 2</v>
      </c>
    </row>
    <row r="82" spans="1:10" s="462" customFormat="1">
      <c r="A82" s="1564">
        <f t="shared" si="0"/>
        <v>67</v>
      </c>
      <c r="B82" s="1231" t="str">
        <f>'Appendix A'!$C$15</f>
        <v>Less A&amp;G Wages Expense</v>
      </c>
      <c r="C82" s="275" t="str">
        <f t="shared" si="13"/>
        <v>A&amp;G wages and salaries</v>
      </c>
      <c r="D82" s="1221">
        <f t="shared" si="14"/>
        <v>38710883</v>
      </c>
      <c r="E82" s="1221">
        <f t="shared" si="15"/>
        <v>42557961</v>
      </c>
      <c r="F82" s="1233" t="s">
        <v>45</v>
      </c>
      <c r="G82" s="1234" t="s">
        <v>1624</v>
      </c>
      <c r="H82" s="2088">
        <f ca="1">(INDIRECT(RIGHT(G82,LEN(G82)-1))-E82)</f>
        <v>0</v>
      </c>
      <c r="I82" s="1224" t="s">
        <v>335</v>
      </c>
      <c r="J82" s="1225" t="str">
        <f ca="1">"Line "&amp;OFFSET(INDIRECT(RIGHT(G82,LEN(G82)-1)),0,-7)</f>
        <v>Line 3</v>
      </c>
    </row>
    <row r="83" spans="1:10">
      <c r="A83" s="112"/>
      <c r="D83" s="273"/>
      <c r="E83" s="273"/>
      <c r="G83" s="273"/>
      <c r="H83" s="273"/>
    </row>
    <row r="84" spans="1:10">
      <c r="C84" s="322"/>
      <c r="D84" s="650"/>
    </row>
    <row r="85" spans="1:10" ht="15.75" thickBot="1">
      <c r="A85" s="1089" t="s">
        <v>1123</v>
      </c>
      <c r="D85" s="273"/>
      <c r="E85" s="273"/>
      <c r="G85" s="273"/>
      <c r="H85" s="273"/>
    </row>
    <row r="86" spans="1:10" ht="13.5" thickBot="1">
      <c r="A86" s="1112" t="s">
        <v>30</v>
      </c>
      <c r="B86" s="1215" t="s">
        <v>1086</v>
      </c>
      <c r="C86" s="1216" t="s">
        <v>1730</v>
      </c>
      <c r="D86" s="1105" t="s">
        <v>1376</v>
      </c>
      <c r="E86" s="1105" t="s">
        <v>1375</v>
      </c>
      <c r="F86" s="1217" t="s">
        <v>26</v>
      </c>
      <c r="G86" s="2187"/>
      <c r="H86" s="2743" t="s">
        <v>304</v>
      </c>
      <c r="I86" s="2744"/>
      <c r="J86" s="322"/>
    </row>
    <row r="87" spans="1:10" s="462" customFormat="1">
      <c r="A87" s="251">
        <v>0</v>
      </c>
      <c r="B87" s="1160"/>
      <c r="C87" s="1082"/>
      <c r="D87" s="1753">
        <v>2016</v>
      </c>
      <c r="E87" s="1753">
        <v>2017</v>
      </c>
      <c r="F87" s="251"/>
      <c r="G87" s="251"/>
      <c r="H87" s="251"/>
      <c r="I87" s="251"/>
      <c r="J87" s="322"/>
    </row>
    <row r="88" spans="1:10" ht="25.5">
      <c r="A88" s="1765">
        <f ca="1">OFFSET(A88,-1,0)+1</f>
        <v>1</v>
      </c>
      <c r="B88" s="1766" t="s">
        <v>10</v>
      </c>
      <c r="C88" s="2186" t="s">
        <v>1721</v>
      </c>
      <c r="D88" s="2637">
        <v>0</v>
      </c>
      <c r="E88" s="2637">
        <v>0</v>
      </c>
      <c r="F88" s="2734" t="s">
        <v>963</v>
      </c>
      <c r="G88" s="2738"/>
      <c r="H88" s="2739"/>
      <c r="I88" s="2739"/>
      <c r="J88" s="322"/>
    </row>
    <row r="89" spans="1:10" s="462" customFormat="1" ht="25.5">
      <c r="A89" s="1765">
        <f t="shared" ref="A89:A102" ca="1" si="16">OFFSET(A89,-1,0)+1</f>
        <v>2</v>
      </c>
      <c r="B89" s="1767" t="s">
        <v>1578</v>
      </c>
      <c r="C89" s="2186" t="s">
        <v>1722</v>
      </c>
      <c r="D89" s="2637">
        <v>1047559.3999999999</v>
      </c>
      <c r="E89" s="2637">
        <v>1468173.9100000001</v>
      </c>
      <c r="F89" s="2734" t="s">
        <v>2157</v>
      </c>
      <c r="G89" s="2738"/>
      <c r="H89" s="2739"/>
      <c r="I89" s="2739"/>
      <c r="J89" s="322"/>
    </row>
    <row r="90" spans="1:10" ht="25.5">
      <c r="A90" s="1765">
        <f t="shared" ca="1" si="16"/>
        <v>3</v>
      </c>
      <c r="B90" s="1767" t="s">
        <v>426</v>
      </c>
      <c r="C90" s="2186" t="s">
        <v>1723</v>
      </c>
      <c r="D90" s="2637">
        <v>27365545.559999999</v>
      </c>
      <c r="E90" s="2637">
        <f>10688512.19+12575071.59</f>
        <v>23263583.780000001</v>
      </c>
      <c r="F90" s="2734" t="s">
        <v>2156</v>
      </c>
      <c r="G90" s="2738"/>
      <c r="H90" s="2739"/>
      <c r="I90" s="2739"/>
      <c r="J90" s="322"/>
    </row>
    <row r="91" spans="1:10" ht="25.5">
      <c r="A91" s="1765">
        <f t="shared" ca="1" si="16"/>
        <v>4</v>
      </c>
      <c r="B91" s="1766" t="s">
        <v>380</v>
      </c>
      <c r="C91" s="2186" t="s">
        <v>1724</v>
      </c>
      <c r="D91" s="2648">
        <v>0.35</v>
      </c>
      <c r="E91" s="2648">
        <f>IF(Toggle=Projection,0.21,IF(Toggle=True_up,0.35,"Set Toggle!"))</f>
        <v>0.35</v>
      </c>
      <c r="F91" s="2734" t="s">
        <v>1955</v>
      </c>
      <c r="G91" s="2738"/>
      <c r="H91" s="2739"/>
      <c r="I91" s="2739"/>
      <c r="J91" s="322"/>
    </row>
    <row r="92" spans="1:10" ht="25.5">
      <c r="A92" s="1765">
        <f t="shared" ca="1" si="16"/>
        <v>5</v>
      </c>
      <c r="B92" s="1766" t="s">
        <v>379</v>
      </c>
      <c r="C92" s="2186" t="s">
        <v>1725</v>
      </c>
      <c r="D92" s="2648">
        <v>4.5400000000000003E-2</v>
      </c>
      <c r="E92" s="2648">
        <v>4.5400000000000003E-2</v>
      </c>
      <c r="F92" s="2734" t="s">
        <v>2155</v>
      </c>
      <c r="G92" s="2738"/>
      <c r="H92" s="2739"/>
      <c r="I92" s="2739"/>
      <c r="J92" s="322"/>
    </row>
    <row r="93" spans="1:10" ht="12.75" customHeight="1">
      <c r="A93" s="1765">
        <f t="shared" ca="1" si="16"/>
        <v>6</v>
      </c>
      <c r="B93" s="1766" t="s">
        <v>381</v>
      </c>
      <c r="C93" s="2186" t="s">
        <v>1726</v>
      </c>
      <c r="D93" s="2648">
        <v>0</v>
      </c>
      <c r="E93" s="2648">
        <v>0</v>
      </c>
      <c r="F93" s="2734" t="s">
        <v>2155</v>
      </c>
      <c r="G93" s="2738"/>
      <c r="H93" s="2739"/>
      <c r="I93" s="2739"/>
      <c r="J93" s="322"/>
    </row>
    <row r="94" spans="1:10" s="331" customFormat="1" ht="25.5" customHeight="1">
      <c r="A94" s="1765">
        <f t="shared" ca="1" si="16"/>
        <v>7</v>
      </c>
      <c r="B94" s="1768" t="s">
        <v>3</v>
      </c>
      <c r="C94" s="2186" t="s">
        <v>1727</v>
      </c>
      <c r="D94" s="2637">
        <v>3584148.0300000003</v>
      </c>
      <c r="E94" s="2637">
        <v>3344150.2</v>
      </c>
      <c r="F94" s="2734" t="s">
        <v>1848</v>
      </c>
      <c r="G94" s="2738"/>
      <c r="H94" s="2739" t="s">
        <v>1845</v>
      </c>
      <c r="I94" s="2739"/>
      <c r="J94" s="322"/>
    </row>
    <row r="95" spans="1:10" s="331" customFormat="1" ht="39.75" customHeight="1">
      <c r="A95" s="1765">
        <f t="shared" ca="1" si="16"/>
        <v>8</v>
      </c>
      <c r="B95" s="1768" t="s">
        <v>1398</v>
      </c>
      <c r="C95" s="2186" t="s">
        <v>1729</v>
      </c>
      <c r="D95" s="2637">
        <v>404456</v>
      </c>
      <c r="E95" s="2637">
        <v>29705.16</v>
      </c>
      <c r="F95" s="2734" t="s">
        <v>2154</v>
      </c>
      <c r="G95" s="2735"/>
      <c r="H95" s="2739" t="s">
        <v>1846</v>
      </c>
      <c r="I95" s="2739"/>
      <c r="J95" s="322"/>
    </row>
    <row r="96" spans="1:10" s="331" customFormat="1" ht="53.25" customHeight="1">
      <c r="A96" s="1765">
        <f t="shared" ca="1" si="16"/>
        <v>9</v>
      </c>
      <c r="B96" s="1768" t="s">
        <v>1399</v>
      </c>
      <c r="C96" s="2186" t="s">
        <v>1729</v>
      </c>
      <c r="D96" s="2637">
        <v>1244979</v>
      </c>
      <c r="E96" s="2637">
        <f>1784329</f>
        <v>1784329</v>
      </c>
      <c r="F96" s="2734" t="s">
        <v>2153</v>
      </c>
      <c r="G96" s="2735"/>
      <c r="H96" s="2739" t="s">
        <v>1847</v>
      </c>
      <c r="I96" s="2739"/>
      <c r="J96" s="322"/>
    </row>
    <row r="97" spans="1:11" s="331" customFormat="1" ht="78" customHeight="1">
      <c r="A97" s="1765">
        <f t="shared" ca="1" si="16"/>
        <v>10</v>
      </c>
      <c r="B97" s="1768" t="s">
        <v>1400</v>
      </c>
      <c r="C97" s="2186" t="s">
        <v>1729</v>
      </c>
      <c r="D97" s="2637">
        <v>52405.218254694781</v>
      </c>
      <c r="E97" s="2637">
        <v>45251.68460509547</v>
      </c>
      <c r="F97" s="2734" t="s">
        <v>2153</v>
      </c>
      <c r="G97" s="2735"/>
      <c r="H97" s="2739" t="s">
        <v>1852</v>
      </c>
      <c r="I97" s="2739"/>
      <c r="J97" s="322"/>
    </row>
    <row r="98" spans="1:11" s="331" customFormat="1" ht="39.75" customHeight="1">
      <c r="A98" s="1765">
        <f t="shared" ca="1" si="16"/>
        <v>11</v>
      </c>
      <c r="B98" s="1769" t="s">
        <v>1646</v>
      </c>
      <c r="C98" s="2186" t="s">
        <v>1728</v>
      </c>
      <c r="D98" s="2637">
        <v>-87239.859999999986</v>
      </c>
      <c r="E98" s="2637">
        <v>47773.26</v>
      </c>
      <c r="F98" s="2734" t="s">
        <v>1849</v>
      </c>
      <c r="G98" s="2738"/>
      <c r="H98" s="2739" t="s">
        <v>1736</v>
      </c>
      <c r="I98" s="2739"/>
      <c r="J98" s="322"/>
      <c r="K98" s="2356"/>
    </row>
    <row r="99" spans="1:11" s="331" customFormat="1" ht="42" customHeight="1">
      <c r="A99" s="1765">
        <f t="shared" ca="1" si="16"/>
        <v>12</v>
      </c>
      <c r="B99" s="1769" t="s">
        <v>1401</v>
      </c>
      <c r="C99" s="2186" t="s">
        <v>1728</v>
      </c>
      <c r="D99" s="2637">
        <v>0</v>
      </c>
      <c r="E99" s="2637">
        <v>0</v>
      </c>
      <c r="F99" s="2734" t="s">
        <v>1851</v>
      </c>
      <c r="G99" s="2738"/>
      <c r="H99" s="2739" t="s">
        <v>1854</v>
      </c>
      <c r="I99" s="2739"/>
      <c r="J99" s="322"/>
      <c r="K99" s="2356"/>
    </row>
    <row r="100" spans="1:11" s="331" customFormat="1" ht="69.75" customHeight="1">
      <c r="A100" s="1765">
        <f t="shared" ca="1" si="16"/>
        <v>13</v>
      </c>
      <c r="B100" s="2181" t="s">
        <v>1715</v>
      </c>
      <c r="C100" s="2186" t="s">
        <v>1732</v>
      </c>
      <c r="D100" s="2637">
        <v>738458.11</v>
      </c>
      <c r="E100" s="2637">
        <v>738458.11</v>
      </c>
      <c r="F100" s="2734" t="s">
        <v>1850</v>
      </c>
      <c r="G100" s="2738"/>
      <c r="H100" s="2739" t="s">
        <v>1853</v>
      </c>
      <c r="I100" s="2739"/>
      <c r="J100" s="322"/>
    </row>
    <row r="101" spans="1:11" ht="38.25">
      <c r="A101" s="1765">
        <f t="shared" ca="1" si="16"/>
        <v>14</v>
      </c>
      <c r="B101" s="2181" t="s">
        <v>2160</v>
      </c>
      <c r="C101" s="2186" t="s">
        <v>1732</v>
      </c>
      <c r="D101" s="2637"/>
      <c r="E101" s="2637">
        <v>209829.12620299179</v>
      </c>
      <c r="F101" s="2734" t="s">
        <v>2161</v>
      </c>
      <c r="G101" s="2738"/>
      <c r="H101" s="2739" t="s">
        <v>2159</v>
      </c>
      <c r="I101" s="2739"/>
    </row>
    <row r="102" spans="1:11" s="331" customFormat="1" ht="38.25">
      <c r="A102" s="1765">
        <f t="shared" ca="1" si="16"/>
        <v>15</v>
      </c>
      <c r="B102" s="1769" t="s">
        <v>1716</v>
      </c>
      <c r="C102" s="2186" t="s">
        <v>1732</v>
      </c>
      <c r="D102" s="2637">
        <v>75853109.290000007</v>
      </c>
      <c r="E102" s="2637">
        <v>75944007.914250001</v>
      </c>
      <c r="F102" s="2734" t="s">
        <v>1954</v>
      </c>
      <c r="G102" s="2738"/>
      <c r="H102" s="2739" t="s">
        <v>1735</v>
      </c>
      <c r="I102" s="2739"/>
      <c r="J102" s="322"/>
    </row>
    <row r="103" spans="1:11">
      <c r="J103" s="322"/>
    </row>
    <row r="104" spans="1:11">
      <c r="A104" s="172"/>
      <c r="J104" s="322"/>
    </row>
    <row r="106" spans="1:11">
      <c r="B106" s="326"/>
      <c r="C106" s="326"/>
      <c r="D106" s="321"/>
      <c r="E106" s="321"/>
      <c r="F106" s="324"/>
      <c r="G106" s="321"/>
      <c r="H106" s="321"/>
      <c r="I106" s="325"/>
    </row>
    <row r="107" spans="1:11">
      <c r="B107" s="326"/>
      <c r="C107" s="326"/>
      <c r="D107" s="321"/>
      <c r="E107" s="321"/>
      <c r="F107" s="324"/>
      <c r="G107" s="321"/>
      <c r="H107" s="321"/>
      <c r="I107" s="325"/>
    </row>
    <row r="108" spans="1:11">
      <c r="B108" s="326"/>
      <c r="C108" s="326"/>
      <c r="D108" s="321"/>
      <c r="E108" s="321"/>
      <c r="F108" s="324"/>
      <c r="G108" s="321"/>
      <c r="H108" s="321"/>
      <c r="I108" s="325"/>
    </row>
  </sheetData>
  <mergeCells count="33">
    <mergeCell ref="H102:I102"/>
    <mergeCell ref="H86:I86"/>
    <mergeCell ref="F99:G99"/>
    <mergeCell ref="F100:G100"/>
    <mergeCell ref="F102:G102"/>
    <mergeCell ref="H88:I88"/>
    <mergeCell ref="H89:I89"/>
    <mergeCell ref="H90:I90"/>
    <mergeCell ref="H91:I91"/>
    <mergeCell ref="H92:I92"/>
    <mergeCell ref="H93:I93"/>
    <mergeCell ref="H94:I94"/>
    <mergeCell ref="H95:I95"/>
    <mergeCell ref="H96:I96"/>
    <mergeCell ref="H100:I100"/>
    <mergeCell ref="F97:G97"/>
    <mergeCell ref="A1:J1"/>
    <mergeCell ref="H97:I97"/>
    <mergeCell ref="H98:I98"/>
    <mergeCell ref="H99:I99"/>
    <mergeCell ref="F88:G88"/>
    <mergeCell ref="F89:G89"/>
    <mergeCell ref="F90:G90"/>
    <mergeCell ref="F91:G91"/>
    <mergeCell ref="F92:G92"/>
    <mergeCell ref="F98:G98"/>
    <mergeCell ref="F93:G93"/>
    <mergeCell ref="F94:G94"/>
    <mergeCell ref="F96:G96"/>
    <mergeCell ref="H33:H34"/>
    <mergeCell ref="F101:G101"/>
    <mergeCell ref="H101:I101"/>
    <mergeCell ref="F95:G95"/>
  </mergeCells>
  <phoneticPr fontId="0" type="noConversion"/>
  <pageMargins left="0.25" right="0.18" top="0.71" bottom="0.5" header="0.27" footer="0.5"/>
  <pageSetup paperSize="5" scale="44" fitToHeight="0" orientation="landscape" r:id="rId1"/>
  <headerFooter alignWithMargins="0"/>
  <rowBreaks count="1" manualBreakCount="1">
    <brk id="83" max="9"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pageSetUpPr fitToPage="1"/>
  </sheetPr>
  <dimension ref="A1:R66"/>
  <sheetViews>
    <sheetView workbookViewId="0"/>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customWidth="1" outlineLevel="1"/>
    <col min="10"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4" t="s">
        <v>1103</v>
      </c>
      <c r="C3" s="814"/>
      <c r="D3" s="814"/>
      <c r="E3" s="814"/>
      <c r="F3" s="814"/>
      <c r="G3" s="814"/>
      <c r="H3" s="814"/>
      <c r="I3" s="814"/>
      <c r="J3" s="814"/>
      <c r="K3" s="814"/>
      <c r="L3" s="160"/>
      <c r="M3" s="160"/>
      <c r="N3" s="160"/>
      <c r="O3" s="160"/>
      <c r="P3" s="160"/>
      <c r="Q3" s="160"/>
      <c r="R3" s="160"/>
    </row>
    <row r="4" spans="1:18">
      <c r="K4" s="2284"/>
    </row>
    <row r="5" spans="1:18" ht="15">
      <c r="B5" s="342" t="s">
        <v>385</v>
      </c>
      <c r="C5" s="2086" t="s">
        <v>1590</v>
      </c>
      <c r="D5" s="342" t="s">
        <v>386</v>
      </c>
      <c r="E5" s="342" t="s">
        <v>387</v>
      </c>
      <c r="F5" s="342" t="s">
        <v>388</v>
      </c>
      <c r="G5" s="342" t="s">
        <v>407</v>
      </c>
      <c r="H5" s="342" t="s">
        <v>389</v>
      </c>
      <c r="I5" s="2127">
        <v>2015</v>
      </c>
      <c r="J5" s="2127">
        <v>2016</v>
      </c>
      <c r="K5" s="2127">
        <v>2017</v>
      </c>
    </row>
    <row r="6" spans="1:18" ht="15" customHeight="1">
      <c r="B6" s="1161">
        <v>1</v>
      </c>
      <c r="C6" s="2085" t="s">
        <v>1877</v>
      </c>
      <c r="D6" s="1161">
        <v>114</v>
      </c>
      <c r="E6" s="1161">
        <v>14</v>
      </c>
      <c r="F6" s="1162" t="s">
        <v>390</v>
      </c>
      <c r="G6" s="1162" t="str">
        <f t="shared" ref="G6:G41" si="0">D6&amp;"."&amp;E6&amp;F6</f>
        <v>114.14c</v>
      </c>
      <c r="H6" s="1162" t="s">
        <v>391</v>
      </c>
      <c r="I6" s="2347">
        <v>185302308</v>
      </c>
      <c r="J6" s="2081">
        <v>189632535</v>
      </c>
      <c r="K6" s="2081">
        <v>196653710</v>
      </c>
    </row>
    <row r="7" spans="1:18" ht="15" customHeight="1">
      <c r="B7" s="1161">
        <f>B6+1</f>
        <v>2</v>
      </c>
      <c r="C7" s="2085" t="s">
        <v>1878</v>
      </c>
      <c r="D7" s="1161">
        <v>114</v>
      </c>
      <c r="E7" s="1161">
        <v>19</v>
      </c>
      <c r="F7" s="1162" t="s">
        <v>390</v>
      </c>
      <c r="G7" s="1162" t="str">
        <f t="shared" si="0"/>
        <v>114.19c</v>
      </c>
      <c r="H7" s="1162" t="s">
        <v>391</v>
      </c>
      <c r="I7" s="2347">
        <v>-4756408</v>
      </c>
      <c r="J7" s="2081">
        <v>-4341401</v>
      </c>
      <c r="K7" s="2081">
        <v>-3698228</v>
      </c>
    </row>
    <row r="8" spans="1:18" ht="15" customHeight="1">
      <c r="B8" s="1161">
        <f t="shared" ref="B8:B66" si="1">B7+1</f>
        <v>3</v>
      </c>
      <c r="C8" s="2085" t="s">
        <v>1879</v>
      </c>
      <c r="D8" s="1161">
        <v>200</v>
      </c>
      <c r="E8" s="1161">
        <v>21</v>
      </c>
      <c r="F8" s="1162" t="s">
        <v>390</v>
      </c>
      <c r="G8" s="1162" t="str">
        <f t="shared" si="0"/>
        <v>200.21c</v>
      </c>
      <c r="H8" s="1162" t="s">
        <v>392</v>
      </c>
      <c r="I8" s="2347">
        <v>559800280</v>
      </c>
      <c r="J8" s="2081">
        <v>550553312</v>
      </c>
      <c r="K8" s="2647">
        <v>580005314</v>
      </c>
    </row>
    <row r="9" spans="1:18" ht="15" customHeight="1">
      <c r="B9" s="1161">
        <f t="shared" si="1"/>
        <v>4</v>
      </c>
      <c r="C9" s="2085" t="s">
        <v>1880</v>
      </c>
      <c r="D9" s="1161">
        <v>204</v>
      </c>
      <c r="E9" s="1161">
        <v>5</v>
      </c>
      <c r="F9" s="1162" t="s">
        <v>400</v>
      </c>
      <c r="G9" s="1162" t="str">
        <f t="shared" si="0"/>
        <v>204.5b</v>
      </c>
      <c r="H9" s="1162" t="s">
        <v>637</v>
      </c>
      <c r="I9" s="2347">
        <v>880195125</v>
      </c>
      <c r="J9" s="2081">
        <v>876732473</v>
      </c>
      <c r="K9" s="2647">
        <v>884165367</v>
      </c>
    </row>
    <row r="10" spans="1:18" ht="15" customHeight="1">
      <c r="B10" s="1161">
        <f t="shared" si="1"/>
        <v>5</v>
      </c>
      <c r="C10" s="2085" t="s">
        <v>1881</v>
      </c>
      <c r="D10" s="1161">
        <v>204</v>
      </c>
      <c r="E10" s="1161">
        <v>5</v>
      </c>
      <c r="F10" s="1162" t="s">
        <v>360</v>
      </c>
      <c r="G10" s="1162" t="str">
        <f t="shared" si="0"/>
        <v>204.5g</v>
      </c>
      <c r="H10" s="1162" t="s">
        <v>393</v>
      </c>
      <c r="I10" s="2347">
        <v>876732473</v>
      </c>
      <c r="J10" s="2081">
        <v>884188667</v>
      </c>
      <c r="K10" s="2647">
        <v>936908128</v>
      </c>
    </row>
    <row r="11" spans="1:18" ht="15" customHeight="1">
      <c r="B11" s="1161">
        <f t="shared" si="1"/>
        <v>6</v>
      </c>
      <c r="C11" s="2085" t="s">
        <v>1882</v>
      </c>
      <c r="D11" s="1161">
        <v>204</v>
      </c>
      <c r="E11" s="1161">
        <v>46</v>
      </c>
      <c r="F11" s="1162" t="s">
        <v>400</v>
      </c>
      <c r="G11" s="1162" t="str">
        <f t="shared" si="0"/>
        <v>204.46b</v>
      </c>
      <c r="H11" s="1162" t="s">
        <v>637</v>
      </c>
      <c r="I11" s="2347">
        <v>11922598581</v>
      </c>
      <c r="J11" s="2081">
        <v>12154489265</v>
      </c>
      <c r="K11" s="2647">
        <v>12212881186</v>
      </c>
    </row>
    <row r="12" spans="1:18" ht="15" customHeight="1">
      <c r="B12" s="1161">
        <f t="shared" si="1"/>
        <v>7</v>
      </c>
      <c r="C12" s="2085" t="s">
        <v>1883</v>
      </c>
      <c r="D12" s="1161">
        <v>204</v>
      </c>
      <c r="E12" s="1161">
        <v>46</v>
      </c>
      <c r="F12" s="1162" t="s">
        <v>360</v>
      </c>
      <c r="G12" s="1162" t="str">
        <f t="shared" si="0"/>
        <v>204.46g</v>
      </c>
      <c r="H12" s="1162" t="s">
        <v>393</v>
      </c>
      <c r="I12" s="2347">
        <v>12154489265</v>
      </c>
      <c r="J12" s="2081">
        <v>12367792103</v>
      </c>
      <c r="K12" s="2647">
        <v>12344232810</v>
      </c>
    </row>
    <row r="13" spans="1:18" ht="15" customHeight="1">
      <c r="B13" s="1161">
        <f t="shared" si="1"/>
        <v>8</v>
      </c>
      <c r="C13" s="2085" t="s">
        <v>1884</v>
      </c>
      <c r="D13" s="2079">
        <v>206</v>
      </c>
      <c r="E13" s="2079">
        <v>58</v>
      </c>
      <c r="F13" s="2080" t="s">
        <v>400</v>
      </c>
      <c r="G13" s="2080" t="str">
        <f>D13&amp;"."&amp;E13&amp;F13</f>
        <v>206.58b</v>
      </c>
      <c r="H13" s="1162" t="s">
        <v>637</v>
      </c>
      <c r="I13" s="2347">
        <v>5387870877</v>
      </c>
      <c r="J13" s="2081">
        <v>5910756444</v>
      </c>
      <c r="K13" s="2081">
        <v>6051719907</v>
      </c>
    </row>
    <row r="14" spans="1:18" ht="15" customHeight="1">
      <c r="B14" s="1161">
        <f t="shared" si="1"/>
        <v>9</v>
      </c>
      <c r="C14" s="2085" t="s">
        <v>1885</v>
      </c>
      <c r="D14" s="1161">
        <v>207</v>
      </c>
      <c r="E14" s="1161">
        <v>58</v>
      </c>
      <c r="F14" s="1162" t="s">
        <v>360</v>
      </c>
      <c r="G14" s="1162" t="str">
        <f>D14&amp;"."&amp;E14&amp;F14</f>
        <v>207.58g</v>
      </c>
      <c r="H14" s="1162" t="s">
        <v>393</v>
      </c>
      <c r="I14" s="2347">
        <v>5910756444</v>
      </c>
      <c r="J14" s="2081">
        <v>6051719907</v>
      </c>
      <c r="K14" s="2081">
        <v>6222285657</v>
      </c>
    </row>
    <row r="15" spans="1:18" ht="15" customHeight="1">
      <c r="B15" s="1161">
        <f t="shared" si="1"/>
        <v>10</v>
      </c>
      <c r="C15" s="2085" t="s">
        <v>1886</v>
      </c>
      <c r="D15" s="1161">
        <v>206</v>
      </c>
      <c r="E15" s="1161">
        <v>75</v>
      </c>
      <c r="F15" s="1162" t="s">
        <v>400</v>
      </c>
      <c r="G15" s="1162" t="str">
        <f t="shared" si="0"/>
        <v>206.75b</v>
      </c>
      <c r="H15" s="1162" t="s">
        <v>637</v>
      </c>
      <c r="I15" s="2347">
        <v>6190391726</v>
      </c>
      <c r="J15" s="2081">
        <v>6401275118</v>
      </c>
      <c r="K15" s="2647">
        <v>6581302000</v>
      </c>
    </row>
    <row r="16" spans="1:18" ht="15" customHeight="1">
      <c r="B16" s="1161">
        <f t="shared" si="1"/>
        <v>11</v>
      </c>
      <c r="C16" s="2085" t="s">
        <v>1887</v>
      </c>
      <c r="D16" s="1161">
        <v>206</v>
      </c>
      <c r="E16" s="1161">
        <v>75</v>
      </c>
      <c r="F16" s="1162" t="s">
        <v>360</v>
      </c>
      <c r="G16" s="1162" t="str">
        <f t="shared" si="0"/>
        <v>206.75g</v>
      </c>
      <c r="H16" s="1162" t="s">
        <v>393</v>
      </c>
      <c r="I16" s="2347">
        <v>6401275118</v>
      </c>
      <c r="J16" s="2081">
        <v>6582809080</v>
      </c>
      <c r="K16" s="2647">
        <v>6780558594</v>
      </c>
    </row>
    <row r="17" spans="2:11" ht="15" customHeight="1">
      <c r="B17" s="1161">
        <f t="shared" si="1"/>
        <v>12</v>
      </c>
      <c r="C17" s="2085" t="s">
        <v>1888</v>
      </c>
      <c r="D17" s="1161">
        <v>206</v>
      </c>
      <c r="E17" s="1161">
        <v>99</v>
      </c>
      <c r="F17" s="1162" t="s">
        <v>400</v>
      </c>
      <c r="G17" s="1162" t="str">
        <f t="shared" si="0"/>
        <v>206.99b</v>
      </c>
      <c r="H17" s="1162" t="s">
        <v>637</v>
      </c>
      <c r="I17" s="2347">
        <v>1445031807</v>
      </c>
      <c r="J17" s="2081">
        <v>1173341618</v>
      </c>
      <c r="K17" s="2647">
        <v>1176030315</v>
      </c>
    </row>
    <row r="18" spans="2:11" ht="15" customHeight="1">
      <c r="B18" s="1161">
        <f t="shared" si="1"/>
        <v>13</v>
      </c>
      <c r="C18" s="2085" t="s">
        <v>1889</v>
      </c>
      <c r="D18" s="1161">
        <v>207</v>
      </c>
      <c r="E18" s="1161">
        <v>99</v>
      </c>
      <c r="F18" s="1162" t="s">
        <v>360</v>
      </c>
      <c r="G18" s="1162" t="str">
        <f t="shared" si="0"/>
        <v>207.99g</v>
      </c>
      <c r="H18" s="1162" t="s">
        <v>393</v>
      </c>
      <c r="I18" s="2347">
        <v>1173341618</v>
      </c>
      <c r="J18" s="2081">
        <v>1177924891</v>
      </c>
      <c r="K18" s="2647">
        <v>1228976231</v>
      </c>
    </row>
    <row r="19" spans="2:11" ht="15" customHeight="1">
      <c r="B19" s="1161">
        <f t="shared" si="1"/>
        <v>14</v>
      </c>
      <c r="C19" s="2345" t="s">
        <v>1841</v>
      </c>
      <c r="D19" s="2344">
        <v>206</v>
      </c>
      <c r="E19" s="2344">
        <v>101</v>
      </c>
      <c r="F19" s="2346" t="s">
        <v>360</v>
      </c>
      <c r="G19" s="2346" t="str">
        <f t="shared" si="0"/>
        <v>206.101g</v>
      </c>
      <c r="H19" s="1162" t="s">
        <v>393</v>
      </c>
      <c r="I19" s="2347">
        <v>1460458</v>
      </c>
      <c r="J19" s="2347">
        <v>0</v>
      </c>
      <c r="K19" s="2081">
        <v>0</v>
      </c>
    </row>
    <row r="20" spans="2:11" ht="15" customHeight="1">
      <c r="B20" s="1161">
        <f t="shared" si="1"/>
        <v>15</v>
      </c>
      <c r="C20" s="2085" t="s">
        <v>1890</v>
      </c>
      <c r="D20" s="1641">
        <v>206</v>
      </c>
      <c r="E20" s="1641">
        <v>102</v>
      </c>
      <c r="F20" s="1642" t="s">
        <v>360</v>
      </c>
      <c r="G20" s="1642" t="str">
        <f t="shared" si="0"/>
        <v>206.102g</v>
      </c>
      <c r="H20" s="1162" t="s">
        <v>393</v>
      </c>
      <c r="I20" s="2347">
        <v>-561324</v>
      </c>
      <c r="J20" s="2081">
        <v>0</v>
      </c>
      <c r="K20" s="2081">
        <v>0</v>
      </c>
    </row>
    <row r="21" spans="2:11" ht="15" customHeight="1">
      <c r="B21" s="1161">
        <f t="shared" si="1"/>
        <v>16</v>
      </c>
      <c r="C21" s="2085" t="s">
        <v>1891</v>
      </c>
      <c r="D21" s="2079">
        <v>206</v>
      </c>
      <c r="E21" s="2079">
        <v>104</v>
      </c>
      <c r="F21" s="2080" t="s">
        <v>400</v>
      </c>
      <c r="G21" s="2080" t="str">
        <f t="shared" si="0"/>
        <v>206.104b</v>
      </c>
      <c r="H21" s="1162" t="s">
        <v>637</v>
      </c>
      <c r="I21" s="2347">
        <v>25826088116</v>
      </c>
      <c r="J21" s="2081">
        <v>26518616700</v>
      </c>
      <c r="K21" s="2647">
        <v>26906098775</v>
      </c>
    </row>
    <row r="22" spans="2:11" ht="15" customHeight="1">
      <c r="B22" s="1161">
        <f t="shared" si="1"/>
        <v>17</v>
      </c>
      <c r="C22" s="2085" t="s">
        <v>1892</v>
      </c>
      <c r="D22" s="2079">
        <v>206</v>
      </c>
      <c r="E22" s="2079">
        <v>104</v>
      </c>
      <c r="F22" s="2080" t="s">
        <v>360</v>
      </c>
      <c r="G22" s="2080" t="str">
        <f t="shared" si="0"/>
        <v>206.104g</v>
      </c>
      <c r="H22" s="1162" t="s">
        <v>393</v>
      </c>
      <c r="I22" s="2347">
        <v>26518616700</v>
      </c>
      <c r="J22" s="2081">
        <v>27064434648</v>
      </c>
      <c r="K22" s="2647">
        <v>27512961420</v>
      </c>
    </row>
    <row r="23" spans="2:11" ht="15" customHeight="1">
      <c r="B23" s="1161">
        <f t="shared" si="1"/>
        <v>18</v>
      </c>
      <c r="C23" s="2085" t="s">
        <v>1893</v>
      </c>
      <c r="D23" s="1161">
        <v>214</v>
      </c>
      <c r="E23" s="1161">
        <v>47</v>
      </c>
      <c r="F23" s="1162" t="s">
        <v>394</v>
      </c>
      <c r="G23" s="1162" t="str">
        <f t="shared" si="0"/>
        <v>214.47d</v>
      </c>
      <c r="H23" s="1162" t="s">
        <v>395</v>
      </c>
      <c r="I23" s="2347">
        <v>23319217</v>
      </c>
      <c r="J23" s="2081">
        <v>23502790</v>
      </c>
      <c r="K23" s="2081">
        <v>26134386</v>
      </c>
    </row>
    <row r="24" spans="2:11" ht="15" customHeight="1">
      <c r="B24" s="1161">
        <f t="shared" si="1"/>
        <v>19</v>
      </c>
      <c r="C24" s="2085" t="s">
        <v>1894</v>
      </c>
      <c r="D24" s="1570">
        <v>219</v>
      </c>
      <c r="E24" s="1570">
        <v>20</v>
      </c>
      <c r="F24" s="1571" t="s">
        <v>390</v>
      </c>
      <c r="G24" s="1162" t="str">
        <f t="shared" si="0"/>
        <v>219.20c</v>
      </c>
      <c r="H24" s="1162" t="s">
        <v>396</v>
      </c>
      <c r="I24" s="2347">
        <v>2886821179</v>
      </c>
      <c r="J24" s="2081">
        <v>3044271915</v>
      </c>
      <c r="K24" s="2647">
        <v>3211337623</v>
      </c>
    </row>
    <row r="25" spans="2:11" ht="15" customHeight="1">
      <c r="B25" s="1161">
        <f t="shared" si="1"/>
        <v>20</v>
      </c>
      <c r="C25" s="2085" t="s">
        <v>1895</v>
      </c>
      <c r="D25" s="1570">
        <v>219</v>
      </c>
      <c r="E25" s="1570">
        <v>21</v>
      </c>
      <c r="F25" s="1571" t="s">
        <v>390</v>
      </c>
      <c r="G25" s="1162" t="str">
        <f t="shared" si="0"/>
        <v>219.21c</v>
      </c>
      <c r="H25" s="1162" t="s">
        <v>396</v>
      </c>
      <c r="I25" s="2347">
        <v>0</v>
      </c>
      <c r="J25" s="2081">
        <v>0</v>
      </c>
      <c r="K25" s="2081">
        <v>0</v>
      </c>
    </row>
    <row r="26" spans="2:11" ht="15" customHeight="1">
      <c r="B26" s="1161">
        <f t="shared" si="1"/>
        <v>21</v>
      </c>
      <c r="C26" s="2085" t="s">
        <v>1896</v>
      </c>
      <c r="D26" s="1570">
        <v>219</v>
      </c>
      <c r="E26" s="1570">
        <v>22</v>
      </c>
      <c r="F26" s="1571" t="s">
        <v>390</v>
      </c>
      <c r="G26" s="1162" t="str">
        <f t="shared" si="0"/>
        <v>219.22c</v>
      </c>
      <c r="H26" s="1162" t="s">
        <v>396</v>
      </c>
      <c r="I26" s="2347">
        <v>327988750</v>
      </c>
      <c r="J26" s="2081">
        <v>359720139</v>
      </c>
      <c r="K26" s="2647">
        <v>389589290</v>
      </c>
    </row>
    <row r="27" spans="2:11" ht="15" customHeight="1">
      <c r="B27" s="1161">
        <f t="shared" si="1"/>
        <v>22</v>
      </c>
      <c r="C27" s="2085" t="s">
        <v>1897</v>
      </c>
      <c r="D27" s="1570">
        <v>219</v>
      </c>
      <c r="E27" s="1570">
        <v>23</v>
      </c>
      <c r="F27" s="1571" t="s">
        <v>390</v>
      </c>
      <c r="G27" s="1162" t="str">
        <f t="shared" si="0"/>
        <v>219.23c</v>
      </c>
      <c r="H27" s="1162" t="s">
        <v>396</v>
      </c>
      <c r="I27" s="2347">
        <v>0</v>
      </c>
      <c r="J27" s="2081">
        <v>0</v>
      </c>
      <c r="K27" s="2081">
        <v>0</v>
      </c>
    </row>
    <row r="28" spans="2:11" ht="15" customHeight="1">
      <c r="B28" s="1161">
        <f t="shared" si="1"/>
        <v>23</v>
      </c>
      <c r="C28" s="2085" t="s">
        <v>1898</v>
      </c>
      <c r="D28" s="1570">
        <v>219</v>
      </c>
      <c r="E28" s="1570">
        <v>24</v>
      </c>
      <c r="F28" s="1571" t="s">
        <v>390</v>
      </c>
      <c r="G28" s="1162" t="str">
        <f t="shared" si="0"/>
        <v>219.24c</v>
      </c>
      <c r="H28" s="1162" t="s">
        <v>396</v>
      </c>
      <c r="I28" s="2347">
        <v>847165096</v>
      </c>
      <c r="J28" s="2081">
        <v>916111993</v>
      </c>
      <c r="K28" s="2647">
        <v>1035507833</v>
      </c>
    </row>
    <row r="29" spans="2:11" ht="15" customHeight="1">
      <c r="B29" s="1161">
        <f t="shared" si="1"/>
        <v>24</v>
      </c>
      <c r="C29" s="2085" t="s">
        <v>1899</v>
      </c>
      <c r="D29" s="1161">
        <v>219</v>
      </c>
      <c r="E29" s="1161">
        <v>25</v>
      </c>
      <c r="F29" s="1162" t="s">
        <v>390</v>
      </c>
      <c r="G29" s="1162" t="str">
        <f t="shared" si="0"/>
        <v>219.25c</v>
      </c>
      <c r="H29" s="1162" t="s">
        <v>396</v>
      </c>
      <c r="I29" s="2347">
        <v>1503737225</v>
      </c>
      <c r="J29" s="2081">
        <v>1592275183</v>
      </c>
      <c r="K29" s="2647">
        <v>1680313619</v>
      </c>
    </row>
    <row r="30" spans="2:11" ht="15" customHeight="1">
      <c r="B30" s="1161">
        <f t="shared" si="1"/>
        <v>25</v>
      </c>
      <c r="C30" s="2085" t="s">
        <v>1900</v>
      </c>
      <c r="D30" s="1161">
        <v>219</v>
      </c>
      <c r="E30" s="1161">
        <v>26</v>
      </c>
      <c r="F30" s="1162" t="s">
        <v>390</v>
      </c>
      <c r="G30" s="1162" t="str">
        <f t="shared" si="0"/>
        <v>219.26c</v>
      </c>
      <c r="H30" s="1162" t="s">
        <v>396</v>
      </c>
      <c r="I30" s="2347">
        <v>2581141819</v>
      </c>
      <c r="J30" s="2081">
        <v>2679701608</v>
      </c>
      <c r="K30" s="2647">
        <v>2782769277</v>
      </c>
    </row>
    <row r="31" spans="2:11" ht="15" customHeight="1">
      <c r="B31" s="1161">
        <f t="shared" si="1"/>
        <v>26</v>
      </c>
      <c r="C31" s="2085" t="s">
        <v>1901</v>
      </c>
      <c r="D31" s="1161">
        <v>219</v>
      </c>
      <c r="E31" s="1161">
        <v>28</v>
      </c>
      <c r="F31" s="1162" t="s">
        <v>390</v>
      </c>
      <c r="G31" s="1162" t="str">
        <f t="shared" si="0"/>
        <v>219.28c</v>
      </c>
      <c r="H31" s="1162" t="s">
        <v>396</v>
      </c>
      <c r="I31" s="2347">
        <v>418947737</v>
      </c>
      <c r="J31" s="2081">
        <v>434316474</v>
      </c>
      <c r="K31" s="2647">
        <v>461124272</v>
      </c>
    </row>
    <row r="32" spans="2:11" ht="15" customHeight="1">
      <c r="B32" s="1161">
        <f t="shared" si="1"/>
        <v>27</v>
      </c>
      <c r="C32" s="2085" t="s">
        <v>1902</v>
      </c>
      <c r="D32" s="1161">
        <v>219</v>
      </c>
      <c r="E32" s="1161">
        <v>29</v>
      </c>
      <c r="F32" s="1162" t="s">
        <v>390</v>
      </c>
      <c r="G32" s="1162" t="str">
        <f t="shared" si="0"/>
        <v>219.29c</v>
      </c>
      <c r="H32" s="1162" t="s">
        <v>396</v>
      </c>
      <c r="I32" s="2347">
        <v>8565801806</v>
      </c>
      <c r="J32" s="2081">
        <v>9026397312</v>
      </c>
      <c r="K32" s="2647">
        <v>9560641914</v>
      </c>
    </row>
    <row r="33" spans="2:11" ht="15" customHeight="1">
      <c r="B33" s="1161">
        <f t="shared" si="1"/>
        <v>28</v>
      </c>
      <c r="C33" s="2085" t="s">
        <v>1903</v>
      </c>
      <c r="D33" s="1161">
        <v>227</v>
      </c>
      <c r="E33" s="1161">
        <v>5</v>
      </c>
      <c r="F33" s="1162" t="s">
        <v>390</v>
      </c>
      <c r="G33" s="1162" t="str">
        <f t="shared" si="0"/>
        <v>227.5c</v>
      </c>
      <c r="H33" s="1162" t="s">
        <v>393</v>
      </c>
      <c r="I33" s="2347">
        <v>134703542</v>
      </c>
      <c r="J33" s="2081">
        <v>142252190</v>
      </c>
      <c r="K33" s="2081">
        <v>150015776</v>
      </c>
    </row>
    <row r="34" spans="2:11" ht="15" customHeight="1">
      <c r="B34" s="1161">
        <f t="shared" si="1"/>
        <v>29</v>
      </c>
      <c r="C34" s="2085" t="s">
        <v>1904</v>
      </c>
      <c r="D34" s="1161">
        <v>227</v>
      </c>
      <c r="E34" s="1161">
        <v>8</v>
      </c>
      <c r="F34" s="1162" t="s">
        <v>390</v>
      </c>
      <c r="G34" s="1162" t="str">
        <f t="shared" si="0"/>
        <v>227.8c</v>
      </c>
      <c r="H34" s="1162" t="s">
        <v>393</v>
      </c>
      <c r="I34" s="2347">
        <v>653625</v>
      </c>
      <c r="J34" s="2081">
        <v>715287</v>
      </c>
      <c r="K34" s="2081">
        <v>381386</v>
      </c>
    </row>
    <row r="35" spans="2:11" ht="15" customHeight="1">
      <c r="B35" s="1161">
        <f t="shared" si="1"/>
        <v>30</v>
      </c>
      <c r="C35" s="2085" t="s">
        <v>1905</v>
      </c>
      <c r="D35" s="1161">
        <v>227</v>
      </c>
      <c r="E35" s="1161">
        <v>16</v>
      </c>
      <c r="F35" s="1162" t="s">
        <v>390</v>
      </c>
      <c r="G35" s="1162" t="str">
        <f t="shared" si="0"/>
        <v>227.16c</v>
      </c>
      <c r="H35" s="1162" t="s">
        <v>393</v>
      </c>
      <c r="I35" s="2347">
        <v>0</v>
      </c>
      <c r="J35" s="2081">
        <v>0</v>
      </c>
      <c r="K35" s="2081">
        <v>0</v>
      </c>
    </row>
    <row r="36" spans="2:11" ht="15" customHeight="1">
      <c r="B36" s="1161">
        <f t="shared" si="1"/>
        <v>31</v>
      </c>
      <c r="C36" s="2085" t="s">
        <v>1906</v>
      </c>
      <c r="D36" s="1641">
        <v>234</v>
      </c>
      <c r="E36" s="1641">
        <v>18</v>
      </c>
      <c r="F36" s="1642" t="s">
        <v>400</v>
      </c>
      <c r="G36" s="1642" t="str">
        <f t="shared" si="0"/>
        <v>234.18b</v>
      </c>
      <c r="H36" s="1642" t="s">
        <v>637</v>
      </c>
      <c r="I36" s="2347">
        <v>544969532</v>
      </c>
      <c r="J36" s="2081">
        <v>606211204</v>
      </c>
      <c r="K36" s="2081">
        <v>541859343</v>
      </c>
    </row>
    <row r="37" spans="2:11" ht="15" customHeight="1">
      <c r="B37" s="1161">
        <f t="shared" si="1"/>
        <v>32</v>
      </c>
      <c r="C37" s="2085" t="s">
        <v>1907</v>
      </c>
      <c r="D37" s="1641">
        <v>234</v>
      </c>
      <c r="E37" s="1641">
        <v>18</v>
      </c>
      <c r="F37" s="1642" t="s">
        <v>390</v>
      </c>
      <c r="G37" s="1642" t="str">
        <f t="shared" si="0"/>
        <v>234.18c</v>
      </c>
      <c r="H37" s="1642" t="s">
        <v>393</v>
      </c>
      <c r="I37" s="2347">
        <v>606211204</v>
      </c>
      <c r="J37" s="2081">
        <v>541859343</v>
      </c>
      <c r="K37" s="2081">
        <v>836588163</v>
      </c>
    </row>
    <row r="38" spans="2:11" ht="15" customHeight="1">
      <c r="B38" s="1161">
        <f t="shared" si="1"/>
        <v>33</v>
      </c>
      <c r="C38" s="2085" t="s">
        <v>1908</v>
      </c>
      <c r="D38" s="1641">
        <v>272</v>
      </c>
      <c r="E38" s="1641">
        <v>17</v>
      </c>
      <c r="F38" s="1642" t="s">
        <v>400</v>
      </c>
      <c r="G38" s="1642" t="str">
        <f t="shared" si="0"/>
        <v>272.17b</v>
      </c>
      <c r="H38" s="1675" t="s">
        <v>1386</v>
      </c>
      <c r="I38" s="2347">
        <v>252151842</v>
      </c>
      <c r="J38" s="2081">
        <v>285986998</v>
      </c>
      <c r="K38" s="2081">
        <v>306993377</v>
      </c>
    </row>
    <row r="39" spans="2:11" ht="15" customHeight="1">
      <c r="B39" s="1161">
        <f t="shared" si="1"/>
        <v>34</v>
      </c>
      <c r="C39" s="2085" t="s">
        <v>1909</v>
      </c>
      <c r="D39" s="1641">
        <v>272</v>
      </c>
      <c r="E39" s="1641">
        <v>17</v>
      </c>
      <c r="F39" s="1642" t="s">
        <v>398</v>
      </c>
      <c r="G39" s="1642" t="str">
        <f t="shared" si="0"/>
        <v>272.17k</v>
      </c>
      <c r="H39" s="1162" t="s">
        <v>399</v>
      </c>
      <c r="I39" s="2347">
        <v>285986998</v>
      </c>
      <c r="J39" s="2081">
        <v>306993377</v>
      </c>
      <c r="K39" s="2081">
        <v>185416334</v>
      </c>
    </row>
    <row r="40" spans="2:11" ht="15" customHeight="1">
      <c r="B40" s="1161">
        <f t="shared" si="1"/>
        <v>35</v>
      </c>
      <c r="C40" s="2085" t="s">
        <v>1910</v>
      </c>
      <c r="D40" s="1161">
        <v>274</v>
      </c>
      <c r="E40" s="1161">
        <v>9</v>
      </c>
      <c r="F40" s="1162" t="s">
        <v>400</v>
      </c>
      <c r="G40" s="1162" t="str">
        <f t="shared" si="0"/>
        <v>274.9b</v>
      </c>
      <c r="H40" s="1675" t="s">
        <v>1386</v>
      </c>
      <c r="I40" s="2347">
        <v>4244780923</v>
      </c>
      <c r="J40" s="2081">
        <v>4414667387</v>
      </c>
      <c r="K40" s="2081">
        <v>4518977533</v>
      </c>
    </row>
    <row r="41" spans="2:11" ht="15" customHeight="1">
      <c r="B41" s="1161">
        <f t="shared" si="1"/>
        <v>36</v>
      </c>
      <c r="C41" s="2085" t="s">
        <v>1911</v>
      </c>
      <c r="D41" s="1161">
        <v>274</v>
      </c>
      <c r="E41" s="1161">
        <v>9</v>
      </c>
      <c r="F41" s="1162" t="s">
        <v>398</v>
      </c>
      <c r="G41" s="1162" t="str">
        <f t="shared" si="0"/>
        <v>274.9k</v>
      </c>
      <c r="H41" s="1162" t="s">
        <v>399</v>
      </c>
      <c r="I41" s="2347">
        <v>4414667387</v>
      </c>
      <c r="J41" s="2081">
        <v>4518977533</v>
      </c>
      <c r="K41" s="2081">
        <v>2972737275</v>
      </c>
    </row>
    <row r="42" spans="2:11" ht="15" customHeight="1">
      <c r="B42" s="1161">
        <f t="shared" si="1"/>
        <v>37</v>
      </c>
      <c r="C42" s="2085" t="s">
        <v>1912</v>
      </c>
      <c r="D42" s="1161">
        <v>276</v>
      </c>
      <c r="E42" s="1161">
        <v>19</v>
      </c>
      <c r="F42" s="1162" t="s">
        <v>400</v>
      </c>
      <c r="G42" s="1162" t="str">
        <f t="shared" ref="G42:G65" si="2">D42&amp;"."&amp;E42&amp;F42</f>
        <v>276.19b</v>
      </c>
      <c r="H42" s="1162" t="s">
        <v>1386</v>
      </c>
      <c r="I42" s="2347">
        <v>633311644</v>
      </c>
      <c r="J42" s="2081">
        <v>657526736</v>
      </c>
      <c r="K42" s="2081">
        <v>603137231</v>
      </c>
    </row>
    <row r="43" spans="2:11" ht="15" customHeight="1">
      <c r="B43" s="1161">
        <f t="shared" si="1"/>
        <v>38</v>
      </c>
      <c r="C43" s="2085" t="s">
        <v>1913</v>
      </c>
      <c r="D43" s="1161">
        <v>276</v>
      </c>
      <c r="E43" s="1161">
        <v>19</v>
      </c>
      <c r="F43" s="1162" t="s">
        <v>398</v>
      </c>
      <c r="G43" s="1162" t="str">
        <f t="shared" si="2"/>
        <v>276.19k</v>
      </c>
      <c r="H43" s="1162" t="s">
        <v>399</v>
      </c>
      <c r="I43" s="2347">
        <v>657526736</v>
      </c>
      <c r="J43" s="2081">
        <v>603137231</v>
      </c>
      <c r="K43" s="2081">
        <v>272914927</v>
      </c>
    </row>
    <row r="44" spans="2:11" ht="15" customHeight="1">
      <c r="B44" s="1161">
        <f t="shared" si="1"/>
        <v>39</v>
      </c>
      <c r="C44" s="2085" t="s">
        <v>1914</v>
      </c>
      <c r="D44" s="2079">
        <v>321</v>
      </c>
      <c r="E44" s="2079">
        <v>84</v>
      </c>
      <c r="F44" s="2080" t="s">
        <v>400</v>
      </c>
      <c r="G44" s="2080" t="str">
        <f t="shared" si="2"/>
        <v>321.84b</v>
      </c>
      <c r="H44" s="1162" t="s">
        <v>401</v>
      </c>
      <c r="I44" s="2347">
        <v>0</v>
      </c>
      <c r="J44" s="2081">
        <v>0</v>
      </c>
      <c r="K44" s="2081">
        <v>0</v>
      </c>
    </row>
    <row r="45" spans="2:11" ht="15" customHeight="1">
      <c r="B45" s="1161">
        <f t="shared" si="1"/>
        <v>40</v>
      </c>
      <c r="C45" s="2085" t="s">
        <v>1915</v>
      </c>
      <c r="D45" s="1161">
        <v>321</v>
      </c>
      <c r="E45" s="1161">
        <v>85</v>
      </c>
      <c r="F45" s="1162" t="s">
        <v>400</v>
      </c>
      <c r="G45" s="1162" t="str">
        <f t="shared" si="2"/>
        <v>321.85b</v>
      </c>
      <c r="H45" s="1162" t="s">
        <v>401</v>
      </c>
      <c r="I45" s="2347">
        <v>0</v>
      </c>
      <c r="J45" s="2081">
        <v>0</v>
      </c>
      <c r="K45" s="2081">
        <v>0</v>
      </c>
    </row>
    <row r="46" spans="2:11" ht="15" customHeight="1">
      <c r="B46" s="1161">
        <f t="shared" si="1"/>
        <v>41</v>
      </c>
      <c r="C46" s="2085" t="s">
        <v>1916</v>
      </c>
      <c r="D46" s="1161">
        <v>321</v>
      </c>
      <c r="E46" s="1161">
        <v>86</v>
      </c>
      <c r="F46" s="1162" t="s">
        <v>400</v>
      </c>
      <c r="G46" s="1162" t="str">
        <f t="shared" si="2"/>
        <v>321.86b</v>
      </c>
      <c r="H46" s="1162" t="s">
        <v>401</v>
      </c>
      <c r="I46" s="2347">
        <v>6818716</v>
      </c>
      <c r="J46" s="2081">
        <v>7180746</v>
      </c>
      <c r="K46" s="2081">
        <v>6954702</v>
      </c>
    </row>
    <row r="47" spans="2:11" ht="15" customHeight="1">
      <c r="B47" s="1161">
        <f t="shared" si="1"/>
        <v>42</v>
      </c>
      <c r="C47" s="2085" t="s">
        <v>1917</v>
      </c>
      <c r="D47" s="1161">
        <v>321</v>
      </c>
      <c r="E47" s="1161">
        <v>87</v>
      </c>
      <c r="F47" s="1162" t="s">
        <v>400</v>
      </c>
      <c r="G47" s="1162" t="str">
        <f t="shared" si="2"/>
        <v>321.87b</v>
      </c>
      <c r="H47" s="1162" t="s">
        <v>401</v>
      </c>
      <c r="I47" s="2347">
        <v>0</v>
      </c>
      <c r="J47" s="2081">
        <v>0</v>
      </c>
      <c r="K47" s="2081">
        <v>0</v>
      </c>
    </row>
    <row r="48" spans="2:11" ht="15" customHeight="1">
      <c r="B48" s="1161">
        <f t="shared" si="1"/>
        <v>43</v>
      </c>
      <c r="C48" s="2085" t="s">
        <v>1918</v>
      </c>
      <c r="D48" s="1161">
        <v>321</v>
      </c>
      <c r="E48" s="1161">
        <v>88</v>
      </c>
      <c r="F48" s="1162" t="s">
        <v>400</v>
      </c>
      <c r="G48" s="1162" t="str">
        <f t="shared" si="2"/>
        <v>321.88b</v>
      </c>
      <c r="H48" s="1162" t="s">
        <v>401</v>
      </c>
      <c r="I48" s="2347">
        <v>2106756</v>
      </c>
      <c r="J48" s="2081">
        <v>1818514</v>
      </c>
      <c r="K48" s="2081">
        <v>2007912</v>
      </c>
    </row>
    <row r="49" spans="2:11" ht="15" customHeight="1">
      <c r="B49" s="1161">
        <f t="shared" si="1"/>
        <v>44</v>
      </c>
      <c r="C49" s="2085" t="s">
        <v>1919</v>
      </c>
      <c r="D49" s="1161">
        <v>321</v>
      </c>
      <c r="E49" s="1161">
        <v>89</v>
      </c>
      <c r="F49" s="1162" t="s">
        <v>400</v>
      </c>
      <c r="G49" s="1162" t="str">
        <f t="shared" si="2"/>
        <v>321.89b</v>
      </c>
      <c r="H49" s="1162" t="s">
        <v>401</v>
      </c>
      <c r="I49" s="2347">
        <v>1326587</v>
      </c>
      <c r="J49" s="2081">
        <v>1747640</v>
      </c>
      <c r="K49" s="2081">
        <v>1674277</v>
      </c>
    </row>
    <row r="50" spans="2:11" ht="15" customHeight="1">
      <c r="B50" s="1161">
        <f t="shared" si="1"/>
        <v>45</v>
      </c>
      <c r="C50" s="2085" t="s">
        <v>1920</v>
      </c>
      <c r="D50" s="1161">
        <v>321</v>
      </c>
      <c r="E50" s="1161">
        <v>92</v>
      </c>
      <c r="F50" s="1162" t="s">
        <v>400</v>
      </c>
      <c r="G50" s="1162" t="str">
        <f t="shared" si="2"/>
        <v>321.92b</v>
      </c>
      <c r="H50" s="1162" t="s">
        <v>401</v>
      </c>
      <c r="I50" s="2347">
        <v>7402436</v>
      </c>
      <c r="J50" s="2081">
        <v>7528820</v>
      </c>
      <c r="K50" s="2081">
        <v>7484166</v>
      </c>
    </row>
    <row r="51" spans="2:11" ht="15" customHeight="1">
      <c r="B51" s="1161">
        <f t="shared" si="1"/>
        <v>46</v>
      </c>
      <c r="C51" s="2085" t="s">
        <v>1921</v>
      </c>
      <c r="D51" s="1161">
        <v>321</v>
      </c>
      <c r="E51" s="1161">
        <v>96</v>
      </c>
      <c r="F51" s="1162" t="s">
        <v>400</v>
      </c>
      <c r="G51" s="1162" t="str">
        <f t="shared" si="2"/>
        <v>321.96b</v>
      </c>
      <c r="H51" s="1162" t="s">
        <v>401</v>
      </c>
      <c r="I51" s="2347">
        <v>148425345</v>
      </c>
      <c r="J51" s="2081">
        <v>130788907</v>
      </c>
      <c r="K51" s="2081">
        <v>134473119</v>
      </c>
    </row>
    <row r="52" spans="2:11" ht="15" customHeight="1">
      <c r="B52" s="1161">
        <f t="shared" si="1"/>
        <v>47</v>
      </c>
      <c r="C52" s="2085" t="s">
        <v>1922</v>
      </c>
      <c r="D52" s="1161">
        <v>321</v>
      </c>
      <c r="E52" s="1161">
        <v>112</v>
      </c>
      <c r="F52" s="1162" t="s">
        <v>400</v>
      </c>
      <c r="G52" s="1162" t="str">
        <f t="shared" si="2"/>
        <v>321.112b</v>
      </c>
      <c r="H52" s="1162" t="s">
        <v>401</v>
      </c>
      <c r="I52" s="2347">
        <v>215664453</v>
      </c>
      <c r="J52" s="2081">
        <v>203261005</v>
      </c>
      <c r="K52" s="2081">
        <v>204805841</v>
      </c>
    </row>
    <row r="53" spans="2:11" ht="15" customHeight="1">
      <c r="B53" s="1161">
        <f t="shared" si="1"/>
        <v>48</v>
      </c>
      <c r="C53" s="2085" t="s">
        <v>1923</v>
      </c>
      <c r="D53" s="1161">
        <v>323</v>
      </c>
      <c r="E53" s="1161">
        <v>185</v>
      </c>
      <c r="F53" s="1162" t="s">
        <v>400</v>
      </c>
      <c r="G53" s="1162" t="str">
        <f t="shared" si="2"/>
        <v>323.185b</v>
      </c>
      <c r="H53" s="1162" t="s">
        <v>401</v>
      </c>
      <c r="I53" s="2347">
        <v>15938310</v>
      </c>
      <c r="J53" s="2081">
        <v>14265351</v>
      </c>
      <c r="K53" s="2647">
        <v>5579593</v>
      </c>
    </row>
    <row r="54" spans="2:11" ht="15" customHeight="1">
      <c r="B54" s="1161">
        <f t="shared" si="1"/>
        <v>49</v>
      </c>
      <c r="C54" s="2085" t="s">
        <v>1924</v>
      </c>
      <c r="D54" s="1161">
        <v>323</v>
      </c>
      <c r="E54" s="1161">
        <v>189</v>
      </c>
      <c r="F54" s="1162" t="s">
        <v>400</v>
      </c>
      <c r="G54" s="1162" t="str">
        <f t="shared" si="2"/>
        <v>323.189b</v>
      </c>
      <c r="H54" s="1162" t="s">
        <v>401</v>
      </c>
      <c r="I54" s="2347">
        <v>22275686</v>
      </c>
      <c r="J54" s="2081">
        <v>25261821</v>
      </c>
      <c r="K54" s="2081">
        <v>22853804</v>
      </c>
    </row>
    <row r="55" spans="2:11" ht="15" customHeight="1">
      <c r="B55" s="1161">
        <f t="shared" si="1"/>
        <v>50</v>
      </c>
      <c r="C55" s="2085" t="s">
        <v>1925</v>
      </c>
      <c r="D55" s="1161">
        <v>323</v>
      </c>
      <c r="E55" s="1161">
        <v>191</v>
      </c>
      <c r="F55" s="1162" t="s">
        <v>400</v>
      </c>
      <c r="G55" s="1162" t="str">
        <f t="shared" si="2"/>
        <v>323.191b</v>
      </c>
      <c r="H55" s="1162" t="s">
        <v>401</v>
      </c>
      <c r="I55" s="2347">
        <v>319</v>
      </c>
      <c r="J55" s="2081">
        <v>1818</v>
      </c>
      <c r="K55" s="2081">
        <v>1435</v>
      </c>
    </row>
    <row r="56" spans="2:11" ht="15" customHeight="1">
      <c r="B56" s="1161">
        <f t="shared" si="1"/>
        <v>51</v>
      </c>
      <c r="C56" s="2085" t="s">
        <v>1926</v>
      </c>
      <c r="D56" s="1161">
        <v>323</v>
      </c>
      <c r="E56" s="1161">
        <v>197</v>
      </c>
      <c r="F56" s="1162" t="s">
        <v>400</v>
      </c>
      <c r="G56" s="1162" t="str">
        <f t="shared" si="2"/>
        <v>323.197b</v>
      </c>
      <c r="H56" s="1162" t="s">
        <v>401</v>
      </c>
      <c r="I56" s="2347">
        <v>134217341</v>
      </c>
      <c r="J56" s="2081">
        <v>129632900</v>
      </c>
      <c r="K56" s="2647">
        <v>134499331</v>
      </c>
    </row>
    <row r="57" spans="2:11" ht="15" customHeight="1">
      <c r="B57" s="1161">
        <f t="shared" si="1"/>
        <v>52</v>
      </c>
      <c r="C57" s="2085" t="s">
        <v>1927</v>
      </c>
      <c r="D57" s="1161">
        <v>335</v>
      </c>
      <c r="E57" s="1161">
        <v>1</v>
      </c>
      <c r="F57" s="1162" t="s">
        <v>400</v>
      </c>
      <c r="G57" s="1162" t="str">
        <f t="shared" si="2"/>
        <v>335.1b</v>
      </c>
      <c r="H57" s="1162" t="s">
        <v>402</v>
      </c>
      <c r="I57" s="2347">
        <v>1206198</v>
      </c>
      <c r="J57" s="2081">
        <v>1148762</v>
      </c>
      <c r="K57" s="2081">
        <v>1115015</v>
      </c>
    </row>
    <row r="58" spans="2:11" ht="15" customHeight="1">
      <c r="B58" s="1161">
        <f t="shared" si="1"/>
        <v>53</v>
      </c>
      <c r="C58" s="2085" t="s">
        <v>1928</v>
      </c>
      <c r="D58" s="1161">
        <v>336</v>
      </c>
      <c r="E58" s="1161">
        <v>1</v>
      </c>
      <c r="F58" s="1162" t="s">
        <v>394</v>
      </c>
      <c r="G58" s="1162" t="str">
        <f t="shared" si="2"/>
        <v>336.1d</v>
      </c>
      <c r="H58" s="1162" t="s">
        <v>404</v>
      </c>
      <c r="I58" s="2347">
        <v>36050777</v>
      </c>
      <c r="J58" s="2081">
        <v>36791866</v>
      </c>
      <c r="K58" s="2647">
        <v>40052602</v>
      </c>
    </row>
    <row r="59" spans="2:11" ht="15" customHeight="1">
      <c r="B59" s="1161">
        <f t="shared" si="1"/>
        <v>54</v>
      </c>
      <c r="C59" s="2085" t="s">
        <v>1929</v>
      </c>
      <c r="D59" s="1161">
        <v>336</v>
      </c>
      <c r="E59" s="1161">
        <v>1</v>
      </c>
      <c r="F59" s="1162" t="s">
        <v>359</v>
      </c>
      <c r="G59" s="1162" t="str">
        <f t="shared" si="2"/>
        <v>336.1e</v>
      </c>
      <c r="H59" s="1162" t="s">
        <v>405</v>
      </c>
      <c r="I59" s="2347">
        <v>0</v>
      </c>
      <c r="J59" s="2081">
        <v>0</v>
      </c>
      <c r="K59" s="2081">
        <v>0</v>
      </c>
    </row>
    <row r="60" spans="2:11" ht="15" customHeight="1">
      <c r="B60" s="1161">
        <f t="shared" si="1"/>
        <v>55</v>
      </c>
      <c r="C60" s="2085" t="s">
        <v>1930</v>
      </c>
      <c r="D60" s="1161">
        <v>336</v>
      </c>
      <c r="E60" s="1161">
        <v>7</v>
      </c>
      <c r="F60" s="1162" t="s">
        <v>400</v>
      </c>
      <c r="G60" s="1162" t="str">
        <f t="shared" si="2"/>
        <v>336.7b</v>
      </c>
      <c r="H60" s="1162" t="s">
        <v>403</v>
      </c>
      <c r="I60" s="2347">
        <v>99238672</v>
      </c>
      <c r="J60" s="2081">
        <v>104655006</v>
      </c>
      <c r="K60" s="2647">
        <v>106777986</v>
      </c>
    </row>
    <row r="61" spans="2:11" ht="15" customHeight="1">
      <c r="B61" s="1161">
        <f t="shared" si="1"/>
        <v>56</v>
      </c>
      <c r="C61" s="2085" t="s">
        <v>1931</v>
      </c>
      <c r="D61" s="1161">
        <v>336</v>
      </c>
      <c r="E61" s="1161">
        <v>7</v>
      </c>
      <c r="F61" s="1162" t="s">
        <v>394</v>
      </c>
      <c r="G61" s="1162" t="str">
        <f t="shared" si="2"/>
        <v>336.7d</v>
      </c>
      <c r="H61" s="1162" t="s">
        <v>404</v>
      </c>
      <c r="I61" s="2347">
        <v>0</v>
      </c>
      <c r="J61" s="2081">
        <v>0</v>
      </c>
      <c r="K61" s="2081">
        <v>0</v>
      </c>
    </row>
    <row r="62" spans="2:11" ht="15" customHeight="1">
      <c r="B62" s="1161">
        <f t="shared" si="1"/>
        <v>57</v>
      </c>
      <c r="C62" s="2085" t="s">
        <v>1932</v>
      </c>
      <c r="D62" s="1161">
        <v>336</v>
      </c>
      <c r="E62" s="1161">
        <v>10</v>
      </c>
      <c r="F62" s="1162" t="s">
        <v>400</v>
      </c>
      <c r="G62" s="1162" t="str">
        <f t="shared" si="2"/>
        <v>336.10b</v>
      </c>
      <c r="H62" s="1162" t="s">
        <v>403</v>
      </c>
      <c r="I62" s="2347">
        <v>39308259</v>
      </c>
      <c r="J62" s="2081">
        <v>39923447</v>
      </c>
      <c r="K62" s="2081">
        <v>38785821</v>
      </c>
    </row>
    <row r="63" spans="2:11" ht="15" customHeight="1">
      <c r="B63" s="1161">
        <f t="shared" si="1"/>
        <v>58</v>
      </c>
      <c r="C63" s="2085" t="s">
        <v>1933</v>
      </c>
      <c r="D63" s="1161">
        <v>336</v>
      </c>
      <c r="E63" s="1161">
        <v>10</v>
      </c>
      <c r="F63" s="1162" t="s">
        <v>394</v>
      </c>
      <c r="G63" s="1162" t="str">
        <f t="shared" si="2"/>
        <v>336.10d</v>
      </c>
      <c r="H63" s="1162" t="s">
        <v>404</v>
      </c>
      <c r="I63" s="2347">
        <v>1358159</v>
      </c>
      <c r="J63" s="2081">
        <v>1480588</v>
      </c>
      <c r="K63" s="2081">
        <v>1035064</v>
      </c>
    </row>
    <row r="64" spans="2:11" ht="15" customHeight="1">
      <c r="B64" s="1161">
        <f t="shared" si="1"/>
        <v>59</v>
      </c>
      <c r="C64" s="2085" t="s">
        <v>1934</v>
      </c>
      <c r="D64" s="1161">
        <v>354</v>
      </c>
      <c r="E64" s="1161">
        <v>21</v>
      </c>
      <c r="F64" s="1162" t="s">
        <v>400</v>
      </c>
      <c r="G64" s="1162" t="str">
        <f t="shared" si="2"/>
        <v>354.21b</v>
      </c>
      <c r="H64" s="1162" t="s">
        <v>406</v>
      </c>
      <c r="I64" s="2347">
        <v>25137301</v>
      </c>
      <c r="J64" s="2081">
        <v>27291677</v>
      </c>
      <c r="K64" s="2081">
        <v>26634206</v>
      </c>
    </row>
    <row r="65" spans="2:11" ht="15" customHeight="1">
      <c r="B65" s="1161">
        <f t="shared" si="1"/>
        <v>60</v>
      </c>
      <c r="C65" s="2085" t="s">
        <v>1935</v>
      </c>
      <c r="D65" s="1161">
        <v>354</v>
      </c>
      <c r="E65" s="1161">
        <v>27</v>
      </c>
      <c r="F65" s="1162" t="s">
        <v>400</v>
      </c>
      <c r="G65" s="1162" t="str">
        <f t="shared" si="2"/>
        <v>354.27b</v>
      </c>
      <c r="H65" s="1162" t="s">
        <v>406</v>
      </c>
      <c r="I65" s="2347">
        <v>37744556</v>
      </c>
      <c r="J65" s="2081">
        <v>38710883</v>
      </c>
      <c r="K65" s="2081">
        <v>42557961</v>
      </c>
    </row>
    <row r="66" spans="2:11" ht="15" customHeight="1">
      <c r="B66" s="1161">
        <f t="shared" si="1"/>
        <v>61</v>
      </c>
      <c r="C66" s="2085" t="s">
        <v>1936</v>
      </c>
      <c r="D66" s="1163">
        <v>354</v>
      </c>
      <c r="E66" s="1163">
        <v>28</v>
      </c>
      <c r="F66" s="1164" t="s">
        <v>400</v>
      </c>
      <c r="G66" s="1164" t="str">
        <f>D66&amp;"."&amp;E66&amp;F66</f>
        <v>354.28b</v>
      </c>
      <c r="H66" s="1164" t="s">
        <v>406</v>
      </c>
      <c r="I66" s="2347">
        <v>356682932</v>
      </c>
      <c r="J66" s="2081">
        <v>351524131</v>
      </c>
      <c r="K66" s="2081">
        <v>356448651</v>
      </c>
    </row>
  </sheetData>
  <pageMargins left="0.25" right="0.25" top="0.75" bottom="0.75" header="0.3" footer="0.3"/>
  <pageSetup scale="6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526</v>
      </c>
      <c r="C2" s="465"/>
      <c r="D2" s="465"/>
      <c r="E2" s="465"/>
      <c r="F2" s="465"/>
    </row>
    <row r="3" spans="1:6" ht="15">
      <c r="A3" s="465"/>
      <c r="B3" s="361" t="s">
        <v>524</v>
      </c>
      <c r="C3" s="465"/>
      <c r="D3" s="465"/>
      <c r="E3" s="465"/>
      <c r="F3" s="465"/>
    </row>
    <row r="4" spans="1:6">
      <c r="A4" s="323"/>
      <c r="B4" s="323"/>
      <c r="C4" s="323"/>
      <c r="D4" s="323"/>
      <c r="E4" s="323"/>
      <c r="F4" s="323"/>
    </row>
    <row r="5" spans="1:6">
      <c r="A5" s="323"/>
      <c r="B5" s="323"/>
      <c r="C5" s="323"/>
      <c r="D5" s="323"/>
      <c r="E5" s="323"/>
      <c r="F5" s="323"/>
    </row>
    <row r="6" spans="1:6" ht="15">
      <c r="A6" s="711" t="s">
        <v>30</v>
      </c>
      <c r="B6" s="711" t="s">
        <v>24</v>
      </c>
      <c r="C6" s="711"/>
      <c r="D6" s="711" t="s">
        <v>525</v>
      </c>
      <c r="E6" s="711"/>
      <c r="F6" s="711"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573571552.80941606</v>
      </c>
    </row>
    <row r="9" spans="1:6" ht="14.25">
      <c r="A9" s="360"/>
      <c r="B9" s="359"/>
      <c r="C9" s="323"/>
      <c r="D9" s="323"/>
      <c r="E9" s="323"/>
      <c r="F9" s="323"/>
    </row>
    <row r="10" spans="1:6" ht="14.25">
      <c r="A10" s="360"/>
      <c r="B10" s="359" t="s">
        <v>523</v>
      </c>
      <c r="C10" s="323"/>
      <c r="D10" s="323"/>
      <c r="E10" s="323"/>
      <c r="F10" s="323"/>
    </row>
    <row r="11" spans="1:6" ht="14.25">
      <c r="A11" s="360"/>
      <c r="B11" s="359"/>
      <c r="C11" s="323"/>
      <c r="D11" s="323"/>
      <c r="E11" s="323"/>
      <c r="F11" s="323"/>
    </row>
    <row r="12" spans="1:6" ht="14.25">
      <c r="A12" s="360">
        <v>2</v>
      </c>
      <c r="B12" s="467" t="s">
        <v>843</v>
      </c>
      <c r="C12" s="323"/>
      <c r="D12" s="323" t="str">
        <f>"Attachment 3, Line "&amp;'Att 3 - Revenue Credits'!A12</f>
        <v>Attachment 3, Line 6</v>
      </c>
      <c r="E12" s="323"/>
      <c r="F12" s="466">
        <f>SUM('Att 3 - Revenue Credits'!E12)</f>
        <v>5381547.3185656117</v>
      </c>
    </row>
    <row r="13" spans="1:6" ht="14.25">
      <c r="A13" s="360">
        <v>3</v>
      </c>
      <c r="B13" s="467" t="s">
        <v>844</v>
      </c>
      <c r="C13" s="323"/>
      <c r="D13" s="323" t="str">
        <f>"Attachment 3, Line "&amp;'Att 3 - Revenue Credits'!A20</f>
        <v>Attachment 3, Line 12</v>
      </c>
      <c r="E13" s="323"/>
      <c r="F13" s="466">
        <f>SUM('Att 3 - Revenue Credits'!E20)</f>
        <v>87600936.6296051</v>
      </c>
    </row>
    <row r="14" spans="1:6" ht="14.25">
      <c r="A14" s="360">
        <v>4</v>
      </c>
      <c r="B14" s="994" t="s">
        <v>527</v>
      </c>
      <c r="C14" s="323"/>
      <c r="D14" s="926" t="str">
        <f>"Line "&amp;A12&amp;" + Line "&amp;A13</f>
        <v>Line 2 + Line 3</v>
      </c>
      <c r="E14" s="323"/>
      <c r="F14" s="993">
        <f>SUM(F12:F13)</f>
        <v>92982483.948170707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529</v>
      </c>
      <c r="C17" s="323"/>
      <c r="D17" s="323" t="s">
        <v>177</v>
      </c>
      <c r="E17" s="323"/>
      <c r="F17" s="466">
        <f>'Att 5 - Cost Support'!H283</f>
        <v>1468173.9100000001</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4566717.83727929</v>
      </c>
    </row>
    <row r="20" spans="1:9" ht="14.25">
      <c r="A20" s="360"/>
      <c r="B20" s="359"/>
      <c r="C20" s="323"/>
      <c r="D20" s="323"/>
      <c r="E20" s="323"/>
      <c r="F20" s="323"/>
    </row>
    <row r="21" spans="1:9" ht="14.25">
      <c r="A21" s="360">
        <v>7</v>
      </c>
      <c r="B21" s="359" t="s">
        <v>528</v>
      </c>
      <c r="C21" s="323"/>
      <c r="D21" s="323" t="s">
        <v>842</v>
      </c>
      <c r="E21" s="323"/>
      <c r="F21" s="466">
        <f>F8-F14+F17+F19</f>
        <v>486623960.60852468</v>
      </c>
    </row>
    <row r="22" spans="1:9" ht="14.25">
      <c r="A22" s="360"/>
      <c r="B22" s="359"/>
      <c r="C22" s="323"/>
      <c r="D22" s="323"/>
      <c r="E22" s="323"/>
      <c r="F22" s="323"/>
    </row>
    <row r="23" spans="1:9" ht="14.25">
      <c r="A23" s="360">
        <v>8</v>
      </c>
      <c r="B23" s="359" t="s">
        <v>641</v>
      </c>
      <c r="C23" s="323"/>
      <c r="D23" s="323" t="str">
        <f>"Appendix A, Line "&amp;'Appendix A'!A290</f>
        <v>Appendix A, Line 170</v>
      </c>
      <c r="E23" s="323"/>
      <c r="F23" s="1237">
        <f>'Appendix A'!H290</f>
        <v>13933.257916666667</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845</v>
      </c>
      <c r="C26" s="323"/>
      <c r="D26" s="323"/>
      <c r="E26" s="323"/>
      <c r="F26" s="323"/>
    </row>
    <row r="27" spans="1:9" s="462" customFormat="1" ht="14.25">
      <c r="A27" s="360"/>
      <c r="B27" s="359"/>
      <c r="C27" s="323"/>
      <c r="D27" s="323"/>
      <c r="E27" s="323"/>
      <c r="F27" s="323"/>
    </row>
    <row r="28" spans="1:9" ht="14.25">
      <c r="A28" s="360">
        <v>9</v>
      </c>
      <c r="B28" s="467" t="s">
        <v>991</v>
      </c>
      <c r="C28" s="323"/>
      <c r="D28" s="323" t="str">
        <f>"Line "&amp;A21&amp;" / Line "&amp;A23&amp;" / 1000"</f>
        <v>Line 7 / Line 8 / 1000</v>
      </c>
      <c r="E28" s="323"/>
      <c r="F28" s="708">
        <f>F21/F23/1000</f>
        <v>34.925353676718743</v>
      </c>
    </row>
    <row r="29" spans="1:9" ht="14.25">
      <c r="A29" s="360"/>
      <c r="B29" s="467"/>
      <c r="C29" s="323"/>
      <c r="D29" s="323"/>
      <c r="E29" s="323"/>
      <c r="F29" s="468"/>
    </row>
    <row r="30" spans="1:9" ht="14.25">
      <c r="A30" s="360">
        <v>10</v>
      </c>
      <c r="B30" s="467" t="s">
        <v>841</v>
      </c>
      <c r="C30" s="323"/>
      <c r="D30" s="323" t="str">
        <f>"Line "&amp;A28&amp;" / 12 months"</f>
        <v>Line 9 / 12 months</v>
      </c>
      <c r="E30" s="323"/>
      <c r="F30" s="708">
        <f>F28/12</f>
        <v>2.9104461397265617</v>
      </c>
    </row>
    <row r="31" spans="1:9" ht="14.25">
      <c r="A31" s="360"/>
      <c r="B31" s="467"/>
      <c r="C31" s="323"/>
      <c r="D31" s="323"/>
      <c r="E31" s="323"/>
      <c r="F31" s="708"/>
    </row>
    <row r="32" spans="1:9" ht="14.25">
      <c r="A32" s="360">
        <v>11</v>
      </c>
      <c r="B32" s="467" t="s">
        <v>840</v>
      </c>
      <c r="C32" s="323"/>
      <c r="D32" s="323" t="str">
        <f>"Line "&amp;A28&amp;" / 52 weeks"</f>
        <v>Line 9 / 52 weeks</v>
      </c>
      <c r="E32" s="323"/>
      <c r="F32" s="708">
        <f>F28/52</f>
        <v>0.6716414168599758</v>
      </c>
    </row>
    <row r="33" spans="1:6" ht="14.25">
      <c r="A33" s="360"/>
      <c r="B33" s="359"/>
      <c r="C33" s="323"/>
      <c r="D33" s="323"/>
      <c r="E33" s="323"/>
      <c r="F33" s="708"/>
    </row>
    <row r="34" spans="1:6" s="462" customFormat="1" ht="14.25">
      <c r="A34" s="360"/>
      <c r="B34" s="359"/>
      <c r="C34" s="323"/>
      <c r="D34" s="323"/>
      <c r="E34" s="323"/>
      <c r="F34" s="708"/>
    </row>
    <row r="35" spans="1:6" ht="14.25">
      <c r="A35" s="360"/>
      <c r="B35" s="359" t="s">
        <v>846</v>
      </c>
      <c r="C35" s="323"/>
      <c r="D35" s="323"/>
      <c r="E35" s="323"/>
      <c r="F35" s="708"/>
    </row>
    <row r="36" spans="1:6" s="462" customFormat="1" ht="14.25">
      <c r="A36" s="360"/>
      <c r="B36" s="359"/>
      <c r="C36" s="323"/>
      <c r="D36" s="323"/>
      <c r="E36" s="323"/>
      <c r="F36" s="708"/>
    </row>
    <row r="37" spans="1:6" ht="14.25">
      <c r="A37" s="360">
        <v>12</v>
      </c>
      <c r="B37" s="467" t="s">
        <v>847</v>
      </c>
      <c r="C37" s="323"/>
      <c r="D37" s="323" t="str">
        <f>"Line "&amp;A32&amp;" / 5 days"</f>
        <v>Line 11 / 5 days</v>
      </c>
      <c r="E37" s="323"/>
      <c r="F37" s="708">
        <f>F32/5</f>
        <v>0.13432828337199515</v>
      </c>
    </row>
    <row r="38" spans="1:6" s="462" customFormat="1" ht="14.25">
      <c r="A38" s="360"/>
      <c r="B38" s="467"/>
      <c r="C38" s="323"/>
      <c r="D38" s="323"/>
      <c r="E38" s="323"/>
      <c r="F38" s="708"/>
    </row>
    <row r="39" spans="1:6" ht="14.25">
      <c r="A39" s="360">
        <v>13</v>
      </c>
      <c r="B39" s="467" t="s">
        <v>848</v>
      </c>
      <c r="C39" s="323"/>
      <c r="D39" s="323" t="str">
        <f>"Line "&amp;A32&amp;" / 7 days"</f>
        <v>Line 11 / 7 days</v>
      </c>
      <c r="E39" s="323"/>
      <c r="F39" s="708">
        <f>F32/7</f>
        <v>9.5948773837139401E-2</v>
      </c>
    </row>
    <row r="40" spans="1:6" ht="14.25">
      <c r="A40" s="360"/>
      <c r="B40" s="359"/>
      <c r="C40" s="323"/>
      <c r="D40" s="323"/>
      <c r="E40" s="323"/>
      <c r="F40" s="708"/>
    </row>
    <row r="41" spans="1:6" s="462" customFormat="1" ht="14.25">
      <c r="A41" s="360"/>
      <c r="B41" s="359"/>
      <c r="C41" s="323"/>
      <c r="D41" s="323"/>
      <c r="E41" s="2608"/>
      <c r="F41" s="708"/>
    </row>
    <row r="42" spans="1:6" ht="14.25">
      <c r="A42" s="360"/>
      <c r="B42" s="359" t="s">
        <v>849</v>
      </c>
      <c r="C42" s="323"/>
      <c r="D42" s="323"/>
      <c r="E42" s="323"/>
      <c r="F42" s="708"/>
    </row>
    <row r="43" spans="1:6" s="462" customFormat="1" ht="14.25">
      <c r="A43" s="360"/>
      <c r="B43" s="359"/>
      <c r="C43" s="323"/>
      <c r="D43" s="323"/>
      <c r="E43" s="323"/>
      <c r="F43" s="708"/>
    </row>
    <row r="44" spans="1:6" ht="14.25">
      <c r="A44" s="360">
        <v>14</v>
      </c>
      <c r="B44" s="467" t="s">
        <v>850</v>
      </c>
      <c r="C44" s="323"/>
      <c r="D44" s="323" t="str">
        <f>"Line "&amp;A37&amp;" / 16 hours * 1000"</f>
        <v>Line 12 / 16 hours * 1000</v>
      </c>
      <c r="E44" s="323"/>
      <c r="F44" s="1664">
        <f>(F37/16)*1000</f>
        <v>8.3955177107496972</v>
      </c>
    </row>
    <row r="45" spans="1:6" s="462" customFormat="1" ht="14.25">
      <c r="A45" s="360"/>
      <c r="B45" s="467"/>
      <c r="C45" s="323"/>
      <c r="D45" s="323"/>
      <c r="E45" s="323"/>
      <c r="F45" s="1664"/>
    </row>
    <row r="46" spans="1:6" ht="14.25">
      <c r="A46" s="360">
        <v>15</v>
      </c>
      <c r="B46" s="467" t="s">
        <v>851</v>
      </c>
      <c r="C46" s="323"/>
      <c r="D46" s="323" t="str">
        <f>"Line "&amp;A39&amp;" / 24 hours * 1000"</f>
        <v>Line 13 / 24 hours * 1000</v>
      </c>
      <c r="E46" s="323"/>
      <c r="F46" s="1664">
        <f>F39/24*1000</f>
        <v>3.9978655765474751</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852"/>
  <sheetViews>
    <sheetView workbookViewId="0"/>
  </sheetViews>
  <sheetFormatPr defaultRowHeight="14.25"/>
  <cols>
    <col min="1" max="2" width="10.85546875" style="1342" customWidth="1"/>
    <col min="3" max="3" width="70.5703125" style="1303" customWidth="1"/>
    <col min="4" max="4" width="18.5703125" style="436" customWidth="1"/>
    <col min="5" max="8" width="18.5703125" style="1836" customWidth="1"/>
    <col min="9" max="9" width="18.5703125" style="1837" customWidth="1"/>
    <col min="10" max="10" width="60.7109375" style="436" customWidth="1"/>
    <col min="11" max="11" width="4.5703125" style="436" customWidth="1"/>
    <col min="12" max="16384" width="9.140625" style="436"/>
  </cols>
  <sheetData>
    <row r="1" spans="1:12" ht="18">
      <c r="A1" s="1329" t="s">
        <v>365</v>
      </c>
      <c r="B1" s="1329"/>
      <c r="C1" s="1288"/>
      <c r="D1" s="1330"/>
      <c r="E1" s="1330"/>
      <c r="F1" s="1330"/>
      <c r="G1" s="1330"/>
      <c r="H1" s="1330"/>
      <c r="I1" s="1330"/>
      <c r="J1" s="1330"/>
      <c r="K1" s="1288"/>
    </row>
    <row r="2" spans="1:12" ht="15.75">
      <c r="A2" s="1331" t="s">
        <v>1643</v>
      </c>
      <c r="B2" s="1331"/>
      <c r="C2" s="1289"/>
      <c r="D2" s="1332"/>
      <c r="E2" s="1332"/>
      <c r="F2" s="1332"/>
      <c r="G2" s="1332"/>
      <c r="H2" s="1332"/>
      <c r="I2" s="1332"/>
      <c r="J2" s="1332"/>
      <c r="K2" s="1289"/>
    </row>
    <row r="3" spans="1:12">
      <c r="A3" s="1290" t="s">
        <v>983</v>
      </c>
      <c r="B3" s="1333"/>
      <c r="C3" s="1287"/>
      <c r="D3" s="827"/>
      <c r="E3" s="827"/>
      <c r="F3" s="827"/>
      <c r="G3" s="827"/>
      <c r="H3" s="827"/>
      <c r="I3" s="1287"/>
      <c r="J3" s="1290"/>
      <c r="K3" s="1287"/>
    </row>
    <row r="4" spans="1:12" s="437" customFormat="1" ht="15">
      <c r="A4" s="1291"/>
      <c r="B4" s="1291"/>
      <c r="C4" s="1296"/>
      <c r="D4" s="1293"/>
      <c r="E4" s="1770"/>
      <c r="F4" s="1770"/>
      <c r="G4" s="1770"/>
      <c r="H4" s="1334"/>
      <c r="I4" s="1770"/>
      <c r="J4" s="1334"/>
      <c r="K4" s="1295"/>
    </row>
    <row r="5" spans="1:12" s="437" customFormat="1" ht="15">
      <c r="A5" s="1291"/>
      <c r="B5" s="1291"/>
      <c r="C5" s="1296"/>
      <c r="D5" s="1293"/>
      <c r="E5" s="1334"/>
      <c r="F5" s="1334"/>
      <c r="G5" s="1334"/>
      <c r="H5" s="1334"/>
      <c r="I5" s="1334"/>
      <c r="J5" s="1334"/>
      <c r="K5" s="1296"/>
    </row>
    <row r="6" spans="1:12" s="437" customFormat="1" ht="32.25" thickBot="1">
      <c r="A6" s="2070" t="s">
        <v>8</v>
      </c>
      <c r="B6" s="2070"/>
      <c r="C6" s="2070" t="s">
        <v>24</v>
      </c>
      <c r="D6" s="2071" t="s">
        <v>525</v>
      </c>
      <c r="E6" s="2072" t="s">
        <v>964</v>
      </c>
      <c r="F6" s="2072" t="s">
        <v>965</v>
      </c>
      <c r="G6" s="2072" t="s">
        <v>103</v>
      </c>
      <c r="H6" s="2071" t="s">
        <v>72</v>
      </c>
      <c r="I6" s="2071" t="s">
        <v>73</v>
      </c>
      <c r="J6" s="2072" t="s">
        <v>541</v>
      </c>
      <c r="L6" s="2070" t="s">
        <v>2025</v>
      </c>
    </row>
    <row r="7" spans="1:12" s="437" customFormat="1" ht="15.75">
      <c r="A7" s="1286"/>
      <c r="B7" s="1286"/>
      <c r="C7" s="1286" t="s">
        <v>200</v>
      </c>
      <c r="D7" s="1294" t="s">
        <v>201</v>
      </c>
      <c r="E7" s="1294"/>
      <c r="F7" s="1294"/>
      <c r="G7" s="1294" t="s">
        <v>532</v>
      </c>
      <c r="H7" s="1294" t="s">
        <v>114</v>
      </c>
      <c r="I7" s="1294" t="s">
        <v>115</v>
      </c>
      <c r="J7" s="1294" t="s">
        <v>116</v>
      </c>
    </row>
    <row r="8" spans="1:12">
      <c r="A8" s="1291"/>
      <c r="B8" s="1291"/>
      <c r="C8" s="1296"/>
      <c r="D8" s="832"/>
      <c r="E8" s="1771"/>
      <c r="F8" s="1771"/>
      <c r="G8" s="1771"/>
      <c r="H8" s="1771"/>
      <c r="I8" s="1771"/>
      <c r="J8" s="832"/>
      <c r="K8" s="1296"/>
    </row>
    <row r="9" spans="1:12">
      <c r="A9" s="1291"/>
      <c r="B9" s="1291"/>
      <c r="C9" s="1296"/>
      <c r="D9" s="832"/>
      <c r="E9" s="1771"/>
      <c r="F9" s="1771"/>
      <c r="G9" s="1771"/>
      <c r="H9" s="1771"/>
      <c r="I9" s="1771"/>
      <c r="J9" s="832"/>
      <c r="K9" s="1296"/>
    </row>
    <row r="10" spans="1:12">
      <c r="A10" s="1298">
        <v>1</v>
      </c>
      <c r="B10" s="1301"/>
      <c r="C10" s="1296" t="s">
        <v>531</v>
      </c>
      <c r="D10" s="1299" t="s">
        <v>533</v>
      </c>
      <c r="E10" s="1335">
        <f>E269</f>
        <v>-4257849913</v>
      </c>
      <c r="F10" s="1335">
        <f>F269</f>
        <v>-2959222301</v>
      </c>
      <c r="G10" s="1335">
        <f>+G269</f>
        <v>-1074944574</v>
      </c>
      <c r="H10" s="1335">
        <f>+H269</f>
        <v>15511710</v>
      </c>
      <c r="I10" s="1335">
        <f>+I269</f>
        <v>-239194748</v>
      </c>
      <c r="J10" s="1300"/>
      <c r="K10" s="1296"/>
    </row>
    <row r="11" spans="1:12">
      <c r="A11" s="1301">
        <f t="shared" ref="A11:A16" si="0">A10+1</f>
        <v>2</v>
      </c>
      <c r="B11" s="1301"/>
      <c r="C11" s="1296" t="s">
        <v>600</v>
      </c>
      <c r="D11" s="1299" t="s">
        <v>601</v>
      </c>
      <c r="E11" s="1335">
        <f>E191</f>
        <v>-306993377</v>
      </c>
      <c r="F11" s="1335">
        <f>F191</f>
        <v>-306993377</v>
      </c>
      <c r="G11" s="1335">
        <v>0</v>
      </c>
      <c r="H11" s="1335">
        <f>H191</f>
        <v>0</v>
      </c>
      <c r="I11" s="1335">
        <v>0</v>
      </c>
      <c r="J11" s="1300"/>
      <c r="K11" s="1296"/>
    </row>
    <row r="12" spans="1:12">
      <c r="A12" s="1301">
        <f t="shared" si="0"/>
        <v>3</v>
      </c>
      <c r="B12" s="1301"/>
      <c r="C12" s="1296" t="s">
        <v>59</v>
      </c>
      <c r="D12" s="1299" t="s">
        <v>534</v>
      </c>
      <c r="E12" s="1335">
        <f>E426</f>
        <v>-443395343</v>
      </c>
      <c r="F12" s="1335">
        <f>F426</f>
        <v>-433546866</v>
      </c>
      <c r="G12" s="1335">
        <f>+G426</f>
        <v>0</v>
      </c>
      <c r="H12" s="1335">
        <f>+H426</f>
        <v>-8420282</v>
      </c>
      <c r="I12" s="1335">
        <f>+I426</f>
        <v>-1428202</v>
      </c>
      <c r="J12" s="1300"/>
      <c r="K12" s="1296"/>
    </row>
    <row r="13" spans="1:12">
      <c r="A13" s="1301">
        <f t="shared" si="0"/>
        <v>4</v>
      </c>
      <c r="B13" s="1301"/>
      <c r="C13" s="1296" t="s">
        <v>58</v>
      </c>
      <c r="D13" s="1299" t="s">
        <v>535</v>
      </c>
      <c r="E13" s="1772">
        <f>E165</f>
        <v>529240023</v>
      </c>
      <c r="F13" s="1772">
        <f>F165</f>
        <v>498715075</v>
      </c>
      <c r="G13" s="1772">
        <f>G165</f>
        <v>135938</v>
      </c>
      <c r="H13" s="1772">
        <f>H165</f>
        <v>0</v>
      </c>
      <c r="I13" s="1772">
        <f>I165</f>
        <v>30389010</v>
      </c>
      <c r="J13" s="1300"/>
      <c r="K13" s="1296"/>
    </row>
    <row r="14" spans="1:12">
      <c r="A14" s="1301">
        <f t="shared" si="0"/>
        <v>5</v>
      </c>
      <c r="B14" s="1301"/>
      <c r="C14" s="1296" t="s">
        <v>539</v>
      </c>
      <c r="D14" s="1300" t="s">
        <v>606</v>
      </c>
      <c r="E14" s="1335">
        <f>SUM(E10:E13)</f>
        <v>-4478998610</v>
      </c>
      <c r="F14" s="1335">
        <f>SUM(F10:F13)</f>
        <v>-3201047469</v>
      </c>
      <c r="G14" s="1335">
        <f>SUM(G10:G13)</f>
        <v>-1074808636</v>
      </c>
      <c r="H14" s="1335">
        <f>SUM(H10:H13)</f>
        <v>7091428</v>
      </c>
      <c r="I14" s="1335">
        <f>SUM(I10:I13)</f>
        <v>-210233940</v>
      </c>
      <c r="J14" s="1300"/>
      <c r="K14" s="1302"/>
    </row>
    <row r="15" spans="1:12">
      <c r="A15" s="1301">
        <f t="shared" si="0"/>
        <v>6</v>
      </c>
      <c r="B15" s="1301"/>
      <c r="C15" s="1296" t="s">
        <v>1001</v>
      </c>
      <c r="D15" s="1299" t="s">
        <v>335</v>
      </c>
      <c r="E15" s="1771"/>
      <c r="F15" s="1771"/>
      <c r="G15" s="1773">
        <v>1</v>
      </c>
      <c r="H15" s="1773">
        <f>Allocator.net.plant</f>
        <v>0.26207536255640557</v>
      </c>
      <c r="I15" s="1773">
        <f>Allocator.wages.salary</f>
        <v>8.4851850814689656E-2</v>
      </c>
      <c r="J15" s="832"/>
      <c r="K15" s="1296"/>
    </row>
    <row r="16" spans="1:12">
      <c r="A16" s="1301">
        <f t="shared" si="0"/>
        <v>7</v>
      </c>
      <c r="B16" s="1301"/>
      <c r="C16" s="1296" t="s">
        <v>540</v>
      </c>
      <c r="D16" s="1299" t="str">
        <f>"Line "&amp;A14&amp;" * Allocator"</f>
        <v>Line 5 * Allocator</v>
      </c>
      <c r="E16" s="1774"/>
      <c r="F16" s="1774"/>
      <c r="G16" s="1335">
        <f>G14</f>
        <v>-1074808636</v>
      </c>
      <c r="H16" s="1335">
        <f>H15*H14</f>
        <v>1858488.564142646</v>
      </c>
      <c r="I16" s="1335">
        <f>I15*I14</f>
        <v>-17838738.913064416</v>
      </c>
      <c r="J16" s="1336"/>
      <c r="K16" s="1303"/>
    </row>
    <row r="17" spans="1:11">
      <c r="A17" s="1301"/>
      <c r="B17" s="1301"/>
      <c r="C17" s="1296"/>
      <c r="D17" s="1299"/>
      <c r="E17" s="1774"/>
      <c r="F17" s="1774"/>
      <c r="G17" s="1335"/>
      <c r="H17" s="1335"/>
      <c r="I17" s="1335"/>
      <c r="J17" s="1336"/>
      <c r="K17" s="1303"/>
    </row>
    <row r="18" spans="1:11">
      <c r="A18" s="1301"/>
      <c r="B18" s="1301"/>
      <c r="C18" s="1296"/>
      <c r="D18" s="1299"/>
      <c r="E18" s="1774"/>
      <c r="F18" s="1774"/>
      <c r="G18" s="1335"/>
      <c r="H18" s="1335"/>
      <c r="I18" s="1335"/>
      <c r="J18" s="1336"/>
      <c r="K18" s="1303"/>
    </row>
    <row r="19" spans="1:11">
      <c r="A19" s="1301">
        <v>8</v>
      </c>
      <c r="B19" s="1296"/>
      <c r="C19" s="1296" t="s">
        <v>541</v>
      </c>
      <c r="D19" s="832" t="s">
        <v>1003</v>
      </c>
      <c r="E19" s="1771"/>
      <c r="F19" s="1771"/>
      <c r="G19" s="1335"/>
      <c r="H19" s="1335"/>
      <c r="I19" s="1389" t="s">
        <v>1567</v>
      </c>
      <c r="J19" s="1838">
        <f>SUM(G16:I16)</f>
        <v>-1090788886.3489218</v>
      </c>
      <c r="K19" s="1304"/>
    </row>
    <row r="20" spans="1:11">
      <c r="A20" s="1291"/>
      <c r="B20" s="1291"/>
      <c r="D20" s="832"/>
      <c r="E20" s="1771"/>
      <c r="F20" s="1771"/>
      <c r="G20" s="1771"/>
      <c r="H20" s="1771"/>
      <c r="I20" s="1771"/>
      <c r="J20" s="437"/>
      <c r="K20" s="1296"/>
    </row>
    <row r="21" spans="1:11" ht="12.75">
      <c r="A21" s="437"/>
      <c r="B21" s="437"/>
      <c r="C21" s="437"/>
      <c r="D21" s="437"/>
      <c r="E21" s="1387"/>
      <c r="F21" s="1387"/>
      <c r="G21" s="1387"/>
      <c r="H21" s="1387"/>
      <c r="I21" s="1387"/>
      <c r="J21" s="437"/>
      <c r="K21" s="437"/>
    </row>
    <row r="22" spans="1:11" ht="15">
      <c r="A22" s="1306" t="s">
        <v>14</v>
      </c>
      <c r="B22" s="1306"/>
      <c r="C22" s="1296"/>
      <c r="D22" s="832"/>
      <c r="E22" s="1771"/>
      <c r="F22" s="1771"/>
      <c r="G22" s="1771"/>
      <c r="H22" s="1771"/>
      <c r="I22" s="1776"/>
      <c r="J22" s="437"/>
      <c r="K22" s="437"/>
    </row>
    <row r="23" spans="1:11" ht="15">
      <c r="A23" s="1306" t="s">
        <v>15</v>
      </c>
      <c r="B23" s="1306"/>
      <c r="C23" s="1296"/>
      <c r="D23" s="832"/>
      <c r="E23" s="1771"/>
      <c r="F23" s="1771"/>
      <c r="G23" s="1771"/>
      <c r="H23" s="1771"/>
      <c r="I23" s="1776"/>
      <c r="J23" s="437"/>
      <c r="K23" s="437"/>
    </row>
    <row r="24" spans="1:11" ht="15">
      <c r="A24" s="1291"/>
      <c r="B24" s="1291"/>
      <c r="C24" s="1338"/>
      <c r="D24" s="1305"/>
      <c r="E24" s="1305"/>
      <c r="F24" s="1305"/>
      <c r="G24" s="1305"/>
      <c r="H24" s="1305"/>
      <c r="I24" s="1776"/>
      <c r="J24" s="437"/>
      <c r="K24" s="437"/>
    </row>
    <row r="25" spans="1:11" ht="15">
      <c r="A25" s="1306" t="s">
        <v>537</v>
      </c>
      <c r="B25" s="1306"/>
      <c r="C25" s="1296"/>
      <c r="D25" s="832"/>
      <c r="E25" s="1771"/>
      <c r="F25" s="1771"/>
      <c r="G25" s="1771"/>
      <c r="H25" s="1777"/>
      <c r="I25" s="1776"/>
      <c r="J25" s="437"/>
      <c r="K25" s="437"/>
    </row>
    <row r="26" spans="1:11" ht="15">
      <c r="A26" s="1286"/>
      <c r="B26" s="1286"/>
      <c r="C26" s="1339" t="s">
        <v>227</v>
      </c>
      <c r="D26" s="1340"/>
      <c r="E26" s="1339" t="s">
        <v>283</v>
      </c>
      <c r="F26" s="1339" t="s">
        <v>215</v>
      </c>
      <c r="G26" s="1339" t="s">
        <v>228</v>
      </c>
      <c r="H26" s="1339" t="s">
        <v>226</v>
      </c>
      <c r="I26" s="1339" t="s">
        <v>107</v>
      </c>
      <c r="J26" s="1339" t="s">
        <v>229</v>
      </c>
      <c r="K26" s="437"/>
    </row>
    <row r="27" spans="1:11" s="437" customFormat="1">
      <c r="A27" s="1291"/>
      <c r="B27" s="1291"/>
      <c r="C27" s="1303"/>
      <c r="D27" s="1303"/>
      <c r="E27" s="1387"/>
      <c r="F27" s="829" t="s">
        <v>257</v>
      </c>
      <c r="G27" s="1387"/>
      <c r="H27" s="829"/>
      <c r="I27" s="829"/>
      <c r="J27" s="1303"/>
    </row>
    <row r="28" spans="1:11" s="437" customFormat="1">
      <c r="A28" s="1303"/>
      <c r="B28" s="1303"/>
      <c r="C28" s="1303"/>
      <c r="D28" s="1303"/>
      <c r="E28" s="829" t="s">
        <v>282</v>
      </c>
      <c r="F28" s="829" t="s">
        <v>258</v>
      </c>
      <c r="G28" s="829" t="s">
        <v>57</v>
      </c>
      <c r="H28" s="829" t="s">
        <v>61</v>
      </c>
      <c r="I28" s="829" t="s">
        <v>63</v>
      </c>
      <c r="J28" s="1303"/>
    </row>
    <row r="29" spans="1:11" s="437" customFormat="1" ht="15">
      <c r="A29" s="1306" t="s">
        <v>24</v>
      </c>
      <c r="B29" s="1306"/>
      <c r="C29" s="1297" t="s">
        <v>538</v>
      </c>
      <c r="D29" s="1297"/>
      <c r="E29" s="829" t="s">
        <v>536</v>
      </c>
      <c r="F29" s="829" t="s">
        <v>62</v>
      </c>
      <c r="G29" s="829" t="s">
        <v>62</v>
      </c>
      <c r="H29" s="829" t="s">
        <v>62</v>
      </c>
      <c r="I29" s="829" t="s">
        <v>62</v>
      </c>
      <c r="J29" s="1341" t="s">
        <v>208</v>
      </c>
    </row>
    <row r="30" spans="1:11">
      <c r="D30" s="1303"/>
      <c r="E30" s="1387"/>
      <c r="F30" s="1387"/>
      <c r="G30" s="1387"/>
      <c r="H30" s="1387"/>
      <c r="I30" s="1387"/>
      <c r="J30" s="1303"/>
      <c r="K30" s="437"/>
    </row>
    <row r="31" spans="1:11" ht="15">
      <c r="A31" s="2337" t="s">
        <v>254</v>
      </c>
      <c r="B31" s="2325"/>
      <c r="C31" s="2325"/>
      <c r="D31" s="2326"/>
      <c r="E31" s="2306"/>
      <c r="F31" s="2306"/>
      <c r="G31" s="2306"/>
      <c r="H31" s="2306"/>
      <c r="I31" s="2306"/>
      <c r="J31" s="2327"/>
      <c r="K31" s="437"/>
    </row>
    <row r="32" spans="1:11" ht="12.75">
      <c r="A32" s="1779" t="s">
        <v>347</v>
      </c>
      <c r="B32" s="2461"/>
      <c r="C32" s="2462"/>
      <c r="D32" s="2291"/>
      <c r="E32" s="2328"/>
      <c r="F32" s="2328"/>
      <c r="G32" s="2328"/>
      <c r="H32" s="2328"/>
      <c r="I32" s="2328"/>
      <c r="J32" s="2329"/>
    </row>
    <row r="33" spans="1:10" ht="25.5">
      <c r="A33" s="1782">
        <v>287220</v>
      </c>
      <c r="B33" s="2626">
        <v>720.56</v>
      </c>
      <c r="C33" s="2627" t="s">
        <v>1654</v>
      </c>
      <c r="D33" s="2291"/>
      <c r="E33" s="2330">
        <v>43688849</v>
      </c>
      <c r="F33" s="2330">
        <v>43688849</v>
      </c>
      <c r="G33" s="2330">
        <v>0</v>
      </c>
      <c r="H33" s="2330">
        <v>0</v>
      </c>
      <c r="I33" s="2330">
        <v>0</v>
      </c>
      <c r="J33" s="1785" t="s">
        <v>1655</v>
      </c>
    </row>
    <row r="34" spans="1:10" ht="25.5">
      <c r="A34" s="1782">
        <v>287300</v>
      </c>
      <c r="B34" s="2626">
        <v>920.18200000000002</v>
      </c>
      <c r="C34" s="2627" t="s">
        <v>1656</v>
      </c>
      <c r="D34" s="2291"/>
      <c r="E34" s="2330">
        <v>4161744</v>
      </c>
      <c r="F34" s="2330">
        <v>0</v>
      </c>
      <c r="G34" s="2330">
        <v>0</v>
      </c>
      <c r="H34" s="2330">
        <v>0</v>
      </c>
      <c r="I34" s="2330">
        <v>4161744</v>
      </c>
      <c r="J34" s="1785" t="s">
        <v>1657</v>
      </c>
    </row>
    <row r="35" spans="1:10" ht="38.25">
      <c r="A35" s="1782">
        <v>287323</v>
      </c>
      <c r="B35" s="2626">
        <v>505.4</v>
      </c>
      <c r="C35" s="2627" t="s">
        <v>1839</v>
      </c>
      <c r="D35" s="2291"/>
      <c r="E35" s="2330">
        <v>79823</v>
      </c>
      <c r="F35" s="2330">
        <v>0</v>
      </c>
      <c r="G35" s="2330">
        <v>0</v>
      </c>
      <c r="H35" s="2330">
        <v>0</v>
      </c>
      <c r="I35" s="2330">
        <v>79823</v>
      </c>
      <c r="J35" s="2465" t="s">
        <v>1838</v>
      </c>
    </row>
    <row r="36" spans="1:10" ht="12.75">
      <c r="A36" s="1782">
        <v>287324</v>
      </c>
      <c r="B36" s="2626">
        <v>720.2</v>
      </c>
      <c r="C36" s="2627" t="s">
        <v>1403</v>
      </c>
      <c r="D36" s="2291"/>
      <c r="E36" s="2330">
        <v>3152262</v>
      </c>
      <c r="F36" s="2330">
        <v>0</v>
      </c>
      <c r="G36" s="2330">
        <v>0</v>
      </c>
      <c r="H36" s="2330">
        <v>0</v>
      </c>
      <c r="I36" s="2330">
        <v>3152262</v>
      </c>
      <c r="J36" s="1785" t="s">
        <v>1153</v>
      </c>
    </row>
    <row r="37" spans="1:10" ht="38.25">
      <c r="A37" s="1782">
        <v>287326</v>
      </c>
      <c r="B37" s="2626">
        <v>720.5</v>
      </c>
      <c r="C37" s="2627" t="s">
        <v>1837</v>
      </c>
      <c r="D37" s="2291"/>
      <c r="E37" s="2330">
        <v>320811</v>
      </c>
      <c r="F37" s="2330">
        <v>0</v>
      </c>
      <c r="G37" s="2330">
        <v>0</v>
      </c>
      <c r="H37" s="2330">
        <v>0</v>
      </c>
      <c r="I37" s="2330">
        <v>320811</v>
      </c>
      <c r="J37" s="2465" t="s">
        <v>1836</v>
      </c>
    </row>
    <row r="38" spans="1:10" ht="38.25">
      <c r="A38" s="1782">
        <v>287327</v>
      </c>
      <c r="B38" s="2626">
        <v>720.3</v>
      </c>
      <c r="C38" s="2627" t="s">
        <v>1404</v>
      </c>
      <c r="D38" s="2291"/>
      <c r="E38" s="2330">
        <v>729595</v>
      </c>
      <c r="F38" s="2330">
        <v>729595</v>
      </c>
      <c r="G38" s="2330">
        <v>0</v>
      </c>
      <c r="H38" s="2330">
        <v>0</v>
      </c>
      <c r="I38" s="2330">
        <v>0</v>
      </c>
      <c r="J38" s="1785" t="s">
        <v>1154</v>
      </c>
    </row>
    <row r="39" spans="1:10" ht="25.5">
      <c r="A39" s="1782">
        <v>287332</v>
      </c>
      <c r="B39" s="2626">
        <v>505.6</v>
      </c>
      <c r="C39" s="2627" t="s">
        <v>1835</v>
      </c>
      <c r="D39" s="2291"/>
      <c r="E39" s="2330">
        <v>9872581</v>
      </c>
      <c r="F39" s="2330">
        <v>0</v>
      </c>
      <c r="G39" s="2330">
        <v>0</v>
      </c>
      <c r="H39" s="2330">
        <v>0</v>
      </c>
      <c r="I39" s="2330">
        <v>9872581</v>
      </c>
      <c r="J39" s="2465" t="s">
        <v>1834</v>
      </c>
    </row>
    <row r="40" spans="1:10" ht="39.75" customHeight="1">
      <c r="A40" s="1782">
        <v>287373</v>
      </c>
      <c r="B40" s="2626">
        <v>910.58</v>
      </c>
      <c r="C40" s="2627" t="s">
        <v>1405</v>
      </c>
      <c r="D40" s="2291"/>
      <c r="E40" s="2330">
        <v>1155530</v>
      </c>
      <c r="F40" s="2330">
        <v>0</v>
      </c>
      <c r="G40" s="2330">
        <v>0</v>
      </c>
      <c r="H40" s="2330">
        <v>0</v>
      </c>
      <c r="I40" s="2330">
        <v>1155530</v>
      </c>
      <c r="J40" s="1785" t="s">
        <v>1198</v>
      </c>
    </row>
    <row r="41" spans="1:10" ht="25.5">
      <c r="A41" s="1782">
        <v>287399</v>
      </c>
      <c r="B41" s="2626">
        <v>920.15</v>
      </c>
      <c r="C41" s="2627" t="s">
        <v>1406</v>
      </c>
      <c r="D41" s="2291"/>
      <c r="E41" s="2330">
        <v>11646259</v>
      </c>
      <c r="F41" s="2330">
        <v>0</v>
      </c>
      <c r="G41" s="2330">
        <v>0</v>
      </c>
      <c r="H41" s="2330">
        <v>0</v>
      </c>
      <c r="I41" s="2330">
        <v>11646259</v>
      </c>
      <c r="J41" s="1785" t="s">
        <v>1200</v>
      </c>
    </row>
    <row r="42" spans="1:10" ht="25.5" customHeight="1">
      <c r="A42" s="1782">
        <v>287413</v>
      </c>
      <c r="B42" s="2626">
        <v>720.55</v>
      </c>
      <c r="C42" s="2627" t="s">
        <v>556</v>
      </c>
      <c r="D42" s="2291"/>
      <c r="E42" s="2330">
        <v>0</v>
      </c>
      <c r="F42" s="2330">
        <v>0</v>
      </c>
      <c r="G42" s="2330">
        <v>0</v>
      </c>
      <c r="H42" s="2330">
        <v>0</v>
      </c>
      <c r="I42" s="2330">
        <v>0</v>
      </c>
      <c r="J42" s="1785" t="s">
        <v>1155</v>
      </c>
    </row>
    <row r="43" spans="1:10" ht="51">
      <c r="A43" s="1782">
        <v>287447</v>
      </c>
      <c r="B43" s="2626">
        <v>720.83</v>
      </c>
      <c r="C43" s="2627" t="s">
        <v>1407</v>
      </c>
      <c r="D43" s="2291"/>
      <c r="E43" s="2330">
        <v>4130208</v>
      </c>
      <c r="F43" s="2330">
        <v>0</v>
      </c>
      <c r="G43" s="2330">
        <v>0</v>
      </c>
      <c r="H43" s="2330">
        <v>0</v>
      </c>
      <c r="I43" s="2330">
        <v>4130208</v>
      </c>
      <c r="J43" s="1785" t="s">
        <v>2050</v>
      </c>
    </row>
    <row r="44" spans="1:10" ht="12.75">
      <c r="A44" s="1782">
        <v>287460</v>
      </c>
      <c r="B44" s="2626">
        <v>720.8</v>
      </c>
      <c r="C44" s="2628" t="s">
        <v>557</v>
      </c>
      <c r="D44" s="2291"/>
      <c r="E44" s="2330">
        <v>82683919</v>
      </c>
      <c r="F44" s="2330">
        <v>82683919</v>
      </c>
      <c r="G44" s="2330">
        <v>0</v>
      </c>
      <c r="H44" s="2330">
        <v>0</v>
      </c>
      <c r="I44" s="2330">
        <v>0</v>
      </c>
      <c r="J44" s="1785" t="s">
        <v>1156</v>
      </c>
    </row>
    <row r="45" spans="1:10" ht="25.5">
      <c r="A45" s="1782">
        <v>287461</v>
      </c>
      <c r="B45" s="2626">
        <v>720.81</v>
      </c>
      <c r="C45" s="2627" t="s">
        <v>558</v>
      </c>
      <c r="D45" s="2291"/>
      <c r="E45" s="2330">
        <v>22481492</v>
      </c>
      <c r="F45" s="2330">
        <v>22481492</v>
      </c>
      <c r="G45" s="2330">
        <v>0</v>
      </c>
      <c r="H45" s="2330">
        <v>0</v>
      </c>
      <c r="I45" s="2330">
        <v>0</v>
      </c>
      <c r="J45" s="1785" t="s">
        <v>1157</v>
      </c>
    </row>
    <row r="46" spans="1:10" ht="51.75" customHeight="1">
      <c r="A46" s="1782">
        <v>287462</v>
      </c>
      <c r="B46" s="2626">
        <v>720.82</v>
      </c>
      <c r="C46" s="2627" t="s">
        <v>559</v>
      </c>
      <c r="D46" s="2291"/>
      <c r="E46" s="2330">
        <v>22384147</v>
      </c>
      <c r="F46" s="2330">
        <v>22384147</v>
      </c>
      <c r="G46" s="2330">
        <v>0</v>
      </c>
      <c r="H46" s="2330">
        <v>0</v>
      </c>
      <c r="I46" s="2330">
        <v>0</v>
      </c>
      <c r="J46" s="1785" t="s">
        <v>1158</v>
      </c>
    </row>
    <row r="47" spans="1:10" ht="12.75">
      <c r="A47" s="1782"/>
      <c r="B47" s="2626"/>
      <c r="C47" s="2462"/>
      <c r="D47" s="2291"/>
      <c r="E47" s="2330">
        <v>0</v>
      </c>
      <c r="F47" s="2330">
        <v>0</v>
      </c>
      <c r="G47" s="2330">
        <v>0</v>
      </c>
      <c r="H47" s="2330">
        <v>0</v>
      </c>
      <c r="I47" s="2330">
        <v>0</v>
      </c>
      <c r="J47" s="1785"/>
    </row>
    <row r="48" spans="1:10" ht="12.75">
      <c r="A48" s="1779" t="s">
        <v>437</v>
      </c>
      <c r="B48" s="2461"/>
      <c r="C48" s="2462"/>
      <c r="D48" s="2291"/>
      <c r="E48" s="2330">
        <v>0</v>
      </c>
      <c r="F48" s="2330">
        <v>0</v>
      </c>
      <c r="G48" s="2330">
        <v>0</v>
      </c>
      <c r="H48" s="2330">
        <v>0</v>
      </c>
      <c r="I48" s="2330">
        <v>0</v>
      </c>
      <c r="J48" s="1785"/>
    </row>
    <row r="49" spans="1:10" ht="38.25">
      <c r="A49" s="1782">
        <v>287336</v>
      </c>
      <c r="B49" s="2626">
        <v>730.12</v>
      </c>
      <c r="C49" s="2462" t="s">
        <v>1408</v>
      </c>
      <c r="D49" s="2291"/>
      <c r="E49" s="2330">
        <v>29074300</v>
      </c>
      <c r="F49" s="2330">
        <v>29074300</v>
      </c>
      <c r="G49" s="2330">
        <v>0</v>
      </c>
      <c r="H49" s="2330">
        <v>0</v>
      </c>
      <c r="I49" s="2330">
        <v>0</v>
      </c>
      <c r="J49" s="1785" t="s">
        <v>1159</v>
      </c>
    </row>
    <row r="50" spans="1:10" ht="25.5">
      <c r="A50" s="1782">
        <v>287249</v>
      </c>
      <c r="B50" s="2626">
        <v>415.839</v>
      </c>
      <c r="C50" s="2462" t="s">
        <v>1409</v>
      </c>
      <c r="D50" s="2291"/>
      <c r="E50" s="2331">
        <v>37838683</v>
      </c>
      <c r="F50" s="2331">
        <v>37838683</v>
      </c>
      <c r="G50" s="2331">
        <v>0</v>
      </c>
      <c r="H50" s="2166">
        <v>0</v>
      </c>
      <c r="I50" s="2331">
        <v>0</v>
      </c>
      <c r="J50" s="1785" t="s">
        <v>1181</v>
      </c>
    </row>
    <row r="51" spans="1:10" ht="12.75">
      <c r="A51" s="1779" t="s">
        <v>560</v>
      </c>
      <c r="B51" s="2461"/>
      <c r="C51" s="2462"/>
      <c r="D51" s="2291"/>
      <c r="E51" s="2296">
        <v>0</v>
      </c>
      <c r="F51" s="2296">
        <v>0</v>
      </c>
      <c r="G51" s="2296">
        <v>0</v>
      </c>
      <c r="H51" s="2296">
        <v>0</v>
      </c>
      <c r="I51" s="2296">
        <v>0</v>
      </c>
      <c r="J51" s="1785"/>
    </row>
    <row r="52" spans="1:10" ht="51">
      <c r="A52" s="1782">
        <v>287206</v>
      </c>
      <c r="B52" s="2626" t="s">
        <v>1961</v>
      </c>
      <c r="C52" s="2462" t="s">
        <v>1962</v>
      </c>
      <c r="D52" s="2291"/>
      <c r="E52" s="2296">
        <v>1063340</v>
      </c>
      <c r="F52" s="2330">
        <v>1063340</v>
      </c>
      <c r="G52" s="2330">
        <v>0</v>
      </c>
      <c r="H52" s="2330">
        <v>0</v>
      </c>
      <c r="I52" s="2330">
        <v>0</v>
      </c>
      <c r="J52" s="1785" t="s">
        <v>1963</v>
      </c>
    </row>
    <row r="53" spans="1:10" ht="51">
      <c r="A53" s="1782">
        <v>287209</v>
      </c>
      <c r="B53" s="2626">
        <v>705.26599999999996</v>
      </c>
      <c r="C53" s="2462" t="s">
        <v>1964</v>
      </c>
      <c r="D53" s="2291"/>
      <c r="E53" s="2296">
        <v>274972</v>
      </c>
      <c r="F53" s="2330">
        <v>274972</v>
      </c>
      <c r="G53" s="2330">
        <v>0</v>
      </c>
      <c r="H53" s="2330">
        <v>0</v>
      </c>
      <c r="I53" s="2330">
        <v>0</v>
      </c>
      <c r="J53" s="1785" t="s">
        <v>1965</v>
      </c>
    </row>
    <row r="54" spans="1:10" ht="63.75">
      <c r="A54" s="1782">
        <v>287212</v>
      </c>
      <c r="B54" s="2626">
        <v>705.245</v>
      </c>
      <c r="C54" s="2462" t="s">
        <v>1966</v>
      </c>
      <c r="D54" s="2291"/>
      <c r="E54" s="2296">
        <v>199163</v>
      </c>
      <c r="F54" s="2330">
        <v>199163</v>
      </c>
      <c r="G54" s="2330">
        <v>0</v>
      </c>
      <c r="H54" s="2330">
        <v>0</v>
      </c>
      <c r="I54" s="2330">
        <v>0</v>
      </c>
      <c r="J54" s="1785" t="s">
        <v>1967</v>
      </c>
    </row>
    <row r="55" spans="1:10" ht="51">
      <c r="A55" s="1782">
        <v>287213</v>
      </c>
      <c r="B55" s="2626">
        <v>425.38099999999997</v>
      </c>
      <c r="C55" s="2627" t="s">
        <v>1833</v>
      </c>
      <c r="D55" s="2291"/>
      <c r="E55" s="2296">
        <v>1377710</v>
      </c>
      <c r="F55" s="2330">
        <v>1377710</v>
      </c>
      <c r="G55" s="2330">
        <v>0</v>
      </c>
      <c r="H55" s="2330">
        <v>0</v>
      </c>
      <c r="I55" s="2330">
        <v>0</v>
      </c>
      <c r="J55" s="2466" t="s">
        <v>1711</v>
      </c>
    </row>
    <row r="56" spans="1:10" ht="89.25">
      <c r="A56" s="1782">
        <v>287225</v>
      </c>
      <c r="B56" s="2626">
        <v>605.10299999999995</v>
      </c>
      <c r="C56" s="2627" t="s">
        <v>1413</v>
      </c>
      <c r="D56" s="2291"/>
      <c r="E56" s="2296">
        <v>-98676</v>
      </c>
      <c r="F56" s="2296">
        <v>-98676</v>
      </c>
      <c r="G56" s="2296">
        <v>0</v>
      </c>
      <c r="H56" s="2296">
        <v>0</v>
      </c>
      <c r="I56" s="2296">
        <v>0</v>
      </c>
      <c r="J56" s="2466" t="s">
        <v>1414</v>
      </c>
    </row>
    <row r="57" spans="1:10" ht="12.75">
      <c r="A57" s="1782">
        <v>287227</v>
      </c>
      <c r="B57" s="2626">
        <v>705.53099999999995</v>
      </c>
      <c r="C57" s="2627" t="s">
        <v>1832</v>
      </c>
      <c r="D57" s="2291"/>
      <c r="E57" s="2296">
        <v>6015245</v>
      </c>
      <c r="F57" s="2330">
        <v>6015245</v>
      </c>
      <c r="G57" s="2296">
        <v>0</v>
      </c>
      <c r="H57" s="2296">
        <v>0</v>
      </c>
      <c r="I57" s="2296">
        <v>0</v>
      </c>
      <c r="J57" s="2466" t="s">
        <v>2061</v>
      </c>
    </row>
    <row r="58" spans="1:10" ht="12.75">
      <c r="A58" s="1782">
        <v>287229</v>
      </c>
      <c r="B58" s="2626">
        <v>705.52700000000004</v>
      </c>
      <c r="C58" s="2627" t="s">
        <v>1831</v>
      </c>
      <c r="D58" s="2291"/>
      <c r="E58" s="2296">
        <v>461911</v>
      </c>
      <c r="F58" s="2330">
        <v>461911</v>
      </c>
      <c r="G58" s="2296">
        <v>0</v>
      </c>
      <c r="H58" s="2296">
        <v>0</v>
      </c>
      <c r="I58" s="2296">
        <v>0</v>
      </c>
      <c r="J58" s="2466" t="s">
        <v>2062</v>
      </c>
    </row>
    <row r="59" spans="1:10" ht="63.75">
      <c r="A59" s="1782">
        <v>287230</v>
      </c>
      <c r="B59" s="2626">
        <v>705.52099999999996</v>
      </c>
      <c r="C59" s="2627" t="s">
        <v>1968</v>
      </c>
      <c r="D59" s="2291"/>
      <c r="E59" s="2296">
        <v>1209170</v>
      </c>
      <c r="F59" s="2330">
        <v>1209170</v>
      </c>
      <c r="G59" s="2296">
        <v>0</v>
      </c>
      <c r="H59" s="2296">
        <v>0</v>
      </c>
      <c r="I59" s="2296">
        <v>0</v>
      </c>
      <c r="J59" s="2466" t="s">
        <v>1969</v>
      </c>
    </row>
    <row r="60" spans="1:10" ht="12.75">
      <c r="A60" s="1782">
        <v>287231</v>
      </c>
      <c r="B60" s="2626">
        <v>705.51900000000001</v>
      </c>
      <c r="C60" s="2627" t="s">
        <v>1830</v>
      </c>
      <c r="D60" s="2291"/>
      <c r="E60" s="2296">
        <v>3363876</v>
      </c>
      <c r="F60" s="2330">
        <v>3363876</v>
      </c>
      <c r="G60" s="2296">
        <v>0</v>
      </c>
      <c r="H60" s="2296">
        <v>0</v>
      </c>
      <c r="I60" s="2296">
        <v>0</v>
      </c>
      <c r="J60" s="2466" t="s">
        <v>1829</v>
      </c>
    </row>
    <row r="61" spans="1:10" ht="51">
      <c r="A61" s="1782">
        <v>287232</v>
      </c>
      <c r="B61" s="2626">
        <v>705.51700000000005</v>
      </c>
      <c r="C61" s="2627" t="s">
        <v>1970</v>
      </c>
      <c r="D61" s="2291"/>
      <c r="E61" s="2296">
        <v>1836865</v>
      </c>
      <c r="F61" s="2330">
        <v>1836865</v>
      </c>
      <c r="G61" s="2296">
        <v>0</v>
      </c>
      <c r="H61" s="2296">
        <v>0</v>
      </c>
      <c r="I61" s="2296">
        <v>0</v>
      </c>
      <c r="J61" s="2466" t="s">
        <v>1971</v>
      </c>
    </row>
    <row r="62" spans="1:10" ht="38.25">
      <c r="A62" s="1782">
        <v>287233</v>
      </c>
      <c r="B62" s="2626">
        <v>705.51499999999999</v>
      </c>
      <c r="C62" s="2627" t="s">
        <v>1658</v>
      </c>
      <c r="D62" s="2291"/>
      <c r="E62" s="2296">
        <v>7608767</v>
      </c>
      <c r="F62" s="2330">
        <v>7608767</v>
      </c>
      <c r="G62" s="2296">
        <v>0</v>
      </c>
      <c r="H62" s="2296">
        <v>0</v>
      </c>
      <c r="I62" s="2296">
        <v>0</v>
      </c>
      <c r="J62" s="2466" t="s">
        <v>1659</v>
      </c>
    </row>
    <row r="63" spans="1:10" ht="51">
      <c r="A63" s="1782">
        <v>287237</v>
      </c>
      <c r="B63" s="2626">
        <v>705.755</v>
      </c>
      <c r="C63" s="2627" t="s">
        <v>1415</v>
      </c>
      <c r="D63" s="2291"/>
      <c r="E63" s="2296">
        <v>0</v>
      </c>
      <c r="F63" s="2330">
        <v>0</v>
      </c>
      <c r="G63" s="2296">
        <v>0</v>
      </c>
      <c r="H63" s="2296">
        <v>0</v>
      </c>
      <c r="I63" s="2296">
        <v>0</v>
      </c>
      <c r="J63" s="2466" t="s">
        <v>2063</v>
      </c>
    </row>
    <row r="64" spans="1:10" ht="40.5" customHeight="1">
      <c r="A64" s="1782">
        <v>287238</v>
      </c>
      <c r="B64" s="2626">
        <v>705.42</v>
      </c>
      <c r="C64" s="2627" t="s">
        <v>1828</v>
      </c>
      <c r="D64" s="2291"/>
      <c r="E64" s="2296">
        <v>156295</v>
      </c>
      <c r="F64" s="2330">
        <v>156295</v>
      </c>
      <c r="G64" s="2296">
        <v>0</v>
      </c>
      <c r="H64" s="2296">
        <v>0</v>
      </c>
      <c r="I64" s="2296">
        <v>0</v>
      </c>
      <c r="J64" s="2466" t="s">
        <v>2064</v>
      </c>
    </row>
    <row r="65" spans="1:10" ht="25.5">
      <c r="A65" s="1782">
        <v>287239</v>
      </c>
      <c r="B65" s="2626">
        <v>705.6</v>
      </c>
      <c r="C65" s="2627" t="s">
        <v>1412</v>
      </c>
      <c r="D65" s="2291"/>
      <c r="E65" s="2296">
        <v>0</v>
      </c>
      <c r="F65" s="2330">
        <v>0</v>
      </c>
      <c r="G65" s="2296">
        <v>0</v>
      </c>
      <c r="H65" s="2296">
        <v>0</v>
      </c>
      <c r="I65" s="2296">
        <v>0</v>
      </c>
      <c r="J65" s="1785" t="s">
        <v>1160</v>
      </c>
    </row>
    <row r="66" spans="1:10" ht="25.5">
      <c r="A66" s="1782">
        <v>287253</v>
      </c>
      <c r="B66" s="2626">
        <v>705.4</v>
      </c>
      <c r="C66" s="2627" t="s">
        <v>1660</v>
      </c>
      <c r="D66" s="2291"/>
      <c r="E66" s="2296">
        <v>3332911</v>
      </c>
      <c r="F66" s="2330">
        <v>3332911</v>
      </c>
      <c r="G66" s="2296">
        <v>0</v>
      </c>
      <c r="H66" s="2296">
        <v>0</v>
      </c>
      <c r="I66" s="2296">
        <v>0</v>
      </c>
      <c r="J66" s="1785" t="s">
        <v>1161</v>
      </c>
    </row>
    <row r="67" spans="1:10" ht="38.25">
      <c r="A67" s="1782">
        <v>287255</v>
      </c>
      <c r="B67" s="2626">
        <v>705.45100000000002</v>
      </c>
      <c r="C67" s="2462" t="s">
        <v>1416</v>
      </c>
      <c r="D67" s="2291"/>
      <c r="E67" s="2296">
        <v>0</v>
      </c>
      <c r="F67" s="2330">
        <v>0</v>
      </c>
      <c r="G67" s="2296">
        <v>0</v>
      </c>
      <c r="H67" s="2296">
        <v>0</v>
      </c>
      <c r="I67" s="2296">
        <v>0</v>
      </c>
      <c r="J67" s="1785" t="s">
        <v>1162</v>
      </c>
    </row>
    <row r="68" spans="1:10" ht="25.5">
      <c r="A68" s="1782">
        <v>287257</v>
      </c>
      <c r="B68" s="2626">
        <v>705.45299999999997</v>
      </c>
      <c r="C68" s="2462" t="s">
        <v>1417</v>
      </c>
      <c r="D68" s="2291"/>
      <c r="E68" s="2296">
        <v>210859</v>
      </c>
      <c r="F68" s="2330">
        <v>210859</v>
      </c>
      <c r="G68" s="2296">
        <v>0</v>
      </c>
      <c r="H68" s="2296">
        <v>0</v>
      </c>
      <c r="I68" s="2296">
        <v>0</v>
      </c>
      <c r="J68" s="1785" t="s">
        <v>1163</v>
      </c>
    </row>
    <row r="69" spans="1:10" ht="40.5" customHeight="1">
      <c r="A69" s="1782">
        <v>287258</v>
      </c>
      <c r="B69" s="2626">
        <v>705.45399999999995</v>
      </c>
      <c r="C69" s="2462" t="s">
        <v>1418</v>
      </c>
      <c r="D69" s="2291"/>
      <c r="E69" s="2296">
        <v>1177557</v>
      </c>
      <c r="F69" s="2330">
        <v>1177557</v>
      </c>
      <c r="G69" s="2296">
        <v>0</v>
      </c>
      <c r="H69" s="2296">
        <v>0</v>
      </c>
      <c r="I69" s="2296">
        <v>0</v>
      </c>
      <c r="J69" s="1785" t="s">
        <v>1164</v>
      </c>
    </row>
    <row r="70" spans="1:10" ht="39" customHeight="1">
      <c r="A70" s="1782">
        <v>287259</v>
      </c>
      <c r="B70" s="2626">
        <v>705.45500000000004</v>
      </c>
      <c r="C70" s="2462" t="s">
        <v>1558</v>
      </c>
      <c r="D70" s="2291"/>
      <c r="E70" s="2296">
        <v>33666</v>
      </c>
      <c r="F70" s="2330">
        <v>33666</v>
      </c>
      <c r="G70" s="2296">
        <v>0</v>
      </c>
      <c r="H70" s="2296">
        <v>0</v>
      </c>
      <c r="I70" s="2296">
        <v>0</v>
      </c>
      <c r="J70" s="1785" t="s">
        <v>1165</v>
      </c>
    </row>
    <row r="71" spans="1:10" ht="25.5">
      <c r="A71" s="1782">
        <v>287262</v>
      </c>
      <c r="B71" s="2626">
        <v>100.1</v>
      </c>
      <c r="C71" s="2462" t="s">
        <v>1419</v>
      </c>
      <c r="D71" s="2291"/>
      <c r="E71" s="2296">
        <v>2963801</v>
      </c>
      <c r="F71" s="2330">
        <v>2963801</v>
      </c>
      <c r="G71" s="2296">
        <v>0</v>
      </c>
      <c r="H71" s="2296">
        <v>0</v>
      </c>
      <c r="I71" s="2296">
        <v>0</v>
      </c>
      <c r="J71" s="1785" t="s">
        <v>1166</v>
      </c>
    </row>
    <row r="72" spans="1:10" ht="25.5">
      <c r="A72" s="1782">
        <v>287268</v>
      </c>
      <c r="B72" s="2626">
        <v>415.70600000000002</v>
      </c>
      <c r="C72" s="2462" t="s">
        <v>1827</v>
      </c>
      <c r="D72" s="2291"/>
      <c r="E72" s="2296">
        <v>175610</v>
      </c>
      <c r="F72" s="2330">
        <v>175610</v>
      </c>
      <c r="G72" s="2296">
        <v>0</v>
      </c>
      <c r="H72" s="2296">
        <v>0</v>
      </c>
      <c r="I72" s="2296">
        <v>0</v>
      </c>
      <c r="J72" s="1785" t="s">
        <v>1826</v>
      </c>
    </row>
    <row r="73" spans="1:10" ht="52.5" customHeight="1">
      <c r="A73" s="1782">
        <v>287271</v>
      </c>
      <c r="B73" s="2626">
        <v>705.33600000000001</v>
      </c>
      <c r="C73" s="2462" t="s">
        <v>1972</v>
      </c>
      <c r="D73" s="2291"/>
      <c r="E73" s="2296">
        <v>154906</v>
      </c>
      <c r="F73" s="2330">
        <v>154906</v>
      </c>
      <c r="G73" s="2296">
        <v>0</v>
      </c>
      <c r="H73" s="2296">
        <v>0</v>
      </c>
      <c r="I73" s="2296">
        <v>0</v>
      </c>
      <c r="J73" s="1785" t="s">
        <v>1973</v>
      </c>
    </row>
    <row r="74" spans="1:10" ht="39.75" customHeight="1">
      <c r="A74" s="1782">
        <v>287272</v>
      </c>
      <c r="B74" s="2626">
        <v>705.33699999999999</v>
      </c>
      <c r="C74" s="2462" t="s">
        <v>1974</v>
      </c>
      <c r="D74" s="2291"/>
      <c r="E74" s="2296">
        <v>198605</v>
      </c>
      <c r="F74" s="2330">
        <v>198605</v>
      </c>
      <c r="G74" s="2296">
        <v>0</v>
      </c>
      <c r="H74" s="2296">
        <v>0</v>
      </c>
      <c r="I74" s="2296">
        <v>0</v>
      </c>
      <c r="J74" s="1785" t="s">
        <v>1975</v>
      </c>
    </row>
    <row r="75" spans="1:10" ht="40.5" customHeight="1">
      <c r="A75" s="1782">
        <v>287274</v>
      </c>
      <c r="B75" s="2626">
        <v>705.26099999999997</v>
      </c>
      <c r="C75" s="2627" t="s">
        <v>1825</v>
      </c>
      <c r="D75" s="2291"/>
      <c r="E75" s="2296">
        <v>12913</v>
      </c>
      <c r="F75" s="2330">
        <v>12913</v>
      </c>
      <c r="G75" s="2296">
        <v>0</v>
      </c>
      <c r="H75" s="2296">
        <v>0</v>
      </c>
      <c r="I75" s="2296">
        <v>0</v>
      </c>
      <c r="J75" s="2465" t="s">
        <v>1824</v>
      </c>
    </row>
    <row r="76" spans="1:10" ht="40.5" customHeight="1">
      <c r="A76" s="1782">
        <v>287284</v>
      </c>
      <c r="B76" s="2626">
        <v>610.14700000000005</v>
      </c>
      <c r="C76" s="2462" t="s">
        <v>1420</v>
      </c>
      <c r="D76" s="2291"/>
      <c r="E76" s="2296">
        <v>104188</v>
      </c>
      <c r="F76" s="2330">
        <v>104188</v>
      </c>
      <c r="G76" s="2296">
        <v>0</v>
      </c>
      <c r="H76" s="2296">
        <v>0</v>
      </c>
      <c r="I76" s="2296">
        <v>0</v>
      </c>
      <c r="J76" s="1785" t="s">
        <v>2065</v>
      </c>
    </row>
    <row r="77" spans="1:10" ht="40.5" customHeight="1">
      <c r="A77" s="1782">
        <v>287288</v>
      </c>
      <c r="B77" s="2626">
        <v>415.80399999999997</v>
      </c>
      <c r="C77" s="2462" t="s">
        <v>1421</v>
      </c>
      <c r="D77" s="2291"/>
      <c r="E77" s="2296">
        <v>0</v>
      </c>
      <c r="F77" s="2330">
        <v>0</v>
      </c>
      <c r="G77" s="2296">
        <v>0</v>
      </c>
      <c r="H77" s="2296">
        <v>0</v>
      </c>
      <c r="I77" s="2296">
        <v>0</v>
      </c>
      <c r="J77" s="1785" t="s">
        <v>1167</v>
      </c>
    </row>
    <row r="78" spans="1:10" ht="38.25" customHeight="1">
      <c r="A78" s="1782">
        <v>287299</v>
      </c>
      <c r="B78" s="2626">
        <v>705.26499999999999</v>
      </c>
      <c r="C78" s="2627" t="s">
        <v>1411</v>
      </c>
      <c r="D78" s="2291"/>
      <c r="E78" s="2296">
        <v>1247406</v>
      </c>
      <c r="F78" s="2330">
        <v>1247406</v>
      </c>
      <c r="G78" s="2296">
        <v>0</v>
      </c>
      <c r="H78" s="2296">
        <v>0</v>
      </c>
      <c r="I78" s="2296">
        <v>0</v>
      </c>
      <c r="J78" s="2465" t="s">
        <v>1823</v>
      </c>
    </row>
    <row r="79" spans="1:10" ht="39.75" customHeight="1">
      <c r="A79" s="1782">
        <v>287304</v>
      </c>
      <c r="B79" s="2626">
        <v>610.14599999999996</v>
      </c>
      <c r="C79" s="2462" t="s">
        <v>1422</v>
      </c>
      <c r="D79" s="2291"/>
      <c r="E79" s="2296">
        <v>-100363</v>
      </c>
      <c r="F79" s="2330">
        <v>-100363</v>
      </c>
      <c r="G79" s="2296">
        <v>0</v>
      </c>
      <c r="H79" s="2296">
        <v>0</v>
      </c>
      <c r="I79" s="2296">
        <v>0</v>
      </c>
      <c r="J79" s="1785" t="s">
        <v>1168</v>
      </c>
    </row>
    <row r="80" spans="1:10" ht="25.5">
      <c r="A80" s="1782">
        <v>287312</v>
      </c>
      <c r="B80" s="2626">
        <v>105.402</v>
      </c>
      <c r="C80" s="2462" t="s">
        <v>1423</v>
      </c>
      <c r="D80" s="2291"/>
      <c r="E80" s="2296">
        <v>852229</v>
      </c>
      <c r="F80" s="2330">
        <v>852229</v>
      </c>
      <c r="G80" s="2296">
        <v>0</v>
      </c>
      <c r="H80" s="2296">
        <v>0</v>
      </c>
      <c r="I80" s="2296">
        <v>0</v>
      </c>
      <c r="J80" s="1785" t="s">
        <v>1169</v>
      </c>
    </row>
    <row r="81" spans="1:10" ht="51" customHeight="1">
      <c r="A81" s="1782">
        <v>287316</v>
      </c>
      <c r="B81" s="2626">
        <v>715.72</v>
      </c>
      <c r="C81" s="2627" t="s">
        <v>1822</v>
      </c>
      <c r="D81" s="2291"/>
      <c r="E81" s="2296">
        <v>446030</v>
      </c>
      <c r="F81" s="2330">
        <v>446030</v>
      </c>
      <c r="G81" s="2296">
        <v>0</v>
      </c>
      <c r="H81" s="2296">
        <v>0</v>
      </c>
      <c r="I81" s="2296">
        <v>0</v>
      </c>
      <c r="J81" s="2465" t="s">
        <v>1821</v>
      </c>
    </row>
    <row r="82" spans="1:10" ht="90.75" customHeight="1">
      <c r="A82" s="1782">
        <v>287320</v>
      </c>
      <c r="B82" s="2626">
        <v>910.56</v>
      </c>
      <c r="C82" s="2462" t="s">
        <v>1424</v>
      </c>
      <c r="D82" s="2291"/>
      <c r="E82" s="2296">
        <v>0</v>
      </c>
      <c r="F82" s="2330">
        <v>0</v>
      </c>
      <c r="G82" s="2296">
        <v>0</v>
      </c>
      <c r="H82" s="2296">
        <v>0</v>
      </c>
      <c r="I82" s="2296">
        <v>0</v>
      </c>
      <c r="J82" s="1785" t="s">
        <v>1170</v>
      </c>
    </row>
    <row r="83" spans="1:10" ht="15.75" customHeight="1">
      <c r="A83" s="1782">
        <v>287374</v>
      </c>
      <c r="B83" s="2626">
        <v>100.105</v>
      </c>
      <c r="C83" s="2462" t="s">
        <v>1171</v>
      </c>
      <c r="D83" s="2291"/>
      <c r="E83" s="2296">
        <v>23542</v>
      </c>
      <c r="F83" s="2330">
        <v>23542</v>
      </c>
      <c r="G83" s="2296">
        <v>0</v>
      </c>
      <c r="H83" s="2296">
        <v>0</v>
      </c>
      <c r="I83" s="2296">
        <v>0</v>
      </c>
      <c r="J83" s="1785" t="s">
        <v>1172</v>
      </c>
    </row>
    <row r="84" spans="1:10" ht="15.75" customHeight="1">
      <c r="A84" s="1782">
        <v>287389</v>
      </c>
      <c r="B84" s="2626">
        <v>610.14499999999998</v>
      </c>
      <c r="C84" s="2627" t="s">
        <v>1976</v>
      </c>
      <c r="D84" s="2291"/>
      <c r="E84" s="2296">
        <v>1671552</v>
      </c>
      <c r="F84" s="2330">
        <v>1671552</v>
      </c>
      <c r="G84" s="2296">
        <v>0</v>
      </c>
      <c r="H84" s="2296">
        <v>0</v>
      </c>
      <c r="I84" s="2296">
        <v>0</v>
      </c>
      <c r="J84" s="2466" t="s">
        <v>2065</v>
      </c>
    </row>
    <row r="85" spans="1:10" ht="13.5" customHeight="1">
      <c r="A85" s="1782">
        <v>287438</v>
      </c>
      <c r="B85" s="2626">
        <v>415.8</v>
      </c>
      <c r="C85" s="2462" t="s">
        <v>1425</v>
      </c>
      <c r="D85" s="2291"/>
      <c r="E85" s="2296">
        <v>0</v>
      </c>
      <c r="F85" s="2330">
        <v>0</v>
      </c>
      <c r="G85" s="2296">
        <v>0</v>
      </c>
      <c r="H85" s="2296">
        <v>0</v>
      </c>
      <c r="I85" s="2296">
        <v>0</v>
      </c>
      <c r="J85" s="1785" t="s">
        <v>1173</v>
      </c>
    </row>
    <row r="86" spans="1:10" ht="38.25" customHeight="1">
      <c r="A86" s="1782">
        <v>287439</v>
      </c>
      <c r="B86" s="2626">
        <v>415.80500000000001</v>
      </c>
      <c r="C86" s="2462" t="s">
        <v>1426</v>
      </c>
      <c r="D86" s="2291"/>
      <c r="E86" s="2296">
        <v>0</v>
      </c>
      <c r="F86" s="2330">
        <v>0</v>
      </c>
      <c r="G86" s="2296">
        <v>0</v>
      </c>
      <c r="H86" s="2296">
        <v>0</v>
      </c>
      <c r="I86" s="2296">
        <v>0</v>
      </c>
      <c r="J86" s="1785" t="s">
        <v>1174</v>
      </c>
    </row>
    <row r="87" spans="1:10" ht="38.25">
      <c r="A87" s="1782">
        <v>287440</v>
      </c>
      <c r="B87" s="2626">
        <v>415.80599999999998</v>
      </c>
      <c r="C87" s="2462" t="s">
        <v>1427</v>
      </c>
      <c r="D87" s="2291"/>
      <c r="E87" s="2296">
        <v>0</v>
      </c>
      <c r="F87" s="2330">
        <v>0</v>
      </c>
      <c r="G87" s="2296">
        <v>0</v>
      </c>
      <c r="H87" s="2296">
        <v>0</v>
      </c>
      <c r="I87" s="2296">
        <v>0</v>
      </c>
      <c r="J87" s="1785" t="s">
        <v>1175</v>
      </c>
    </row>
    <row r="88" spans="1:10" ht="27" customHeight="1">
      <c r="A88" s="1782">
        <v>287441</v>
      </c>
      <c r="B88" s="2626">
        <v>605.1</v>
      </c>
      <c r="C88" s="2462" t="s">
        <v>1428</v>
      </c>
      <c r="D88" s="2291"/>
      <c r="E88" s="2296">
        <v>2061769</v>
      </c>
      <c r="F88" s="2330">
        <v>2061769</v>
      </c>
      <c r="G88" s="2296">
        <v>0</v>
      </c>
      <c r="H88" s="2296">
        <v>0</v>
      </c>
      <c r="I88" s="2296">
        <v>0</v>
      </c>
      <c r="J88" s="1785" t="s">
        <v>1661</v>
      </c>
    </row>
    <row r="89" spans="1:10" ht="38.25">
      <c r="A89" s="1782">
        <v>287442</v>
      </c>
      <c r="B89" s="2626">
        <v>610.13499999999999</v>
      </c>
      <c r="C89" s="2462" t="s">
        <v>561</v>
      </c>
      <c r="D89" s="2291"/>
      <c r="E89" s="2296">
        <v>0</v>
      </c>
      <c r="F89" s="2330">
        <v>0</v>
      </c>
      <c r="G89" s="2296">
        <v>0</v>
      </c>
      <c r="H89" s="2296">
        <v>0</v>
      </c>
      <c r="I89" s="2296">
        <v>0</v>
      </c>
      <c r="J89" s="1785" t="s">
        <v>1176</v>
      </c>
    </row>
    <row r="90" spans="1:10" ht="38.25">
      <c r="A90" s="1782">
        <v>287445</v>
      </c>
      <c r="B90" s="2626">
        <v>610.14200000000005</v>
      </c>
      <c r="C90" s="2627" t="s">
        <v>1820</v>
      </c>
      <c r="D90" s="2291"/>
      <c r="E90" s="2296">
        <v>600284</v>
      </c>
      <c r="F90" s="2330">
        <v>600284</v>
      </c>
      <c r="G90" s="2296">
        <v>0</v>
      </c>
      <c r="H90" s="2296">
        <v>0</v>
      </c>
      <c r="I90" s="2296">
        <v>0</v>
      </c>
      <c r="J90" s="2465" t="s">
        <v>1819</v>
      </c>
    </row>
    <row r="91" spans="1:10" ht="25.5" customHeight="1">
      <c r="A91" s="1782">
        <v>287453</v>
      </c>
      <c r="B91" s="2626">
        <v>610.14300000000003</v>
      </c>
      <c r="C91" s="2627" t="s">
        <v>1410</v>
      </c>
      <c r="D91" s="2291"/>
      <c r="E91" s="2296">
        <v>761145</v>
      </c>
      <c r="F91" s="2330">
        <v>761145</v>
      </c>
      <c r="G91" s="2296">
        <v>0</v>
      </c>
      <c r="H91" s="2296">
        <v>0</v>
      </c>
      <c r="I91" s="2296">
        <v>0</v>
      </c>
      <c r="J91" s="2465" t="s">
        <v>1819</v>
      </c>
    </row>
    <row r="92" spans="1:10" ht="51">
      <c r="A92" s="1782">
        <v>287473</v>
      </c>
      <c r="B92" s="2626">
        <v>705.27</v>
      </c>
      <c r="C92" s="2627" t="s">
        <v>1818</v>
      </c>
      <c r="D92" s="2291"/>
      <c r="E92" s="2296">
        <v>966416</v>
      </c>
      <c r="F92" s="2330">
        <v>966416</v>
      </c>
      <c r="G92" s="2296">
        <v>0</v>
      </c>
      <c r="H92" s="2296">
        <v>0</v>
      </c>
      <c r="I92" s="2296">
        <v>0</v>
      </c>
      <c r="J92" s="2465" t="s">
        <v>1813</v>
      </c>
    </row>
    <row r="93" spans="1:10" ht="51">
      <c r="A93" s="1782">
        <v>287474</v>
      </c>
      <c r="B93" s="2626">
        <v>705.27099999999996</v>
      </c>
      <c r="C93" s="2627" t="s">
        <v>1817</v>
      </c>
      <c r="D93" s="2291"/>
      <c r="E93" s="2296">
        <v>98007</v>
      </c>
      <c r="F93" s="2330">
        <v>98007</v>
      </c>
      <c r="G93" s="2296">
        <v>0</v>
      </c>
      <c r="H93" s="2296">
        <v>0</v>
      </c>
      <c r="I93" s="2296">
        <v>0</v>
      </c>
      <c r="J93" s="2465" t="s">
        <v>1813</v>
      </c>
    </row>
    <row r="94" spans="1:10" ht="51">
      <c r="A94" s="1782">
        <v>287475</v>
      </c>
      <c r="B94" s="2626">
        <v>705.27200000000005</v>
      </c>
      <c r="C94" s="2627" t="s">
        <v>1816</v>
      </c>
      <c r="D94" s="2291"/>
      <c r="E94" s="2296">
        <v>87669</v>
      </c>
      <c r="F94" s="2330">
        <v>87669</v>
      </c>
      <c r="G94" s="2296">
        <v>0</v>
      </c>
      <c r="H94" s="2296">
        <v>0</v>
      </c>
      <c r="I94" s="2296">
        <v>0</v>
      </c>
      <c r="J94" s="2465" t="s">
        <v>1813</v>
      </c>
    </row>
    <row r="95" spans="1:10" ht="27.75" customHeight="1">
      <c r="A95" s="1782">
        <v>287476</v>
      </c>
      <c r="B95" s="2626">
        <v>705.27300000000002</v>
      </c>
      <c r="C95" s="2627" t="s">
        <v>1815</v>
      </c>
      <c r="D95" s="2291"/>
      <c r="E95" s="2296">
        <v>2558143</v>
      </c>
      <c r="F95" s="2330">
        <v>2558143</v>
      </c>
      <c r="G95" s="2296">
        <v>0</v>
      </c>
      <c r="H95" s="2296">
        <v>0</v>
      </c>
      <c r="I95" s="2296">
        <v>0</v>
      </c>
      <c r="J95" s="2465" t="s">
        <v>1813</v>
      </c>
    </row>
    <row r="96" spans="1:10" ht="15.75" customHeight="1">
      <c r="A96" s="1782">
        <v>287477</v>
      </c>
      <c r="B96" s="2626">
        <v>705.274</v>
      </c>
      <c r="C96" s="2627" t="s">
        <v>1814</v>
      </c>
      <c r="D96" s="2291"/>
      <c r="E96" s="2296">
        <v>57733</v>
      </c>
      <c r="F96" s="2330">
        <v>57733</v>
      </c>
      <c r="G96" s="2296">
        <v>0</v>
      </c>
      <c r="H96" s="2296">
        <v>0</v>
      </c>
      <c r="I96" s="2296">
        <v>0</v>
      </c>
      <c r="J96" s="2465" t="s">
        <v>1813</v>
      </c>
    </row>
    <row r="97" spans="1:11" ht="51">
      <c r="A97" s="1782">
        <v>287478</v>
      </c>
      <c r="B97" s="2626">
        <v>705.27499999999998</v>
      </c>
      <c r="C97" s="2627" t="s">
        <v>1812</v>
      </c>
      <c r="D97" s="2291"/>
      <c r="E97" s="2296">
        <v>214116</v>
      </c>
      <c r="F97" s="2330">
        <v>214116</v>
      </c>
      <c r="G97" s="2296">
        <v>0</v>
      </c>
      <c r="H97" s="2296">
        <v>0</v>
      </c>
      <c r="I97" s="2296">
        <v>0</v>
      </c>
      <c r="J97" s="2465" t="s">
        <v>1177</v>
      </c>
    </row>
    <row r="98" spans="1:11" ht="38.25">
      <c r="A98" s="1782">
        <v>287486</v>
      </c>
      <c r="B98" s="2626">
        <v>415.92599999999999</v>
      </c>
      <c r="C98" s="2627" t="s">
        <v>1662</v>
      </c>
      <c r="D98" s="2291"/>
      <c r="E98" s="2296">
        <v>1098152</v>
      </c>
      <c r="F98" s="2330">
        <v>1098152</v>
      </c>
      <c r="G98" s="2296">
        <v>0</v>
      </c>
      <c r="H98" s="2296">
        <v>0</v>
      </c>
      <c r="I98" s="2296">
        <v>0</v>
      </c>
      <c r="J98" s="2465" t="s">
        <v>1663</v>
      </c>
    </row>
    <row r="99" spans="1:11" ht="38.25">
      <c r="A99" s="1782">
        <v>287487</v>
      </c>
      <c r="B99" s="2626">
        <v>415.92700000000002</v>
      </c>
      <c r="C99" s="2462" t="s">
        <v>1662</v>
      </c>
      <c r="D99" s="2291"/>
      <c r="E99" s="2296">
        <v>-2523</v>
      </c>
      <c r="F99" s="2330">
        <v>-2523</v>
      </c>
      <c r="G99" s="2296">
        <v>0</v>
      </c>
      <c r="H99" s="2296">
        <v>0</v>
      </c>
      <c r="I99" s="2296">
        <v>0</v>
      </c>
      <c r="J99" s="1785" t="s">
        <v>1664</v>
      </c>
    </row>
    <row r="100" spans="1:11" ht="12.75">
      <c r="A100" s="1779" t="s">
        <v>1429</v>
      </c>
      <c r="B100" s="2626"/>
      <c r="C100" s="2462"/>
      <c r="D100" s="2291"/>
      <c r="E100" s="2296">
        <v>0</v>
      </c>
      <c r="F100" s="2330">
        <v>0</v>
      </c>
      <c r="G100" s="2296">
        <v>0</v>
      </c>
      <c r="H100" s="2296">
        <v>0</v>
      </c>
      <c r="I100" s="2296">
        <v>0</v>
      </c>
      <c r="J100" s="1785"/>
      <c r="K100" s="2292" t="s">
        <v>225</v>
      </c>
    </row>
    <row r="101" spans="1:11" ht="12.75">
      <c r="A101" s="1782">
        <v>287280</v>
      </c>
      <c r="B101" s="2630" t="s">
        <v>1430</v>
      </c>
      <c r="C101" s="2462"/>
      <c r="D101" s="2291"/>
      <c r="E101" s="2296">
        <v>310658</v>
      </c>
      <c r="F101" s="2330">
        <v>310658</v>
      </c>
      <c r="G101" s="2296">
        <v>0</v>
      </c>
      <c r="H101" s="2296">
        <v>0</v>
      </c>
      <c r="I101" s="2296">
        <v>0</v>
      </c>
      <c r="J101" s="1785" t="s">
        <v>1811</v>
      </c>
    </row>
    <row r="102" spans="1:11" ht="64.5" customHeight="1">
      <c r="A102" s="1782">
        <v>287437</v>
      </c>
      <c r="B102" s="2630" t="s">
        <v>1431</v>
      </c>
      <c r="C102" s="2462"/>
      <c r="D102" s="2291"/>
      <c r="E102" s="2296">
        <v>79743358</v>
      </c>
      <c r="F102" s="2330">
        <v>79743358</v>
      </c>
      <c r="G102" s="2296">
        <v>0</v>
      </c>
      <c r="H102" s="2296">
        <v>0</v>
      </c>
      <c r="I102" s="2296">
        <v>0</v>
      </c>
      <c r="J102" s="1785" t="s">
        <v>1810</v>
      </c>
    </row>
    <row r="103" spans="1:11" ht="25.5">
      <c r="A103" s="1782">
        <v>287449</v>
      </c>
      <c r="B103" s="2630" t="s">
        <v>1432</v>
      </c>
      <c r="C103" s="2462"/>
      <c r="D103" s="2291"/>
      <c r="E103" s="2296">
        <v>-28018906</v>
      </c>
      <c r="F103" s="2330">
        <v>-28018906</v>
      </c>
      <c r="G103" s="2296">
        <v>0</v>
      </c>
      <c r="H103" s="2296">
        <v>0</v>
      </c>
      <c r="I103" s="2296">
        <v>0</v>
      </c>
      <c r="J103" s="1785" t="s">
        <v>1809</v>
      </c>
    </row>
    <row r="104" spans="1:11" ht="25.5">
      <c r="A104" s="1782">
        <v>287371</v>
      </c>
      <c r="B104" s="2630" t="s">
        <v>1433</v>
      </c>
      <c r="C104" s="2462"/>
      <c r="D104" s="2291"/>
      <c r="E104" s="2296">
        <v>2104918</v>
      </c>
      <c r="F104" s="2330">
        <v>2104918</v>
      </c>
      <c r="G104" s="2296">
        <v>0</v>
      </c>
      <c r="H104" s="2296">
        <v>0</v>
      </c>
      <c r="I104" s="2296">
        <v>0</v>
      </c>
      <c r="J104" s="2466" t="s">
        <v>1580</v>
      </c>
    </row>
    <row r="105" spans="1:11" ht="40.5" customHeight="1">
      <c r="A105" s="1782">
        <v>287491</v>
      </c>
      <c r="B105" s="2630" t="s">
        <v>1434</v>
      </c>
      <c r="C105" s="2462"/>
      <c r="D105" s="2291"/>
      <c r="E105" s="2296">
        <v>2136632</v>
      </c>
      <c r="F105" s="2330">
        <v>2136632</v>
      </c>
      <c r="G105" s="2296">
        <v>0</v>
      </c>
      <c r="H105" s="2296">
        <v>0</v>
      </c>
      <c r="I105" s="2296">
        <v>0</v>
      </c>
      <c r="J105" s="1785" t="s">
        <v>1808</v>
      </c>
    </row>
    <row r="106" spans="1:11" ht="39" customHeight="1">
      <c r="A106" s="1782">
        <v>287497</v>
      </c>
      <c r="B106" s="2630" t="s">
        <v>1435</v>
      </c>
      <c r="C106" s="2462"/>
      <c r="D106" s="2291"/>
      <c r="E106" s="2296">
        <v>837770</v>
      </c>
      <c r="F106" s="2330">
        <v>837770</v>
      </c>
      <c r="G106" s="2296">
        <v>0</v>
      </c>
      <c r="H106" s="2296">
        <v>0</v>
      </c>
      <c r="I106" s="2296">
        <v>0</v>
      </c>
      <c r="J106" s="2466" t="s">
        <v>1581</v>
      </c>
    </row>
    <row r="107" spans="1:11" ht="12.75">
      <c r="A107" s="1782">
        <v>287494</v>
      </c>
      <c r="B107" s="2630" t="s">
        <v>1436</v>
      </c>
      <c r="C107" s="2462"/>
      <c r="D107" s="2291"/>
      <c r="E107" s="2296">
        <v>11489339</v>
      </c>
      <c r="F107" s="2330">
        <v>11489339</v>
      </c>
      <c r="G107" s="2296">
        <v>0</v>
      </c>
      <c r="H107" s="2296">
        <v>0</v>
      </c>
      <c r="I107" s="2296">
        <v>0</v>
      </c>
      <c r="J107" s="1785" t="s">
        <v>1807</v>
      </c>
    </row>
    <row r="108" spans="1:11" ht="53.25" customHeight="1">
      <c r="A108" s="1782">
        <v>287269</v>
      </c>
      <c r="B108" s="2630" t="s">
        <v>1437</v>
      </c>
      <c r="C108" s="2462"/>
      <c r="D108" s="2291"/>
      <c r="E108" s="2296">
        <v>181414</v>
      </c>
      <c r="F108" s="2330">
        <v>181414</v>
      </c>
      <c r="G108" s="2296">
        <v>0</v>
      </c>
      <c r="H108" s="2296">
        <v>0</v>
      </c>
      <c r="I108" s="2296">
        <v>0</v>
      </c>
      <c r="J108" s="1785" t="s">
        <v>1806</v>
      </c>
    </row>
    <row r="109" spans="1:11" ht="12.75">
      <c r="A109" s="1782">
        <v>287275</v>
      </c>
      <c r="B109" s="2630" t="s">
        <v>1438</v>
      </c>
      <c r="C109" s="2462"/>
      <c r="D109" s="2291"/>
      <c r="E109" s="2296">
        <v>0</v>
      </c>
      <c r="F109" s="2330">
        <v>0</v>
      </c>
      <c r="G109" s="2296">
        <v>0</v>
      </c>
      <c r="H109" s="2296">
        <v>0</v>
      </c>
      <c r="I109" s="2296">
        <v>0</v>
      </c>
      <c r="J109" s="1785" t="s">
        <v>1805</v>
      </c>
    </row>
    <row r="110" spans="1:11" ht="12.75">
      <c r="A110" s="1782">
        <v>287281</v>
      </c>
      <c r="B110" s="2630" t="s">
        <v>1439</v>
      </c>
      <c r="C110" s="2462"/>
      <c r="D110" s="2291"/>
      <c r="E110" s="2296">
        <v>316327</v>
      </c>
      <c r="F110" s="2330">
        <v>316327</v>
      </c>
      <c r="G110" s="2296">
        <v>0</v>
      </c>
      <c r="H110" s="2296">
        <v>0</v>
      </c>
      <c r="I110" s="2296">
        <v>0</v>
      </c>
      <c r="J110" s="1785" t="s">
        <v>1804</v>
      </c>
    </row>
    <row r="111" spans="1:11" ht="12.75">
      <c r="A111" s="1782"/>
      <c r="B111" s="2626"/>
      <c r="C111" s="2462"/>
      <c r="D111" s="2291"/>
      <c r="E111" s="2296">
        <v>0</v>
      </c>
      <c r="F111" s="2330">
        <v>0</v>
      </c>
      <c r="G111" s="2296">
        <v>0</v>
      </c>
      <c r="H111" s="2296">
        <v>0</v>
      </c>
      <c r="I111" s="2296">
        <v>0</v>
      </c>
      <c r="J111" s="1785"/>
    </row>
    <row r="112" spans="1:11" ht="41.25" customHeight="1">
      <c r="A112" s="1779" t="s">
        <v>1440</v>
      </c>
      <c r="B112" s="2626"/>
      <c r="C112" s="2462"/>
      <c r="D112" s="2291"/>
      <c r="E112" s="2296">
        <v>0</v>
      </c>
      <c r="F112" s="2330">
        <v>0</v>
      </c>
      <c r="G112" s="2296">
        <v>0</v>
      </c>
      <c r="H112" s="2296">
        <v>0</v>
      </c>
      <c r="I112" s="2296">
        <v>0</v>
      </c>
      <c r="J112" s="1785"/>
    </row>
    <row r="113" spans="1:10" ht="41.25" customHeight="1">
      <c r="A113" s="1782">
        <v>287970</v>
      </c>
      <c r="B113" s="2630">
        <v>415.815</v>
      </c>
      <c r="C113" s="2627" t="s">
        <v>1803</v>
      </c>
      <c r="D113" s="2291"/>
      <c r="E113" s="2296">
        <v>0</v>
      </c>
      <c r="F113" s="2330">
        <v>0</v>
      </c>
      <c r="G113" s="2296">
        <v>0</v>
      </c>
      <c r="H113" s="2296">
        <v>0</v>
      </c>
      <c r="I113" s="2296">
        <v>0</v>
      </c>
      <c r="J113" s="1785" t="s">
        <v>1665</v>
      </c>
    </row>
    <row r="114" spans="1:10" ht="41.25" customHeight="1">
      <c r="A114" s="1782">
        <v>287498</v>
      </c>
      <c r="B114" s="2630">
        <v>425.14</v>
      </c>
      <c r="C114" s="2462" t="s">
        <v>1441</v>
      </c>
      <c r="D114" s="2291"/>
      <c r="E114" s="2296">
        <v>0</v>
      </c>
      <c r="F114" s="2330">
        <v>0</v>
      </c>
      <c r="G114" s="2296">
        <v>0</v>
      </c>
      <c r="H114" s="2296">
        <v>0</v>
      </c>
      <c r="I114" s="2296">
        <v>0</v>
      </c>
      <c r="J114" s="1785" t="s">
        <v>1205</v>
      </c>
    </row>
    <row r="115" spans="1:10" ht="39.75" customHeight="1">
      <c r="A115" s="1782">
        <v>287341</v>
      </c>
      <c r="B115" s="2630">
        <v>910.53</v>
      </c>
      <c r="C115" s="2462" t="s">
        <v>1442</v>
      </c>
      <c r="D115" s="2291"/>
      <c r="E115" s="2296">
        <v>0</v>
      </c>
      <c r="F115" s="2330">
        <v>0</v>
      </c>
      <c r="G115" s="2296">
        <v>0</v>
      </c>
      <c r="H115" s="2296">
        <v>0</v>
      </c>
      <c r="I115" s="2296">
        <v>0</v>
      </c>
      <c r="J115" s="1785" t="s">
        <v>1190</v>
      </c>
    </row>
    <row r="116" spans="1:10" ht="41.25" customHeight="1">
      <c r="A116" s="1782"/>
      <c r="B116" s="2630"/>
      <c r="C116" s="2462"/>
      <c r="D116" s="2291"/>
      <c r="E116" s="2296">
        <v>0</v>
      </c>
      <c r="F116" s="2330">
        <v>0</v>
      </c>
      <c r="G116" s="2296">
        <v>0</v>
      </c>
      <c r="H116" s="2296">
        <v>0</v>
      </c>
      <c r="I116" s="2296">
        <v>0</v>
      </c>
      <c r="J116" s="1785"/>
    </row>
    <row r="117" spans="1:10" ht="41.25" customHeight="1">
      <c r="A117" s="1779" t="s">
        <v>1443</v>
      </c>
      <c r="B117" s="2626"/>
      <c r="C117" s="2462"/>
      <c r="D117" s="2291"/>
      <c r="E117" s="2296">
        <v>0</v>
      </c>
      <c r="F117" s="2330">
        <v>0</v>
      </c>
      <c r="G117" s="2296">
        <v>0</v>
      </c>
      <c r="H117" s="2296">
        <v>0</v>
      </c>
      <c r="I117" s="2296">
        <v>0</v>
      </c>
      <c r="J117" s="1785"/>
    </row>
    <row r="118" spans="1:10" ht="25.5">
      <c r="A118" s="1782">
        <v>287339</v>
      </c>
      <c r="B118" s="2630">
        <v>105.4</v>
      </c>
      <c r="C118" s="2462" t="s">
        <v>565</v>
      </c>
      <c r="D118" s="2291"/>
      <c r="E118" s="2296">
        <v>77524010</v>
      </c>
      <c r="F118" s="2330">
        <v>77524010</v>
      </c>
      <c r="G118" s="2296">
        <v>0</v>
      </c>
      <c r="H118" s="2296">
        <v>0</v>
      </c>
      <c r="I118" s="2296">
        <v>0</v>
      </c>
      <c r="J118" s="1785" t="s">
        <v>1189</v>
      </c>
    </row>
    <row r="119" spans="1:10" ht="12.75">
      <c r="A119" s="1782"/>
      <c r="B119" s="2626"/>
      <c r="C119" s="2462"/>
      <c r="D119" s="2291"/>
      <c r="E119" s="2296">
        <v>0</v>
      </c>
      <c r="F119" s="2330">
        <v>0</v>
      </c>
      <c r="G119" s="2296">
        <v>0</v>
      </c>
      <c r="H119" s="2296">
        <v>0</v>
      </c>
      <c r="I119" s="2296">
        <v>0</v>
      </c>
      <c r="J119" s="1785"/>
    </row>
    <row r="120" spans="1:10" ht="12.75">
      <c r="A120" s="1779" t="s">
        <v>562</v>
      </c>
      <c r="B120" s="2461"/>
      <c r="C120" s="2462"/>
      <c r="D120" s="2291"/>
      <c r="E120" s="2296">
        <v>0</v>
      </c>
      <c r="F120" s="2330">
        <v>0</v>
      </c>
      <c r="G120" s="2296">
        <v>0</v>
      </c>
      <c r="H120" s="2296">
        <v>0</v>
      </c>
      <c r="I120" s="2296">
        <v>0</v>
      </c>
      <c r="J120" s="1785"/>
    </row>
    <row r="121" spans="1:10" ht="12.75">
      <c r="A121" s="1782">
        <v>287210</v>
      </c>
      <c r="B121" s="2626">
        <v>505.11500000000001</v>
      </c>
      <c r="C121" s="2627" t="s">
        <v>1802</v>
      </c>
      <c r="D121" s="2291"/>
      <c r="E121" s="2296">
        <v>95248</v>
      </c>
      <c r="F121" s="2330">
        <v>95248</v>
      </c>
      <c r="G121" s="2296">
        <v>0</v>
      </c>
      <c r="H121" s="2296">
        <v>0</v>
      </c>
      <c r="I121" s="2296">
        <v>0</v>
      </c>
      <c r="J121" s="2465" t="s">
        <v>1801</v>
      </c>
    </row>
    <row r="122" spans="1:10" ht="12.75">
      <c r="A122" s="1782">
        <v>287211</v>
      </c>
      <c r="B122" s="2626">
        <v>425.226</v>
      </c>
      <c r="C122" s="2627" t="s">
        <v>1800</v>
      </c>
      <c r="D122" s="2291"/>
      <c r="E122" s="2296">
        <v>158129</v>
      </c>
      <c r="F122" s="2330">
        <v>158129</v>
      </c>
      <c r="G122" s="2296">
        <v>0</v>
      </c>
      <c r="H122" s="2296">
        <v>0</v>
      </c>
      <c r="I122" s="2296">
        <v>0</v>
      </c>
      <c r="J122" s="2465" t="s">
        <v>1799</v>
      </c>
    </row>
    <row r="123" spans="1:10" ht="12.75">
      <c r="A123" s="1782">
        <v>287214</v>
      </c>
      <c r="B123" s="2626">
        <v>910.245</v>
      </c>
      <c r="C123" s="2627" t="s">
        <v>1798</v>
      </c>
      <c r="D123" s="2291"/>
      <c r="E123" s="2296">
        <v>1753017</v>
      </c>
      <c r="F123" s="2330">
        <v>1753017</v>
      </c>
      <c r="G123" s="2296">
        <v>0</v>
      </c>
      <c r="H123" s="2296">
        <v>0</v>
      </c>
      <c r="I123" s="2296">
        <v>0</v>
      </c>
      <c r="J123" s="2465" t="s">
        <v>1797</v>
      </c>
    </row>
    <row r="124" spans="1:10" ht="12.75">
      <c r="A124" s="1782">
        <v>287216</v>
      </c>
      <c r="B124" s="2626">
        <v>605.71500000000003</v>
      </c>
      <c r="C124" s="2627" t="s">
        <v>1796</v>
      </c>
      <c r="D124" s="2291"/>
      <c r="E124" s="2296">
        <v>2250758</v>
      </c>
      <c r="F124" s="2330">
        <v>2250758</v>
      </c>
      <c r="G124" s="2296">
        <v>0</v>
      </c>
      <c r="H124" s="2296">
        <v>0</v>
      </c>
      <c r="I124" s="2296">
        <v>0</v>
      </c>
      <c r="J124" s="2465" t="s">
        <v>1795</v>
      </c>
    </row>
    <row r="125" spans="1:10" ht="12.75">
      <c r="A125" s="1782">
        <v>287217</v>
      </c>
      <c r="B125" s="2626">
        <v>910.93700000000001</v>
      </c>
      <c r="C125" s="2627" t="s">
        <v>1794</v>
      </c>
      <c r="D125" s="2291"/>
      <c r="E125" s="2296">
        <v>0</v>
      </c>
      <c r="F125" s="2330">
        <v>0</v>
      </c>
      <c r="G125" s="2296">
        <v>0</v>
      </c>
      <c r="H125" s="2296">
        <v>0</v>
      </c>
      <c r="I125" s="2296">
        <v>0</v>
      </c>
      <c r="J125" s="2465" t="s">
        <v>1793</v>
      </c>
    </row>
    <row r="126" spans="1:10" ht="25.5">
      <c r="A126" s="1782">
        <v>287218</v>
      </c>
      <c r="B126" s="2626">
        <v>715.80499999999995</v>
      </c>
      <c r="C126" s="2627" t="s">
        <v>1792</v>
      </c>
      <c r="D126" s="2291"/>
      <c r="E126" s="2296">
        <v>570811</v>
      </c>
      <c r="F126" s="2330">
        <v>570811</v>
      </c>
      <c r="G126" s="2296">
        <v>0</v>
      </c>
      <c r="H126" s="2296">
        <v>0</v>
      </c>
      <c r="I126" s="2296">
        <v>0</v>
      </c>
      <c r="J126" s="2465" t="s">
        <v>1781</v>
      </c>
    </row>
    <row r="127" spans="1:10" ht="25.5">
      <c r="A127" s="1782">
        <v>287219</v>
      </c>
      <c r="B127" s="2626">
        <v>715.81</v>
      </c>
      <c r="C127" s="2627" t="s">
        <v>1791</v>
      </c>
      <c r="D127" s="2291"/>
      <c r="E127" s="2296">
        <v>331401</v>
      </c>
      <c r="F127" s="2330">
        <v>331401</v>
      </c>
      <c r="G127" s="2296">
        <v>0</v>
      </c>
      <c r="H127" s="2296">
        <v>0</v>
      </c>
      <c r="I127" s="2296">
        <v>0</v>
      </c>
      <c r="J127" s="2465" t="s">
        <v>1783</v>
      </c>
    </row>
    <row r="128" spans="1:10" ht="25.5">
      <c r="A128" s="1782">
        <v>287240</v>
      </c>
      <c r="B128" s="2626">
        <v>605.30100000000004</v>
      </c>
      <c r="C128" s="2462" t="s">
        <v>1449</v>
      </c>
      <c r="D128" s="2291"/>
      <c r="E128" s="2296">
        <v>9924217</v>
      </c>
      <c r="F128" s="2330">
        <v>9924217</v>
      </c>
      <c r="G128" s="2296">
        <v>0</v>
      </c>
      <c r="H128" s="2296">
        <v>0</v>
      </c>
      <c r="I128" s="2296">
        <v>0</v>
      </c>
      <c r="J128" s="2465" t="s">
        <v>1179</v>
      </c>
    </row>
    <row r="129" spans="1:10" ht="25.5">
      <c r="A129" s="1782">
        <v>287241</v>
      </c>
      <c r="B129" s="2626">
        <v>605.30200000000002</v>
      </c>
      <c r="C129" s="2462" t="s">
        <v>1450</v>
      </c>
      <c r="D129" s="2291"/>
      <c r="E129" s="2296">
        <v>1075282</v>
      </c>
      <c r="F129" s="2330">
        <v>1075282</v>
      </c>
      <c r="G129" s="2296">
        <v>0</v>
      </c>
      <c r="H129" s="2296">
        <v>0</v>
      </c>
      <c r="I129" s="2296">
        <v>0</v>
      </c>
      <c r="J129" s="1785" t="s">
        <v>1180</v>
      </c>
    </row>
    <row r="130" spans="1:10" ht="25.5">
      <c r="A130" s="1782">
        <v>287270</v>
      </c>
      <c r="B130" s="2626" t="s">
        <v>563</v>
      </c>
      <c r="C130" s="2627" t="s">
        <v>1790</v>
      </c>
      <c r="D130" s="2291"/>
      <c r="E130" s="2296">
        <v>-12229025</v>
      </c>
      <c r="F130" s="2330">
        <v>-12229025</v>
      </c>
      <c r="G130" s="2296">
        <v>0</v>
      </c>
      <c r="H130" s="2296">
        <v>0</v>
      </c>
      <c r="I130" s="2296">
        <v>0</v>
      </c>
      <c r="J130" s="2465" t="s">
        <v>1789</v>
      </c>
    </row>
    <row r="131" spans="1:10" ht="51">
      <c r="A131" s="1782">
        <v>287289</v>
      </c>
      <c r="B131" s="2626">
        <v>425.13</v>
      </c>
      <c r="C131" s="2462" t="s">
        <v>1451</v>
      </c>
      <c r="D131" s="2291"/>
      <c r="E131" s="2296">
        <v>0</v>
      </c>
      <c r="F131" s="2330">
        <v>0</v>
      </c>
      <c r="G131" s="2296">
        <v>0</v>
      </c>
      <c r="H131" s="2296">
        <v>0</v>
      </c>
      <c r="I131" s="2296">
        <v>0</v>
      </c>
      <c r="J131" s="1785" t="s">
        <v>1182</v>
      </c>
    </row>
    <row r="132" spans="1:10" ht="25.5">
      <c r="A132" s="1782">
        <v>287290</v>
      </c>
      <c r="B132" s="2626">
        <v>425.15</v>
      </c>
      <c r="C132" s="2462" t="s">
        <v>1452</v>
      </c>
      <c r="D132" s="2291"/>
      <c r="E132" s="2296">
        <v>390071</v>
      </c>
      <c r="F132" s="2330">
        <v>390071</v>
      </c>
      <c r="G132" s="2296">
        <v>0</v>
      </c>
      <c r="H132" s="2296">
        <v>0</v>
      </c>
      <c r="I132" s="2296">
        <v>0</v>
      </c>
      <c r="J132" s="1785" t="s">
        <v>1183</v>
      </c>
    </row>
    <row r="133" spans="1:10" ht="63.75">
      <c r="A133" s="1782">
        <v>287297</v>
      </c>
      <c r="B133" s="2626">
        <v>505.15499999999997</v>
      </c>
      <c r="C133" s="2462" t="s">
        <v>564</v>
      </c>
      <c r="D133" s="2291"/>
      <c r="E133" s="2296">
        <v>0</v>
      </c>
      <c r="F133" s="2296">
        <v>0</v>
      </c>
      <c r="G133" s="2296">
        <v>0</v>
      </c>
      <c r="H133" s="2296">
        <v>0</v>
      </c>
      <c r="I133" s="2296">
        <v>0</v>
      </c>
      <c r="J133" s="1785" t="s">
        <v>1184</v>
      </c>
    </row>
    <row r="134" spans="1:10" ht="25.5">
      <c r="A134" s="1782">
        <v>287298</v>
      </c>
      <c r="B134" s="2626">
        <v>205.21</v>
      </c>
      <c r="C134" s="2462" t="s">
        <v>1453</v>
      </c>
      <c r="D134" s="2291"/>
      <c r="E134" s="2296">
        <v>774200</v>
      </c>
      <c r="F134" s="2296">
        <v>774200</v>
      </c>
      <c r="G134" s="2296">
        <v>0</v>
      </c>
      <c r="H134" s="2296">
        <v>0</v>
      </c>
      <c r="I134" s="2296">
        <v>0</v>
      </c>
      <c r="J134" s="2465" t="s">
        <v>2069</v>
      </c>
    </row>
    <row r="135" spans="1:10" ht="25.5">
      <c r="A135" s="1782">
        <v>287321</v>
      </c>
      <c r="B135" s="2626">
        <v>100.1</v>
      </c>
      <c r="C135" s="2462" t="s">
        <v>1185</v>
      </c>
      <c r="D135" s="2291"/>
      <c r="E135" s="2296">
        <v>5501768</v>
      </c>
      <c r="F135" s="2330">
        <v>5501768</v>
      </c>
      <c r="G135" s="2296">
        <v>0</v>
      </c>
      <c r="H135" s="2296">
        <v>0</v>
      </c>
      <c r="I135" s="2296">
        <v>0</v>
      </c>
      <c r="J135" s="1785" t="s">
        <v>1186</v>
      </c>
    </row>
    <row r="136" spans="1:10" ht="38.25">
      <c r="A136" s="1782">
        <v>287337</v>
      </c>
      <c r="B136" s="2626">
        <v>715.10500000000002</v>
      </c>
      <c r="C136" s="2462" t="s">
        <v>1454</v>
      </c>
      <c r="D136" s="2291"/>
      <c r="E136" s="2296">
        <v>211464</v>
      </c>
      <c r="F136" s="2330">
        <v>211464</v>
      </c>
      <c r="G136" s="2296">
        <v>0</v>
      </c>
      <c r="H136" s="2296">
        <v>0</v>
      </c>
      <c r="I136" s="2296">
        <v>0</v>
      </c>
      <c r="J136" s="1785" t="s">
        <v>1187</v>
      </c>
    </row>
    <row r="137" spans="1:10" ht="51">
      <c r="A137" s="1782">
        <v>287338</v>
      </c>
      <c r="B137" s="2626">
        <v>415.11</v>
      </c>
      <c r="C137" s="2462" t="s">
        <v>1455</v>
      </c>
      <c r="D137" s="2291"/>
      <c r="E137" s="2296">
        <v>135938</v>
      </c>
      <c r="F137" s="2330">
        <v>0</v>
      </c>
      <c r="G137" s="2296">
        <v>135938</v>
      </c>
      <c r="H137" s="2296">
        <v>0</v>
      </c>
      <c r="I137" s="2296">
        <v>0</v>
      </c>
      <c r="J137" s="1785" t="s">
        <v>1188</v>
      </c>
    </row>
    <row r="138" spans="1:10" ht="25.5">
      <c r="A138" s="1782">
        <v>287340</v>
      </c>
      <c r="B138" s="2626">
        <v>220.1</v>
      </c>
      <c r="C138" s="2627" t="s">
        <v>1788</v>
      </c>
      <c r="D138" s="2291"/>
      <c r="E138" s="2296">
        <v>2988505</v>
      </c>
      <c r="F138" s="2330">
        <v>2988505</v>
      </c>
      <c r="G138" s="2296">
        <v>0</v>
      </c>
      <c r="H138" s="2296">
        <v>0</v>
      </c>
      <c r="I138" s="2296">
        <v>0</v>
      </c>
      <c r="J138" s="2465" t="s">
        <v>1787</v>
      </c>
    </row>
    <row r="139" spans="1:10" s="437" customFormat="1" ht="25.5">
      <c r="A139" s="1782">
        <v>287343</v>
      </c>
      <c r="B139" s="2626">
        <v>415.12</v>
      </c>
      <c r="C139" s="2462" t="s">
        <v>1456</v>
      </c>
      <c r="D139" s="2291"/>
      <c r="E139" s="2296">
        <v>0</v>
      </c>
      <c r="F139" s="2296">
        <v>0</v>
      </c>
      <c r="G139" s="2296">
        <v>0</v>
      </c>
      <c r="H139" s="2296">
        <v>0</v>
      </c>
      <c r="I139" s="2296">
        <v>0</v>
      </c>
      <c r="J139" s="1785" t="s">
        <v>1191</v>
      </c>
    </row>
    <row r="140" spans="1:10" ht="38.25">
      <c r="A140" s="1782">
        <v>287344</v>
      </c>
      <c r="B140" s="2626">
        <v>715.8</v>
      </c>
      <c r="C140" s="2462" t="s">
        <v>566</v>
      </c>
      <c r="D140" s="2291"/>
      <c r="E140" s="2296">
        <v>0</v>
      </c>
      <c r="F140" s="2296">
        <v>0</v>
      </c>
      <c r="G140" s="2296">
        <v>0</v>
      </c>
      <c r="H140" s="2296">
        <v>0</v>
      </c>
      <c r="I140" s="2296">
        <v>0</v>
      </c>
      <c r="J140" s="1785" t="s">
        <v>1192</v>
      </c>
    </row>
    <row r="141" spans="1:10" ht="25.5">
      <c r="A141" s="1782">
        <v>287345</v>
      </c>
      <c r="B141" s="2626">
        <v>145.03</v>
      </c>
      <c r="C141" s="2462" t="s">
        <v>1457</v>
      </c>
      <c r="D141" s="2291"/>
      <c r="E141" s="2296">
        <v>0</v>
      </c>
      <c r="F141" s="2330">
        <v>0</v>
      </c>
      <c r="G141" s="2296">
        <v>0</v>
      </c>
      <c r="H141" s="2296">
        <v>0</v>
      </c>
      <c r="I141" s="2296">
        <v>0</v>
      </c>
      <c r="J141" s="1785" t="s">
        <v>1193</v>
      </c>
    </row>
    <row r="142" spans="1:10" ht="25.5">
      <c r="A142" s="1782">
        <v>287349</v>
      </c>
      <c r="B142" s="2626">
        <v>505.1</v>
      </c>
      <c r="C142" s="2627" t="s">
        <v>1447</v>
      </c>
      <c r="D142" s="2291"/>
      <c r="E142" s="2296">
        <v>0</v>
      </c>
      <c r="F142" s="2296">
        <v>0</v>
      </c>
      <c r="G142" s="2296">
        <v>0</v>
      </c>
      <c r="H142" s="2296">
        <v>0</v>
      </c>
      <c r="I142" s="2296">
        <v>0</v>
      </c>
      <c r="J142" s="2465" t="s">
        <v>1194</v>
      </c>
    </row>
    <row r="143" spans="1:10" ht="12.75">
      <c r="A143" s="1782">
        <v>287354</v>
      </c>
      <c r="B143" s="2626">
        <v>505.15</v>
      </c>
      <c r="C143" s="2627" t="s">
        <v>1448</v>
      </c>
      <c r="D143" s="2291"/>
      <c r="E143" s="2296">
        <v>2727850</v>
      </c>
      <c r="F143" s="2296">
        <v>2727850</v>
      </c>
      <c r="G143" s="2296">
        <v>0</v>
      </c>
      <c r="H143" s="2296">
        <v>0</v>
      </c>
      <c r="I143" s="2296">
        <v>0</v>
      </c>
      <c r="J143" s="2465" t="s">
        <v>1195</v>
      </c>
    </row>
    <row r="144" spans="1:10" ht="25.5">
      <c r="A144" s="1782">
        <v>287357</v>
      </c>
      <c r="B144" s="2626">
        <v>425.2</v>
      </c>
      <c r="C144" s="2462" t="s">
        <v>1458</v>
      </c>
      <c r="D144" s="2291"/>
      <c r="E144" s="2296">
        <v>0</v>
      </c>
      <c r="F144" s="2330">
        <v>0</v>
      </c>
      <c r="G144" s="2296">
        <v>0</v>
      </c>
      <c r="H144" s="2296">
        <v>0</v>
      </c>
      <c r="I144" s="2296">
        <v>0</v>
      </c>
      <c r="J144" s="1785" t="s">
        <v>1196</v>
      </c>
    </row>
    <row r="145" spans="1:10" ht="12.75">
      <c r="A145" s="1782">
        <v>287370</v>
      </c>
      <c r="B145" s="2626">
        <v>425.21499999999997</v>
      </c>
      <c r="C145" s="2462" t="s">
        <v>1459</v>
      </c>
      <c r="D145" s="2291"/>
      <c r="E145" s="2296">
        <v>1100625</v>
      </c>
      <c r="F145" s="2330">
        <v>1100625</v>
      </c>
      <c r="G145" s="2296">
        <v>0</v>
      </c>
      <c r="H145" s="2296">
        <v>0</v>
      </c>
      <c r="I145" s="2296">
        <v>0</v>
      </c>
      <c r="J145" s="1785" t="s">
        <v>1197</v>
      </c>
    </row>
    <row r="146" spans="1:10" ht="25.5">
      <c r="A146" s="1782">
        <v>287391</v>
      </c>
      <c r="B146" s="2626">
        <v>425.32</v>
      </c>
      <c r="C146" s="2627" t="s">
        <v>1446</v>
      </c>
      <c r="D146" s="2291"/>
      <c r="E146" s="2296">
        <v>9410239</v>
      </c>
      <c r="F146" s="2330">
        <v>9410239</v>
      </c>
      <c r="G146" s="2296">
        <v>0</v>
      </c>
      <c r="H146" s="2296">
        <v>0</v>
      </c>
      <c r="I146" s="2296">
        <v>0</v>
      </c>
      <c r="J146" s="2465" t="s">
        <v>1786</v>
      </c>
    </row>
    <row r="147" spans="1:10" ht="25.5">
      <c r="A147" s="1782">
        <v>287392</v>
      </c>
      <c r="B147" s="2626">
        <v>425.12</v>
      </c>
      <c r="C147" s="2462" t="s">
        <v>567</v>
      </c>
      <c r="D147" s="2291"/>
      <c r="E147" s="2296">
        <v>6395892</v>
      </c>
      <c r="F147" s="2330">
        <v>6395892</v>
      </c>
      <c r="G147" s="2296">
        <v>0</v>
      </c>
      <c r="H147" s="2296">
        <v>0</v>
      </c>
      <c r="I147" s="2296">
        <v>0</v>
      </c>
      <c r="J147" s="1785" t="s">
        <v>1199</v>
      </c>
    </row>
    <row r="148" spans="1:10" ht="38.25">
      <c r="A148" s="1782">
        <v>287393</v>
      </c>
      <c r="B148" s="2626">
        <v>425.11</v>
      </c>
      <c r="C148" s="2462" t="s">
        <v>1666</v>
      </c>
      <c r="D148" s="2291"/>
      <c r="E148" s="2296">
        <v>303841</v>
      </c>
      <c r="F148" s="2330">
        <v>303841</v>
      </c>
      <c r="G148" s="2296">
        <v>0</v>
      </c>
      <c r="H148" s="2296">
        <v>0</v>
      </c>
      <c r="I148" s="2296">
        <v>0</v>
      </c>
      <c r="J148" s="1785" t="s">
        <v>1667</v>
      </c>
    </row>
    <row r="149" spans="1:10" ht="25.5">
      <c r="A149" s="1782">
        <v>287415</v>
      </c>
      <c r="B149" s="2626">
        <v>205.2</v>
      </c>
      <c r="C149" s="2627" t="s">
        <v>1445</v>
      </c>
      <c r="D149" s="2291"/>
      <c r="E149" s="2296">
        <v>1231523</v>
      </c>
      <c r="F149" s="2330">
        <v>1231523</v>
      </c>
      <c r="G149" s="2296">
        <v>0</v>
      </c>
      <c r="H149" s="2296">
        <v>0</v>
      </c>
      <c r="I149" s="2296">
        <v>0</v>
      </c>
      <c r="J149" s="2465" t="s">
        <v>1201</v>
      </c>
    </row>
    <row r="150" spans="1:10" ht="25.5">
      <c r="A150" s="1782">
        <v>287417</v>
      </c>
      <c r="B150" s="2626">
        <v>605.71</v>
      </c>
      <c r="C150" s="2462" t="s">
        <v>568</v>
      </c>
      <c r="D150" s="2291"/>
      <c r="E150" s="2296">
        <v>3231000</v>
      </c>
      <c r="F150" s="2330">
        <v>3231000</v>
      </c>
      <c r="G150" s="2296">
        <v>0</v>
      </c>
      <c r="H150" s="2296">
        <v>0</v>
      </c>
      <c r="I150" s="2296">
        <v>0</v>
      </c>
      <c r="J150" s="1785" t="s">
        <v>1202</v>
      </c>
    </row>
    <row r="151" spans="1:10" ht="25.5" customHeight="1">
      <c r="A151" s="1782">
        <v>287430</v>
      </c>
      <c r="B151" s="2626">
        <v>505.125</v>
      </c>
      <c r="C151" s="2627" t="s">
        <v>569</v>
      </c>
      <c r="D151" s="2291"/>
      <c r="E151" s="2296">
        <v>1349810</v>
      </c>
      <c r="F151" s="2330">
        <v>1349810</v>
      </c>
      <c r="G151" s="2296">
        <v>0</v>
      </c>
      <c r="H151" s="2296">
        <v>0</v>
      </c>
      <c r="I151" s="2296">
        <v>0</v>
      </c>
      <c r="J151" s="2465" t="s">
        <v>1785</v>
      </c>
    </row>
    <row r="152" spans="1:10" ht="38.25">
      <c r="A152" s="1782">
        <v>287479</v>
      </c>
      <c r="B152" s="2626">
        <v>105.221</v>
      </c>
      <c r="C152" s="2462" t="s">
        <v>1460</v>
      </c>
      <c r="D152" s="2291"/>
      <c r="E152" s="2296">
        <v>35895726</v>
      </c>
      <c r="F152" s="2330">
        <v>35895726</v>
      </c>
      <c r="G152" s="2296">
        <v>0</v>
      </c>
      <c r="H152" s="2296">
        <v>0</v>
      </c>
      <c r="I152" s="2296">
        <v>0</v>
      </c>
      <c r="J152" s="1785" t="s">
        <v>1203</v>
      </c>
    </row>
    <row r="153" spans="1:10" ht="25.5">
      <c r="A153" s="1782">
        <v>287482</v>
      </c>
      <c r="B153" s="2626">
        <v>205.02500000000001</v>
      </c>
      <c r="C153" s="2627" t="s">
        <v>1444</v>
      </c>
      <c r="D153" s="2291"/>
      <c r="E153" s="2296">
        <v>144815</v>
      </c>
      <c r="F153" s="2330">
        <v>144815</v>
      </c>
      <c r="G153" s="2296">
        <v>0</v>
      </c>
      <c r="H153" s="2296">
        <v>0</v>
      </c>
      <c r="I153" s="2296">
        <v>0</v>
      </c>
      <c r="J153" s="2465" t="s">
        <v>1204</v>
      </c>
    </row>
    <row r="154" spans="1:10" ht="38.25">
      <c r="A154" s="1782">
        <v>287489</v>
      </c>
      <c r="B154" s="2626">
        <v>910.51499999999999</v>
      </c>
      <c r="C154" s="2462" t="s">
        <v>1461</v>
      </c>
      <c r="D154" s="2291"/>
      <c r="E154" s="2296">
        <v>122716</v>
      </c>
      <c r="F154" s="2330">
        <v>122716</v>
      </c>
      <c r="G154" s="2296">
        <v>0</v>
      </c>
      <c r="H154" s="2296">
        <v>0</v>
      </c>
      <c r="I154" s="2296">
        <v>0</v>
      </c>
      <c r="J154" s="2466" t="s">
        <v>1582</v>
      </c>
    </row>
    <row r="155" spans="1:10" ht="12.75">
      <c r="A155" s="1782">
        <v>287807</v>
      </c>
      <c r="B155" s="2626" t="s">
        <v>563</v>
      </c>
      <c r="C155" s="2462" t="s">
        <v>1462</v>
      </c>
      <c r="D155" s="2291"/>
      <c r="E155" s="2296">
        <v>541711</v>
      </c>
      <c r="F155" s="2330">
        <v>541711</v>
      </c>
      <c r="G155" s="2296">
        <v>0</v>
      </c>
      <c r="H155" s="2296">
        <v>0</v>
      </c>
      <c r="I155" s="2296">
        <v>0</v>
      </c>
      <c r="J155" s="1785" t="s">
        <v>1206</v>
      </c>
    </row>
    <row r="156" spans="1:10" ht="12.75">
      <c r="A156" s="1782">
        <v>287817</v>
      </c>
      <c r="B156" s="2626" t="s">
        <v>563</v>
      </c>
      <c r="C156" s="2462" t="s">
        <v>1463</v>
      </c>
      <c r="D156" s="2291"/>
      <c r="E156" s="2296">
        <v>797414</v>
      </c>
      <c r="F156" s="2330">
        <v>797414</v>
      </c>
      <c r="G156" s="2296">
        <v>0</v>
      </c>
      <c r="H156" s="2296">
        <v>0</v>
      </c>
      <c r="I156" s="2296">
        <v>0</v>
      </c>
      <c r="J156" s="1785" t="s">
        <v>1207</v>
      </c>
    </row>
    <row r="157" spans="1:10" ht="12.75">
      <c r="A157" s="1782">
        <v>287827</v>
      </c>
      <c r="B157" s="2626" t="s">
        <v>563</v>
      </c>
      <c r="C157" s="2462" t="s">
        <v>1464</v>
      </c>
      <c r="D157" s="2291"/>
      <c r="E157" s="2296">
        <v>70269</v>
      </c>
      <c r="F157" s="2330">
        <v>70269</v>
      </c>
      <c r="G157" s="2296">
        <v>0</v>
      </c>
      <c r="H157" s="2296">
        <v>0</v>
      </c>
      <c r="I157" s="2296">
        <v>0</v>
      </c>
      <c r="J157" s="1785" t="s">
        <v>1208</v>
      </c>
    </row>
    <row r="158" spans="1:10" ht="12.75">
      <c r="A158" s="1782">
        <v>287837</v>
      </c>
      <c r="B158" s="2626" t="s">
        <v>563</v>
      </c>
      <c r="C158" s="2462" t="s">
        <v>1465</v>
      </c>
      <c r="D158" s="2291"/>
      <c r="E158" s="2296">
        <v>103438</v>
      </c>
      <c r="F158" s="2330">
        <v>103438</v>
      </c>
      <c r="G158" s="2296">
        <v>0</v>
      </c>
      <c r="H158" s="2296">
        <v>0</v>
      </c>
      <c r="I158" s="2296">
        <v>0</v>
      </c>
      <c r="J158" s="1785" t="s">
        <v>1209</v>
      </c>
    </row>
    <row r="159" spans="1:10" ht="12.75">
      <c r="A159" s="1782"/>
      <c r="B159" s="2626"/>
      <c r="C159" s="2462"/>
      <c r="D159" s="2291"/>
      <c r="E159" s="2296"/>
      <c r="F159" s="2330"/>
      <c r="G159" s="2296"/>
      <c r="H159" s="2296"/>
      <c r="I159" s="2296"/>
      <c r="J159" s="1785"/>
    </row>
    <row r="160" spans="1:10" ht="12.75" customHeight="1">
      <c r="A160" s="1782"/>
      <c r="B160" s="2626"/>
      <c r="C160" s="2462"/>
      <c r="D160" s="2291"/>
      <c r="E160" s="2296"/>
      <c r="F160" s="2330"/>
      <c r="G160" s="2296"/>
      <c r="H160" s="2296"/>
      <c r="I160" s="2296"/>
      <c r="J160" s="2289"/>
    </row>
    <row r="161" spans="1:11" ht="24.75" customHeight="1">
      <c r="A161" s="2338" t="s">
        <v>439</v>
      </c>
      <c r="B161" s="2303"/>
      <c r="C161" s="2332"/>
      <c r="D161" s="2333"/>
      <c r="E161" s="2296">
        <v>5</v>
      </c>
      <c r="F161" s="2296">
        <f>E161</f>
        <v>5</v>
      </c>
      <c r="G161" s="2167"/>
      <c r="H161" s="2167"/>
      <c r="I161" s="2167"/>
      <c r="J161" s="2334"/>
      <c r="K161" s="437"/>
    </row>
    <row r="162" spans="1:11" ht="12.75">
      <c r="A162" s="2313" t="s">
        <v>71</v>
      </c>
      <c r="B162" s="2314"/>
      <c r="C162" s="2303"/>
      <c r="D162" s="2304"/>
      <c r="E162" s="2306">
        <f>SUM(E32:E161)</f>
        <v>541859342</v>
      </c>
      <c r="F162" s="2306">
        <f>SUM(F32:F161)</f>
        <v>507204186</v>
      </c>
      <c r="G162" s="2306">
        <f>SUM(G32:G161)</f>
        <v>135938</v>
      </c>
      <c r="H162" s="2306">
        <f>SUM(H32:H161)</f>
        <v>0</v>
      </c>
      <c r="I162" s="2306">
        <f>SUM(I32:I161)</f>
        <v>34519218</v>
      </c>
      <c r="J162" s="2306"/>
      <c r="K162" s="437"/>
    </row>
    <row r="163" spans="1:11" ht="12.75">
      <c r="A163" s="2339" t="s">
        <v>198</v>
      </c>
      <c r="B163" s="2340"/>
      <c r="C163" s="2322"/>
      <c r="D163" s="2323"/>
      <c r="E163" s="1786">
        <f>+E71+E83+E135</f>
        <v>8489111</v>
      </c>
      <c r="F163" s="1786">
        <f>+F71+F83+F135</f>
        <v>8489111</v>
      </c>
      <c r="G163" s="1786">
        <f>+G71+G83+G135</f>
        <v>0</v>
      </c>
      <c r="H163" s="1786">
        <f>+H71+H83+H135</f>
        <v>0</v>
      </c>
      <c r="I163" s="1786">
        <f>+I71+I83+I135</f>
        <v>0</v>
      </c>
      <c r="J163" s="2308"/>
      <c r="K163" s="437"/>
    </row>
    <row r="164" spans="1:11" ht="12.75">
      <c r="A164" s="2341" t="s">
        <v>199</v>
      </c>
      <c r="B164" s="2342"/>
      <c r="C164" s="2335"/>
      <c r="D164" s="2336"/>
      <c r="E164" s="1786">
        <f>+E43</f>
        <v>4130208</v>
      </c>
      <c r="F164" s="1786">
        <f>+F43</f>
        <v>0</v>
      </c>
      <c r="G164" s="1786">
        <f>+G43</f>
        <v>0</v>
      </c>
      <c r="H164" s="1786">
        <f>+H43</f>
        <v>0</v>
      </c>
      <c r="I164" s="1786">
        <f>+I43</f>
        <v>4130208</v>
      </c>
      <c r="J164" s="2308"/>
      <c r="K164" s="437"/>
    </row>
    <row r="165" spans="1:11" ht="12.75">
      <c r="A165" s="2313" t="s">
        <v>282</v>
      </c>
      <c r="B165" s="2314"/>
      <c r="C165" s="2303"/>
      <c r="D165" s="2304"/>
      <c r="E165" s="2306">
        <f>+E162-E163-E164</f>
        <v>529240023</v>
      </c>
      <c r="F165" s="2306">
        <f>+F162-F163-F164</f>
        <v>498715075</v>
      </c>
      <c r="G165" s="2306">
        <f>+G162-G163-G164</f>
        <v>135938</v>
      </c>
      <c r="H165" s="2306">
        <f>+H162-H163-H164</f>
        <v>0</v>
      </c>
      <c r="I165" s="2306">
        <f>+I162-I163-I164</f>
        <v>30389010</v>
      </c>
      <c r="J165" s="2308"/>
      <c r="K165" s="437"/>
    </row>
    <row r="166" spans="1:11" ht="15">
      <c r="A166" s="1345"/>
      <c r="B166" s="1345"/>
      <c r="C166" s="1346"/>
      <c r="D166" s="1346"/>
      <c r="E166" s="1314"/>
      <c r="F166" s="1315"/>
      <c r="G166" s="1314"/>
      <c r="H166" s="1347"/>
      <c r="I166" s="1348"/>
      <c r="J166" s="1349"/>
      <c r="K166" s="437"/>
    </row>
    <row r="167" spans="1:11">
      <c r="A167" s="1345"/>
      <c r="B167" s="1345"/>
      <c r="C167" s="1791" t="s">
        <v>64</v>
      </c>
      <c r="D167" s="1792"/>
      <c r="E167" s="1792"/>
      <c r="F167" s="1793"/>
      <c r="G167" s="1794"/>
      <c r="H167" s="1795"/>
      <c r="I167" s="1349"/>
      <c r="J167" s="437"/>
      <c r="K167" s="437"/>
    </row>
    <row r="168" spans="1:11">
      <c r="A168" s="1345"/>
      <c r="B168" s="1345"/>
      <c r="C168" s="1316" t="s">
        <v>132</v>
      </c>
      <c r="D168" s="2410"/>
      <c r="E168" s="2410"/>
      <c r="F168" s="2410"/>
      <c r="G168" s="2410"/>
      <c r="H168" s="2411"/>
      <c r="I168" s="1350"/>
      <c r="J168" s="437"/>
      <c r="K168" s="437"/>
    </row>
    <row r="169" spans="1:11">
      <c r="A169" s="1345"/>
      <c r="B169" s="1345"/>
      <c r="C169" s="1316" t="s">
        <v>133</v>
      </c>
      <c r="D169" s="1314"/>
      <c r="E169" s="1314"/>
      <c r="F169" s="1314"/>
      <c r="G169" s="1348"/>
      <c r="H169" s="1351"/>
      <c r="I169" s="1349"/>
      <c r="J169" s="437"/>
      <c r="K169" s="437"/>
    </row>
    <row r="170" spans="1:11">
      <c r="A170" s="1345"/>
      <c r="B170" s="1345"/>
      <c r="C170" s="1316" t="s">
        <v>262</v>
      </c>
      <c r="D170" s="1314"/>
      <c r="E170" s="1314"/>
      <c r="F170" s="1314"/>
      <c r="G170" s="1348"/>
      <c r="H170" s="1351"/>
      <c r="I170" s="1350"/>
      <c r="J170" s="437"/>
      <c r="K170" s="437"/>
    </row>
    <row r="171" spans="1:11">
      <c r="A171" s="1345"/>
      <c r="B171" s="1345"/>
      <c r="C171" s="1316" t="s">
        <v>264</v>
      </c>
      <c r="D171" s="1314"/>
      <c r="E171" s="1314"/>
      <c r="F171" s="1314"/>
      <c r="G171" s="1348"/>
      <c r="H171" s="1351"/>
      <c r="I171" s="1349"/>
      <c r="J171" s="437"/>
      <c r="K171" s="437"/>
    </row>
    <row r="172" spans="1:11" ht="26.25" customHeight="1">
      <c r="A172" s="1345"/>
      <c r="B172" s="1345"/>
      <c r="C172" s="2662" t="s">
        <v>18</v>
      </c>
      <c r="D172" s="2663"/>
      <c r="E172" s="2663"/>
      <c r="F172" s="2663"/>
      <c r="G172" s="2663"/>
      <c r="H172" s="2664"/>
      <c r="I172" s="1349"/>
      <c r="J172" s="437"/>
      <c r="K172" s="437"/>
    </row>
    <row r="173" spans="1:11">
      <c r="A173" s="1345"/>
      <c r="B173" s="1345"/>
      <c r="C173" s="2625"/>
      <c r="D173" s="2625"/>
      <c r="E173" s="2625"/>
      <c r="F173" s="2625"/>
      <c r="G173" s="2625"/>
      <c r="H173" s="2625"/>
      <c r="I173" s="1349"/>
      <c r="J173" s="437"/>
      <c r="K173" s="437"/>
    </row>
    <row r="174" spans="1:11" ht="15">
      <c r="A174" s="1345"/>
      <c r="B174" s="1345"/>
      <c r="C174" s="1352"/>
      <c r="D174" s="1353"/>
      <c r="E174" s="1353"/>
      <c r="F174" s="1353"/>
      <c r="G174" s="1353"/>
      <c r="H174" s="1353"/>
      <c r="I174" s="1349"/>
      <c r="J174" s="437"/>
      <c r="K174" s="437"/>
    </row>
    <row r="175" spans="1:11" s="1343" customFormat="1" ht="12.75">
      <c r="A175" s="1354" t="s">
        <v>365</v>
      </c>
      <c r="B175" s="1354"/>
      <c r="C175" s="1355"/>
      <c r="D175" s="1355"/>
      <c r="E175" s="1355"/>
      <c r="F175" s="1355"/>
      <c r="G175" s="1355"/>
      <c r="H175" s="1355"/>
      <c r="I175" s="1355"/>
    </row>
    <row r="176" spans="1:11" s="1343" customFormat="1" ht="12.75">
      <c r="A176" s="1356"/>
      <c r="B176" s="1356"/>
      <c r="C176" s="1357"/>
      <c r="D176" s="1358"/>
      <c r="E176" s="1358"/>
      <c r="F176" s="1358"/>
      <c r="G176" s="1358"/>
      <c r="H176" s="1358"/>
      <c r="I176" s="1358"/>
    </row>
    <row r="177" spans="1:11" s="1343" customFormat="1" ht="12.75">
      <c r="A177" s="1359" t="s">
        <v>661</v>
      </c>
      <c r="B177" s="1359"/>
      <c r="C177" s="1360"/>
      <c r="D177" s="1360"/>
      <c r="E177" s="1360"/>
      <c r="F177" s="1360"/>
      <c r="G177" s="1360"/>
      <c r="H177" s="1360"/>
      <c r="I177" s="1360"/>
    </row>
    <row r="178" spans="1:11" s="1343" customFormat="1" ht="15">
      <c r="A178" s="1306" t="s">
        <v>662</v>
      </c>
      <c r="B178" s="1361"/>
      <c r="C178" s="1358"/>
      <c r="D178" s="1358"/>
      <c r="E178" s="1358"/>
      <c r="F178" s="1358"/>
      <c r="G178" s="1358"/>
      <c r="H178" s="1358"/>
      <c r="I178" s="1358"/>
    </row>
    <row r="179" spans="1:11" s="1343" customFormat="1" ht="12.75">
      <c r="A179" s="1362"/>
      <c r="B179" s="1362"/>
      <c r="C179" s="1339" t="s">
        <v>227</v>
      </c>
      <c r="D179" s="1340"/>
      <c r="E179" s="1339" t="s">
        <v>283</v>
      </c>
      <c r="F179" s="1339" t="s">
        <v>215</v>
      </c>
      <c r="G179" s="1339" t="s">
        <v>228</v>
      </c>
      <c r="H179" s="1339" t="s">
        <v>226</v>
      </c>
      <c r="I179" s="1339" t="s">
        <v>107</v>
      </c>
      <c r="J179" s="1339" t="s">
        <v>229</v>
      </c>
    </row>
    <row r="180" spans="1:11" s="1343" customFormat="1" ht="12.75">
      <c r="A180" s="1362"/>
      <c r="B180" s="1362"/>
      <c r="C180" s="1363"/>
      <c r="E180" s="1363"/>
      <c r="F180" s="1364" t="s">
        <v>257</v>
      </c>
      <c r="G180" s="1363"/>
      <c r="H180" s="1364"/>
      <c r="I180" s="1364"/>
      <c r="J180" s="1363"/>
    </row>
    <row r="181" spans="1:11" s="1343" customFormat="1" ht="15">
      <c r="A181" s="1306"/>
      <c r="B181" s="1362"/>
      <c r="C181" s="1365"/>
      <c r="E181" s="1364" t="s">
        <v>282</v>
      </c>
      <c r="F181" s="1364" t="s">
        <v>258</v>
      </c>
      <c r="G181" s="1364" t="s">
        <v>57</v>
      </c>
      <c r="H181" s="1364" t="s">
        <v>61</v>
      </c>
      <c r="I181" s="1364" t="s">
        <v>63</v>
      </c>
      <c r="J181" s="1363"/>
    </row>
    <row r="182" spans="1:11" s="1343" customFormat="1" ht="12.75">
      <c r="A182" s="1362"/>
      <c r="B182" s="1362"/>
      <c r="C182" s="1314"/>
      <c r="E182" s="1364"/>
      <c r="F182" s="1364" t="s">
        <v>62</v>
      </c>
      <c r="G182" s="1364" t="s">
        <v>62</v>
      </c>
      <c r="H182" s="1364" t="s">
        <v>62</v>
      </c>
      <c r="I182" s="1364" t="s">
        <v>62</v>
      </c>
      <c r="J182" s="1364" t="s">
        <v>208</v>
      </c>
    </row>
    <row r="183" spans="1:11" s="1343" customFormat="1" ht="12.75">
      <c r="A183" s="1796" t="s">
        <v>572</v>
      </c>
      <c r="B183" s="1797"/>
      <c r="C183" s="1798"/>
      <c r="D183" s="1798"/>
      <c r="E183" s="1799"/>
      <c r="F183" s="1800"/>
      <c r="G183" s="1800"/>
      <c r="H183" s="1800"/>
      <c r="I183" s="1800"/>
      <c r="J183" s="1801"/>
    </row>
    <row r="184" spans="1:11" s="1343" customFormat="1" ht="12.75">
      <c r="A184" s="2078" t="s">
        <v>438</v>
      </c>
      <c r="B184" s="1802"/>
      <c r="C184" s="1803"/>
      <c r="D184" s="1803"/>
      <c r="E184" s="1804"/>
      <c r="F184" s="1781"/>
      <c r="G184" s="1781"/>
      <c r="H184" s="1781"/>
      <c r="I184" s="1781"/>
      <c r="J184" s="1805"/>
    </row>
    <row r="185" spans="1:11" s="1343" customFormat="1" ht="12.75">
      <c r="A185" s="1782">
        <v>287960</v>
      </c>
      <c r="B185" s="1783" t="s">
        <v>563</v>
      </c>
      <c r="C185" s="1780" t="s">
        <v>573</v>
      </c>
      <c r="D185" s="1784"/>
      <c r="E185" s="1806">
        <v>-306993377</v>
      </c>
      <c r="F185" s="1786">
        <f>E185</f>
        <v>-306993377</v>
      </c>
      <c r="G185" s="1786">
        <v>0</v>
      </c>
      <c r="H185" s="1786">
        <v>0</v>
      </c>
      <c r="I185" s="1786">
        <v>0</v>
      </c>
      <c r="J185" s="1807" t="s">
        <v>1466</v>
      </c>
    </row>
    <row r="186" spans="1:11" s="1343" customFormat="1" ht="12.75">
      <c r="A186" s="2165"/>
      <c r="B186" s="1783"/>
      <c r="C186" s="1780"/>
      <c r="D186" s="1784"/>
      <c r="E186" s="1806"/>
      <c r="F186" s="1806"/>
      <c r="G186" s="1806"/>
      <c r="H186" s="1806"/>
      <c r="I186" s="1806"/>
      <c r="J186" s="1807"/>
    </row>
    <row r="187" spans="1:11" s="1343" customFormat="1" ht="12.75">
      <c r="A187" s="1808" t="s">
        <v>439</v>
      </c>
      <c r="B187" s="1809"/>
      <c r="C187" s="1809"/>
      <c r="D187" s="1810"/>
      <c r="E187" s="1806"/>
      <c r="F187" s="1806"/>
      <c r="G187" s="1806"/>
      <c r="H187" s="1806"/>
      <c r="I187" s="1806"/>
      <c r="J187" s="1788"/>
    </row>
    <row r="188" spans="1:11" s="1343" customFormat="1" ht="12.75">
      <c r="A188" s="1789" t="s">
        <v>1713</v>
      </c>
      <c r="B188" s="1790"/>
      <c r="C188" s="1787"/>
      <c r="D188" s="1811"/>
      <c r="E188" s="1812">
        <f>SUM(E185:E187)</f>
        <v>-306993377</v>
      </c>
      <c r="F188" s="1812">
        <f>SUM(F185:F187)</f>
        <v>-306993377</v>
      </c>
      <c r="G188" s="1812">
        <f>SUM(G185:G187)</f>
        <v>0</v>
      </c>
      <c r="H188" s="1812">
        <f>SUM(H185:H187)</f>
        <v>0</v>
      </c>
      <c r="I188" s="1812">
        <f>SUM(I185:I187)</f>
        <v>0</v>
      </c>
      <c r="J188" s="1800"/>
    </row>
    <row r="189" spans="1:11" s="1343" customFormat="1" ht="12.75">
      <c r="A189" s="1789" t="s">
        <v>198</v>
      </c>
      <c r="B189" s="1790"/>
      <c r="C189" s="1787"/>
      <c r="D189" s="1811"/>
      <c r="E189" s="1806"/>
      <c r="F189" s="1806"/>
      <c r="G189" s="1806"/>
      <c r="H189" s="1806"/>
      <c r="I189" s="1806"/>
      <c r="J189" s="1788"/>
    </row>
    <row r="190" spans="1:11" s="1343" customFormat="1" ht="12.75">
      <c r="A190" s="1789" t="s">
        <v>199</v>
      </c>
      <c r="B190" s="1790"/>
      <c r="C190" s="1787"/>
      <c r="D190" s="1811"/>
      <c r="E190" s="1806"/>
      <c r="F190" s="1806"/>
      <c r="G190" s="1806"/>
      <c r="H190" s="1806"/>
      <c r="I190" s="1806"/>
      <c r="J190" s="1788"/>
    </row>
    <row r="191" spans="1:11" s="1343" customFormat="1" ht="12.75">
      <c r="A191" s="1789" t="s">
        <v>282</v>
      </c>
      <c r="B191" s="1790"/>
      <c r="C191" s="1787"/>
      <c r="D191" s="1811"/>
      <c r="E191" s="1812">
        <f>+E188-E189-E190</f>
        <v>-306993377</v>
      </c>
      <c r="F191" s="1812">
        <f>+F188-F189-F190</f>
        <v>-306993377</v>
      </c>
      <c r="G191" s="1812">
        <f>+G188-G189-G190</f>
        <v>0</v>
      </c>
      <c r="H191" s="1812">
        <f>+H188-H189-H190</f>
        <v>0</v>
      </c>
      <c r="I191" s="1813">
        <f>+I188-I189-I190</f>
        <v>0</v>
      </c>
      <c r="J191" s="1788"/>
    </row>
    <row r="192" spans="1:11" ht="15">
      <c r="A192" s="1366"/>
      <c r="B192" s="1366"/>
      <c r="C192" s="1349"/>
      <c r="D192" s="1314"/>
      <c r="E192" s="1314"/>
      <c r="F192" s="1314"/>
      <c r="G192" s="1314"/>
      <c r="H192" s="1314"/>
      <c r="I192" s="1349"/>
      <c r="J192" s="437"/>
      <c r="K192" s="437"/>
    </row>
    <row r="193" spans="1:11" s="1343" customFormat="1" ht="12.75">
      <c r="A193" s="1310"/>
      <c r="B193" s="1310"/>
      <c r="C193" s="1814" t="s">
        <v>574</v>
      </c>
      <c r="D193" s="1815"/>
      <c r="E193" s="1816"/>
      <c r="F193" s="1816"/>
      <c r="G193" s="1817"/>
      <c r="H193" s="1818"/>
      <c r="I193" s="1358"/>
    </row>
    <row r="194" spans="1:11" s="1343" customFormat="1" ht="12.75">
      <c r="A194" s="1310"/>
      <c r="B194" s="1310"/>
      <c r="C194" s="2665" t="s">
        <v>132</v>
      </c>
      <c r="D194" s="2666"/>
      <c r="E194" s="2666"/>
      <c r="F194" s="2666"/>
      <c r="G194" s="2666"/>
      <c r="H194" s="2667"/>
      <c r="I194" s="1358"/>
    </row>
    <row r="195" spans="1:11" s="1343" customFormat="1" ht="12.75">
      <c r="A195" s="1310"/>
      <c r="B195" s="1310"/>
      <c r="C195" s="1316" t="s">
        <v>133</v>
      </c>
      <c r="D195" s="1311"/>
      <c r="E195" s="1321"/>
      <c r="F195" s="1321"/>
      <c r="G195" s="1313"/>
      <c r="H195" s="1317"/>
      <c r="I195" s="1358"/>
    </row>
    <row r="196" spans="1:11" s="1343" customFormat="1" ht="12.75">
      <c r="A196" s="1310"/>
      <c r="B196" s="1310"/>
      <c r="C196" s="1316" t="s">
        <v>262</v>
      </c>
      <c r="D196" s="1311"/>
      <c r="E196" s="1321"/>
      <c r="F196" s="1321"/>
      <c r="G196" s="1313"/>
      <c r="H196" s="1317"/>
      <c r="I196" s="1358"/>
    </row>
    <row r="197" spans="1:11" s="1343" customFormat="1" ht="12.75">
      <c r="A197" s="1310"/>
      <c r="B197" s="1310"/>
      <c r="C197" s="1316" t="s">
        <v>264</v>
      </c>
      <c r="D197" s="1311"/>
      <c r="E197" s="1321"/>
      <c r="F197" s="1321"/>
      <c r="G197" s="1313"/>
      <c r="H197" s="1317"/>
      <c r="I197" s="1358"/>
    </row>
    <row r="198" spans="1:11" s="1343" customFormat="1" ht="24.75" customHeight="1">
      <c r="A198" s="1310"/>
      <c r="B198" s="1310"/>
      <c r="C198" s="2662" t="s">
        <v>18</v>
      </c>
      <c r="D198" s="2663"/>
      <c r="E198" s="2663"/>
      <c r="F198" s="2663"/>
      <c r="G198" s="2663"/>
      <c r="H198" s="2664"/>
      <c r="I198" s="1819"/>
    </row>
    <row r="199" spans="1:11" s="1343" customFormat="1" ht="12.75">
      <c r="A199" s="1310"/>
      <c r="B199" s="1310"/>
      <c r="C199" s="2625"/>
      <c r="D199" s="2625"/>
      <c r="E199" s="2625"/>
      <c r="F199" s="2625"/>
      <c r="G199" s="2625"/>
      <c r="H199" s="2625"/>
      <c r="I199" s="1819"/>
    </row>
    <row r="200" spans="1:11" s="1343" customFormat="1" ht="12.75">
      <c r="A200" s="1310"/>
      <c r="B200" s="1310"/>
      <c r="C200" s="2625"/>
      <c r="D200" s="2625"/>
      <c r="E200" s="2625"/>
      <c r="F200" s="2625"/>
      <c r="G200" s="2625"/>
      <c r="H200" s="2625"/>
      <c r="I200" s="1819"/>
    </row>
    <row r="201" spans="1:11" s="1343" customFormat="1" ht="12.75">
      <c r="A201" s="1354" t="s">
        <v>365</v>
      </c>
      <c r="B201" s="1362"/>
      <c r="C201" s="1367"/>
      <c r="D201" s="1367"/>
      <c r="E201" s="1367"/>
      <c r="F201" s="1367"/>
      <c r="G201" s="1367"/>
      <c r="H201" s="1367"/>
      <c r="I201" s="1819"/>
    </row>
    <row r="202" spans="1:11" s="1343" customFormat="1" ht="12.75">
      <c r="A202" s="1356"/>
      <c r="B202" s="1362"/>
      <c r="C202" s="1367"/>
      <c r="D202" s="1367"/>
      <c r="E202" s="1367"/>
      <c r="F202" s="1367"/>
      <c r="G202" s="1367"/>
      <c r="H202" s="1367"/>
      <c r="I202" s="1819"/>
    </row>
    <row r="203" spans="1:11" s="1343" customFormat="1" ht="12.75">
      <c r="A203" s="1359" t="s">
        <v>661</v>
      </c>
      <c r="B203" s="1362"/>
      <c r="C203" s="1367"/>
      <c r="D203" s="1367"/>
      <c r="E203" s="1367"/>
      <c r="F203" s="1367"/>
      <c r="G203" s="1367"/>
      <c r="H203" s="1367"/>
      <c r="I203" s="1819"/>
    </row>
    <row r="204" spans="1:11" s="1343" customFormat="1" ht="12.75">
      <c r="A204" s="1362"/>
      <c r="B204" s="1362"/>
      <c r="C204" s="1367"/>
      <c r="D204" s="1367"/>
      <c r="E204" s="1367"/>
      <c r="F204" s="1367"/>
      <c r="G204" s="1367"/>
      <c r="H204" s="1367"/>
      <c r="I204" s="1819"/>
    </row>
    <row r="205" spans="1:11" ht="15.75">
      <c r="A205" s="1306" t="s">
        <v>542</v>
      </c>
      <c r="B205" s="1368"/>
      <c r="C205" s="1352"/>
      <c r="D205" s="1353"/>
      <c r="E205" s="1353"/>
      <c r="F205" s="1353"/>
      <c r="G205" s="1353"/>
      <c r="H205" s="1353"/>
      <c r="I205" s="1352"/>
      <c r="J205" s="437"/>
      <c r="K205" s="437"/>
    </row>
    <row r="206" spans="1:11" ht="15">
      <c r="A206" s="1306"/>
      <c r="B206" s="1306"/>
      <c r="C206" s="1349"/>
      <c r="D206" s="1314"/>
      <c r="E206" s="1314"/>
      <c r="F206" s="1314"/>
      <c r="G206" s="1314"/>
      <c r="H206" s="1314"/>
      <c r="I206" s="1349"/>
      <c r="J206" s="437"/>
      <c r="K206" s="437"/>
    </row>
    <row r="207" spans="1:11" ht="15">
      <c r="A207" s="1297"/>
      <c r="B207" s="1297"/>
      <c r="C207" s="1339" t="s">
        <v>227</v>
      </c>
      <c r="D207" s="1340"/>
      <c r="E207" s="1339" t="s">
        <v>283</v>
      </c>
      <c r="F207" s="1339" t="s">
        <v>215</v>
      </c>
      <c r="G207" s="1339" t="s">
        <v>228</v>
      </c>
      <c r="H207" s="1339" t="s">
        <v>226</v>
      </c>
      <c r="I207" s="1339" t="s">
        <v>107</v>
      </c>
      <c r="J207" s="1339" t="s">
        <v>229</v>
      </c>
      <c r="K207" s="437"/>
    </row>
    <row r="208" spans="1:11" ht="15">
      <c r="A208" s="1297"/>
      <c r="B208" s="1297"/>
      <c r="C208" s="1297"/>
      <c r="D208" s="437"/>
      <c r="E208" s="829"/>
      <c r="F208" s="829" t="s">
        <v>257</v>
      </c>
      <c r="G208" s="829"/>
      <c r="H208" s="829"/>
      <c r="I208" s="829"/>
      <c r="J208" s="1297"/>
      <c r="K208" s="437"/>
    </row>
    <row r="209" spans="1:11" ht="15">
      <c r="A209" s="1306"/>
      <c r="B209" s="1306"/>
      <c r="C209" s="1297"/>
      <c r="D209" s="437"/>
      <c r="E209" s="829" t="s">
        <v>282</v>
      </c>
      <c r="F209" s="829" t="s">
        <v>258</v>
      </c>
      <c r="G209" s="829" t="s">
        <v>57</v>
      </c>
      <c r="H209" s="829" t="s">
        <v>61</v>
      </c>
      <c r="I209" s="829" t="s">
        <v>63</v>
      </c>
      <c r="J209" s="1297"/>
      <c r="K209" s="437"/>
    </row>
    <row r="210" spans="1:11" ht="15">
      <c r="A210" s="1297"/>
      <c r="B210" s="1297"/>
      <c r="C210" s="1297"/>
      <c r="D210" s="437"/>
      <c r="E210" s="829"/>
      <c r="F210" s="829" t="s">
        <v>62</v>
      </c>
      <c r="G210" s="829" t="s">
        <v>62</v>
      </c>
      <c r="H210" s="829" t="s">
        <v>62</v>
      </c>
      <c r="I210" s="829" t="s">
        <v>62</v>
      </c>
      <c r="J210" s="1297" t="s">
        <v>208</v>
      </c>
      <c r="K210" s="437"/>
    </row>
    <row r="211" spans="1:11" ht="15">
      <c r="A211" s="1820" t="s">
        <v>255</v>
      </c>
      <c r="B211" s="1821"/>
      <c r="C211" s="1822"/>
      <c r="D211" s="1823"/>
      <c r="E211" s="1824"/>
      <c r="F211" s="1778"/>
      <c r="G211" s="1778"/>
      <c r="H211" s="1778"/>
      <c r="I211" s="1778"/>
      <c r="J211" s="1825"/>
      <c r="K211" s="437"/>
    </row>
    <row r="212" spans="1:11" ht="38.25">
      <c r="A212" s="1782">
        <v>287605</v>
      </c>
      <c r="B212" s="2626">
        <v>105.14700000000001</v>
      </c>
      <c r="C212" s="2628" t="s">
        <v>582</v>
      </c>
      <c r="D212" s="2290"/>
      <c r="E212" s="1786">
        <v>-172878</v>
      </c>
      <c r="F212" s="1786">
        <f>E212</f>
        <v>-172878</v>
      </c>
      <c r="G212" s="1786">
        <v>0</v>
      </c>
      <c r="H212" s="1786">
        <v>0</v>
      </c>
      <c r="I212" s="1786">
        <v>0</v>
      </c>
      <c r="J212" s="1785" t="s">
        <v>1226</v>
      </c>
    </row>
    <row r="213" spans="1:11" ht="25.5">
      <c r="A213" s="1782">
        <v>287599</v>
      </c>
      <c r="B213" s="2626">
        <v>105.16</v>
      </c>
      <c r="C213" s="2628" t="s">
        <v>1977</v>
      </c>
      <c r="D213" s="2290"/>
      <c r="E213" s="1786">
        <v>-7381982</v>
      </c>
      <c r="F213" s="1786">
        <f>E213</f>
        <v>-7381982</v>
      </c>
      <c r="G213" s="1786">
        <v>0</v>
      </c>
      <c r="H213" s="1786">
        <v>0</v>
      </c>
      <c r="I213" s="1786">
        <v>0</v>
      </c>
      <c r="J213" s="2465" t="s">
        <v>2070</v>
      </c>
    </row>
    <row r="214" spans="1:11" ht="25.5">
      <c r="A214" s="1782">
        <v>287766</v>
      </c>
      <c r="B214" s="2626">
        <v>610.101</v>
      </c>
      <c r="C214" s="2628" t="s">
        <v>587</v>
      </c>
      <c r="D214" s="2290"/>
      <c r="E214" s="1786">
        <v>144343</v>
      </c>
      <c r="F214" s="1786">
        <f>E214</f>
        <v>144343</v>
      </c>
      <c r="G214" s="1786">
        <v>0</v>
      </c>
      <c r="H214" s="1786">
        <v>0</v>
      </c>
      <c r="I214" s="1786">
        <v>0</v>
      </c>
      <c r="J214" s="1807" t="s">
        <v>1239</v>
      </c>
    </row>
    <row r="215" spans="1:11" ht="12.75">
      <c r="A215" s="1782">
        <v>287610</v>
      </c>
      <c r="B215" s="2626">
        <v>105.40300000000001</v>
      </c>
      <c r="C215" s="2628" t="s">
        <v>1467</v>
      </c>
      <c r="D215" s="2290"/>
      <c r="E215" s="1786">
        <v>-47380346</v>
      </c>
      <c r="F215" s="1786">
        <f>E215</f>
        <v>-47380346</v>
      </c>
      <c r="G215" s="1786">
        <v>0</v>
      </c>
      <c r="H215" s="1786">
        <v>0</v>
      </c>
      <c r="I215" s="1786">
        <v>0</v>
      </c>
      <c r="J215" s="1785" t="s">
        <v>1210</v>
      </c>
    </row>
    <row r="216" spans="1:11" ht="25.5">
      <c r="A216" s="1782">
        <v>287605</v>
      </c>
      <c r="B216" s="2626">
        <v>105.142</v>
      </c>
      <c r="C216" s="2628" t="s">
        <v>580</v>
      </c>
      <c r="D216" s="2290"/>
      <c r="E216" s="1786">
        <v>231316204</v>
      </c>
      <c r="F216" s="1786">
        <f>E216</f>
        <v>231316204</v>
      </c>
      <c r="G216" s="1786">
        <v>0</v>
      </c>
      <c r="H216" s="1786">
        <v>0</v>
      </c>
      <c r="I216" s="1786">
        <v>0</v>
      </c>
      <c r="J216" s="1785" t="s">
        <v>1224</v>
      </c>
    </row>
    <row r="217" spans="1:11" ht="38.25">
      <c r="A217" s="1782">
        <v>287704</v>
      </c>
      <c r="B217" s="2626">
        <v>105.143</v>
      </c>
      <c r="C217" s="2628" t="s">
        <v>586</v>
      </c>
      <c r="D217" s="2290"/>
      <c r="E217" s="1786">
        <v>-1541184</v>
      </c>
      <c r="F217" s="1786">
        <v>0</v>
      </c>
      <c r="G217" s="1786">
        <v>0</v>
      </c>
      <c r="H217" s="1786">
        <f>E217</f>
        <v>-1541184</v>
      </c>
      <c r="I217" s="1786">
        <v>0</v>
      </c>
      <c r="J217" s="1785" t="s">
        <v>1237</v>
      </c>
    </row>
    <row r="218" spans="1:11" ht="25.5">
      <c r="A218" s="1782">
        <v>287753</v>
      </c>
      <c r="B218" s="2626">
        <v>110.1</v>
      </c>
      <c r="C218" s="2628" t="s">
        <v>1468</v>
      </c>
      <c r="D218" s="2290"/>
      <c r="E218" s="1786">
        <v>0</v>
      </c>
      <c r="F218" s="1786">
        <f t="shared" ref="F218:F224" si="1">E218</f>
        <v>0</v>
      </c>
      <c r="G218" s="1786">
        <v>0</v>
      </c>
      <c r="H218" s="1786">
        <v>0</v>
      </c>
      <c r="I218" s="1786">
        <v>0</v>
      </c>
      <c r="J218" s="1785" t="s">
        <v>1238</v>
      </c>
    </row>
    <row r="219" spans="1:11" ht="12.75">
      <c r="A219" s="1782">
        <v>287605</v>
      </c>
      <c r="B219" s="2626">
        <v>105.12</v>
      </c>
      <c r="C219" s="2628" t="s">
        <v>575</v>
      </c>
      <c r="D219" s="2290"/>
      <c r="E219" s="1786">
        <v>2965864232</v>
      </c>
      <c r="F219" s="1786">
        <f t="shared" si="1"/>
        <v>2965864232</v>
      </c>
      <c r="G219" s="1786">
        <v>0</v>
      </c>
      <c r="H219" s="1786">
        <v>0</v>
      </c>
      <c r="I219" s="1786">
        <v>0</v>
      </c>
      <c r="J219" s="1785" t="s">
        <v>1214</v>
      </c>
    </row>
    <row r="220" spans="1:11" ht="12.75">
      <c r="A220" s="1782">
        <v>287605</v>
      </c>
      <c r="B220" s="2626">
        <v>105.47</v>
      </c>
      <c r="C220" s="2628" t="s">
        <v>1469</v>
      </c>
      <c r="D220" s="2290"/>
      <c r="E220" s="1786">
        <v>25390878</v>
      </c>
      <c r="F220" s="1786">
        <f t="shared" si="1"/>
        <v>25390878</v>
      </c>
      <c r="G220" s="1786">
        <v>0</v>
      </c>
      <c r="H220" s="1786">
        <v>0</v>
      </c>
      <c r="I220" s="1786">
        <v>0</v>
      </c>
      <c r="J220" s="1785" t="s">
        <v>1232</v>
      </c>
    </row>
    <row r="221" spans="1:11" ht="38.25">
      <c r="A221" s="1782">
        <v>287605</v>
      </c>
      <c r="B221" s="2626">
        <v>105.146</v>
      </c>
      <c r="C221" s="2628" t="s">
        <v>581</v>
      </c>
      <c r="D221" s="2290"/>
      <c r="E221" s="1786">
        <v>5238233</v>
      </c>
      <c r="F221" s="1786">
        <f t="shared" si="1"/>
        <v>5238233</v>
      </c>
      <c r="G221" s="1786">
        <v>0</v>
      </c>
      <c r="H221" s="1786">
        <v>0</v>
      </c>
      <c r="I221" s="1786">
        <v>0</v>
      </c>
      <c r="J221" s="1785" t="s">
        <v>1225</v>
      </c>
    </row>
    <row r="222" spans="1:11" ht="12.75">
      <c r="A222" s="1782">
        <v>287605</v>
      </c>
      <c r="B222" s="2626">
        <v>105.137</v>
      </c>
      <c r="C222" s="2628" t="s">
        <v>578</v>
      </c>
      <c r="D222" s="2290"/>
      <c r="E222" s="1786">
        <v>-24078328</v>
      </c>
      <c r="F222" s="1786">
        <f t="shared" si="1"/>
        <v>-24078328</v>
      </c>
      <c r="G222" s="1786">
        <v>0</v>
      </c>
      <c r="H222" s="1786">
        <v>0</v>
      </c>
      <c r="I222" s="1786">
        <v>0</v>
      </c>
      <c r="J222" s="1785" t="s">
        <v>1221</v>
      </c>
    </row>
    <row r="223" spans="1:11" ht="25.5">
      <c r="A223" s="1782">
        <v>287605</v>
      </c>
      <c r="B223" s="2626">
        <v>105.1</v>
      </c>
      <c r="C223" s="2628" t="s">
        <v>1470</v>
      </c>
      <c r="D223" s="2290"/>
      <c r="E223" s="1786">
        <v>24587422</v>
      </c>
      <c r="F223" s="1786">
        <f t="shared" si="1"/>
        <v>24587422</v>
      </c>
      <c r="G223" s="1786">
        <v>0</v>
      </c>
      <c r="H223" s="1786">
        <v>0</v>
      </c>
      <c r="I223" s="1786">
        <v>0</v>
      </c>
      <c r="J223" s="1785" t="s">
        <v>1211</v>
      </c>
    </row>
    <row r="224" spans="1:11" ht="25.5">
      <c r="A224" s="1782">
        <v>287605</v>
      </c>
      <c r="B224" s="2626">
        <v>105.101</v>
      </c>
      <c r="C224" s="2628" t="s">
        <v>1471</v>
      </c>
      <c r="D224" s="2290"/>
      <c r="E224" s="1786">
        <v>2415886</v>
      </c>
      <c r="F224" s="1786">
        <f t="shared" si="1"/>
        <v>2415886</v>
      </c>
      <c r="G224" s="1786">
        <v>0</v>
      </c>
      <c r="H224" s="1786">
        <v>0</v>
      </c>
      <c r="I224" s="1786">
        <v>0</v>
      </c>
      <c r="J224" s="1785" t="s">
        <v>1212</v>
      </c>
    </row>
    <row r="225" spans="1:10" ht="12.75">
      <c r="A225" s="1782">
        <v>287605</v>
      </c>
      <c r="B225" s="2631"/>
      <c r="C225" s="2462" t="s">
        <v>672</v>
      </c>
      <c r="D225" s="2291"/>
      <c r="E225" s="1806">
        <f>SUM(F225:I225)</f>
        <v>0</v>
      </c>
      <c r="F225" s="1786">
        <v>1082027566</v>
      </c>
      <c r="G225" s="1786">
        <f>-F225</f>
        <v>-1082027566</v>
      </c>
      <c r="H225" s="1786">
        <v>0</v>
      </c>
      <c r="I225" s="1786">
        <v>0</v>
      </c>
      <c r="J225" s="1785" t="s">
        <v>1235</v>
      </c>
    </row>
    <row r="226" spans="1:10" ht="12.75">
      <c r="A226" s="1782">
        <v>287605</v>
      </c>
      <c r="B226" s="2631"/>
      <c r="C226" s="2462" t="s">
        <v>673</v>
      </c>
      <c r="D226" s="2291"/>
      <c r="E226" s="1806">
        <f>SUM(F226:I226)</f>
        <v>0</v>
      </c>
      <c r="F226" s="1786">
        <v>50466876</v>
      </c>
      <c r="G226" s="1786">
        <v>0</v>
      </c>
      <c r="H226" s="1786">
        <v>0</v>
      </c>
      <c r="I226" s="1786">
        <f>-F226</f>
        <v>-50466876</v>
      </c>
      <c r="J226" s="1785" t="s">
        <v>1355</v>
      </c>
    </row>
    <row r="227" spans="1:10" ht="12.75">
      <c r="A227" s="1782">
        <v>287605</v>
      </c>
      <c r="B227" s="2631"/>
      <c r="C227" s="2462" t="s">
        <v>674</v>
      </c>
      <c r="D227" s="2291"/>
      <c r="E227" s="1806">
        <f>SUM(F227:I227)</f>
        <v>0</v>
      </c>
      <c r="F227" s="1786">
        <v>189026852</v>
      </c>
      <c r="G227" s="1786">
        <v>0</v>
      </c>
      <c r="H227" s="1786">
        <v>0</v>
      </c>
      <c r="I227" s="1786">
        <f>-F227</f>
        <v>-189026852</v>
      </c>
      <c r="J227" s="1785" t="s">
        <v>1356</v>
      </c>
    </row>
    <row r="228" spans="1:10" ht="24.75" customHeight="1">
      <c r="A228" s="1782">
        <v>287608</v>
      </c>
      <c r="B228" s="2626">
        <v>105.22199999999999</v>
      </c>
      <c r="C228" s="2628" t="s">
        <v>1472</v>
      </c>
      <c r="D228" s="2290"/>
      <c r="E228" s="1786">
        <v>-3544255</v>
      </c>
      <c r="F228" s="1786">
        <v>0</v>
      </c>
      <c r="G228" s="1786">
        <v>0</v>
      </c>
      <c r="H228" s="1786">
        <f>E228</f>
        <v>-3544255</v>
      </c>
      <c r="I228" s="1786">
        <v>0</v>
      </c>
      <c r="J228" s="1785" t="s">
        <v>1203</v>
      </c>
    </row>
    <row r="229" spans="1:10" ht="28.5" customHeight="1">
      <c r="A229" s="1782">
        <v>287608</v>
      </c>
      <c r="B229" s="2626">
        <v>105.223</v>
      </c>
      <c r="C229" s="2628" t="s">
        <v>1473</v>
      </c>
      <c r="D229" s="2290"/>
      <c r="E229" s="1786">
        <v>1222372</v>
      </c>
      <c r="F229" s="1786">
        <v>0</v>
      </c>
      <c r="G229" s="1786">
        <v>0</v>
      </c>
      <c r="H229" s="1786">
        <f>+E229</f>
        <v>1222372</v>
      </c>
      <c r="I229" s="1786">
        <v>0</v>
      </c>
      <c r="J229" s="1785" t="s">
        <v>1236</v>
      </c>
    </row>
    <row r="230" spans="1:10" ht="51">
      <c r="A230" s="1782">
        <v>287605</v>
      </c>
      <c r="B230" s="2626">
        <v>105.16500000000001</v>
      </c>
      <c r="C230" s="2628" t="s">
        <v>583</v>
      </c>
      <c r="D230" s="2290"/>
      <c r="E230" s="1786">
        <v>-4834889</v>
      </c>
      <c r="F230" s="1786">
        <f t="shared" ref="F230:F243" si="2">E230</f>
        <v>-4834889</v>
      </c>
      <c r="G230" s="1786">
        <v>0</v>
      </c>
      <c r="H230" s="1786">
        <v>0</v>
      </c>
      <c r="I230" s="1786">
        <v>0</v>
      </c>
      <c r="J230" s="1785" t="s">
        <v>1229</v>
      </c>
    </row>
    <row r="231" spans="1:10" ht="51.75" customHeight="1">
      <c r="A231" s="1782">
        <v>287605</v>
      </c>
      <c r="B231" s="2626">
        <v>105.17</v>
      </c>
      <c r="C231" s="2628" t="s">
        <v>1474</v>
      </c>
      <c r="D231" s="2290"/>
      <c r="E231" s="1786">
        <v>-5858660</v>
      </c>
      <c r="F231" s="1786">
        <f t="shared" si="2"/>
        <v>-5858660</v>
      </c>
      <c r="G231" s="1786">
        <v>0</v>
      </c>
      <c r="H231" s="1786">
        <v>0</v>
      </c>
      <c r="I231" s="1786">
        <v>0</v>
      </c>
      <c r="J231" s="1785" t="s">
        <v>1230</v>
      </c>
    </row>
    <row r="232" spans="1:10" ht="25.5">
      <c r="A232" s="1782">
        <v>287605</v>
      </c>
      <c r="B232" s="2626">
        <v>105.15300000000001</v>
      </c>
      <c r="C232" s="2628" t="s">
        <v>1784</v>
      </c>
      <c r="D232" s="2290"/>
      <c r="E232" s="1786">
        <v>-331401</v>
      </c>
      <c r="F232" s="1786">
        <f t="shared" si="2"/>
        <v>-331401</v>
      </c>
      <c r="G232" s="1786">
        <v>0</v>
      </c>
      <c r="H232" s="1786">
        <v>0</v>
      </c>
      <c r="I232" s="1786">
        <v>0</v>
      </c>
      <c r="J232" s="2465" t="s">
        <v>1783</v>
      </c>
    </row>
    <row r="233" spans="1:10" ht="27.75" customHeight="1">
      <c r="A233" s="1782">
        <v>287605</v>
      </c>
      <c r="B233" s="2626">
        <v>105.151</v>
      </c>
      <c r="C233" s="2628" t="s">
        <v>1782</v>
      </c>
      <c r="D233" s="2290"/>
      <c r="E233" s="1786">
        <v>-2007594</v>
      </c>
      <c r="F233" s="1786">
        <f t="shared" si="2"/>
        <v>-2007594</v>
      </c>
      <c r="G233" s="1786">
        <v>0</v>
      </c>
      <c r="H233" s="1786">
        <v>0</v>
      </c>
      <c r="I233" s="1786">
        <v>0</v>
      </c>
      <c r="J233" s="2465" t="s">
        <v>1781</v>
      </c>
    </row>
    <row r="234" spans="1:10" ht="15" customHeight="1">
      <c r="A234" s="1782">
        <v>287605</v>
      </c>
      <c r="B234" s="2626">
        <v>105.13</v>
      </c>
      <c r="C234" s="2628" t="s">
        <v>1475</v>
      </c>
      <c r="D234" s="2290"/>
      <c r="E234" s="1786">
        <v>314856558</v>
      </c>
      <c r="F234" s="1786">
        <f t="shared" si="2"/>
        <v>314856558</v>
      </c>
      <c r="G234" s="1786">
        <v>0</v>
      </c>
      <c r="H234" s="1786">
        <v>0</v>
      </c>
      <c r="I234" s="1786">
        <v>0</v>
      </c>
      <c r="J234" s="1785" t="s">
        <v>1218</v>
      </c>
    </row>
    <row r="235" spans="1:10" ht="38.25">
      <c r="A235" s="1782">
        <v>287605</v>
      </c>
      <c r="B235" s="2626">
        <v>105.175</v>
      </c>
      <c r="C235" s="2628" t="s">
        <v>1476</v>
      </c>
      <c r="D235" s="2290"/>
      <c r="E235" s="1786">
        <v>-263071040</v>
      </c>
      <c r="F235" s="1786">
        <f t="shared" si="2"/>
        <v>-263071040</v>
      </c>
      <c r="G235" s="1786">
        <v>0</v>
      </c>
      <c r="H235" s="1786">
        <v>0</v>
      </c>
      <c r="I235" s="1786">
        <v>0</v>
      </c>
      <c r="J235" s="1785" t="s">
        <v>1231</v>
      </c>
    </row>
    <row r="236" spans="1:10" ht="105" customHeight="1">
      <c r="A236" s="1782">
        <v>287224</v>
      </c>
      <c r="B236" s="2626">
        <v>145.03</v>
      </c>
      <c r="C236" s="2628" t="s">
        <v>1668</v>
      </c>
      <c r="D236" s="2290"/>
      <c r="E236" s="1786">
        <v>582847</v>
      </c>
      <c r="F236" s="1786">
        <f t="shared" si="2"/>
        <v>582847</v>
      </c>
      <c r="G236" s="1786">
        <v>0</v>
      </c>
      <c r="H236" s="1786">
        <v>0</v>
      </c>
      <c r="I236" s="1786">
        <v>0</v>
      </c>
      <c r="J236" s="1785" t="s">
        <v>1669</v>
      </c>
    </row>
    <row r="237" spans="1:10" ht="63.75">
      <c r="A237" s="1782">
        <v>287605</v>
      </c>
      <c r="B237" s="2626">
        <v>105.14100000000001</v>
      </c>
      <c r="C237" s="2628" t="s">
        <v>1477</v>
      </c>
      <c r="D237" s="2290"/>
      <c r="E237" s="1786">
        <v>-240404737</v>
      </c>
      <c r="F237" s="1786">
        <f t="shared" si="2"/>
        <v>-240404737</v>
      </c>
      <c r="G237" s="1786">
        <v>0</v>
      </c>
      <c r="H237" s="1786">
        <v>0</v>
      </c>
      <c r="I237" s="1786">
        <v>0</v>
      </c>
      <c r="J237" s="1785" t="s">
        <v>1223</v>
      </c>
    </row>
    <row r="238" spans="1:10" ht="53.25" customHeight="1">
      <c r="A238" s="1782">
        <v>287605</v>
      </c>
      <c r="B238" s="2626">
        <v>105.11499999999999</v>
      </c>
      <c r="C238" s="2628" t="s">
        <v>1478</v>
      </c>
      <c r="D238" s="2290"/>
      <c r="E238" s="1786">
        <v>-107492703</v>
      </c>
      <c r="F238" s="1786">
        <f t="shared" si="2"/>
        <v>-107492703</v>
      </c>
      <c r="G238" s="1786">
        <v>0</v>
      </c>
      <c r="H238" s="1786">
        <v>0</v>
      </c>
      <c r="I238" s="1786">
        <v>0</v>
      </c>
      <c r="J238" s="1785" t="s">
        <v>1213</v>
      </c>
    </row>
    <row r="239" spans="1:10" ht="63.75">
      <c r="A239" s="1782">
        <v>287605</v>
      </c>
      <c r="B239" s="2626">
        <v>105.139</v>
      </c>
      <c r="C239" s="2628" t="s">
        <v>1583</v>
      </c>
      <c r="D239" s="2290"/>
      <c r="E239" s="1786">
        <v>-102660353</v>
      </c>
      <c r="F239" s="1786">
        <f t="shared" si="2"/>
        <v>-102660353</v>
      </c>
      <c r="G239" s="1786">
        <v>0</v>
      </c>
      <c r="H239" s="1786">
        <v>0</v>
      </c>
      <c r="I239" s="1786">
        <v>0</v>
      </c>
      <c r="J239" s="1807" t="s">
        <v>1223</v>
      </c>
    </row>
    <row r="240" spans="1:10" ht="38.25">
      <c r="A240" s="1782">
        <v>287928</v>
      </c>
      <c r="B240" s="2626">
        <v>425.31</v>
      </c>
      <c r="C240" s="2628" t="s">
        <v>1287</v>
      </c>
      <c r="D240" s="2290"/>
      <c r="E240" s="1786">
        <v>-7223964</v>
      </c>
      <c r="F240" s="1786">
        <f t="shared" si="2"/>
        <v>-7223964</v>
      </c>
      <c r="G240" s="1786">
        <v>0</v>
      </c>
      <c r="H240" s="1786">
        <v>0</v>
      </c>
      <c r="I240" s="1786">
        <v>0</v>
      </c>
      <c r="J240" s="1807" t="s">
        <v>1670</v>
      </c>
    </row>
    <row r="241" spans="1:10" ht="12.75">
      <c r="A241" s="1782">
        <v>287605</v>
      </c>
      <c r="B241" s="2626" t="s">
        <v>563</v>
      </c>
      <c r="C241" s="2628" t="s">
        <v>1479</v>
      </c>
      <c r="D241" s="2290"/>
      <c r="E241" s="1786">
        <v>0</v>
      </c>
      <c r="F241" s="1786">
        <f t="shared" si="2"/>
        <v>0</v>
      </c>
      <c r="G241" s="1786">
        <v>0</v>
      </c>
      <c r="H241" s="1786">
        <v>0</v>
      </c>
      <c r="I241" s="1786">
        <v>0</v>
      </c>
      <c r="J241" s="1785" t="s">
        <v>1178</v>
      </c>
    </row>
    <row r="242" spans="1:10" ht="12.75">
      <c r="A242" s="1782">
        <v>287605</v>
      </c>
      <c r="B242" s="2626">
        <v>105.125</v>
      </c>
      <c r="C242" s="2628" t="s">
        <v>577</v>
      </c>
      <c r="D242" s="2290"/>
      <c r="E242" s="1786">
        <v>-6570492708</v>
      </c>
      <c r="F242" s="1786">
        <f t="shared" si="2"/>
        <v>-6570492708</v>
      </c>
      <c r="G242" s="1786">
        <v>0</v>
      </c>
      <c r="H242" s="1786">
        <v>0</v>
      </c>
      <c r="I242" s="1786">
        <v>0</v>
      </c>
      <c r="J242" s="1785" t="s">
        <v>1217</v>
      </c>
    </row>
    <row r="243" spans="1:10" ht="12.75">
      <c r="A243" s="1782">
        <v>287605</v>
      </c>
      <c r="B243" s="2626">
        <v>105.152</v>
      </c>
      <c r="C243" s="2628" t="s">
        <v>1588</v>
      </c>
      <c r="D243" s="2290"/>
      <c r="E243" s="1786">
        <v>-85512735</v>
      </c>
      <c r="F243" s="1786">
        <f t="shared" si="2"/>
        <v>-85512735</v>
      </c>
      <c r="G243" s="1786">
        <v>0</v>
      </c>
      <c r="H243" s="1786">
        <v>0</v>
      </c>
      <c r="I243" s="1786">
        <v>0</v>
      </c>
      <c r="J243" s="1785" t="s">
        <v>1228</v>
      </c>
    </row>
    <row r="244" spans="1:10" ht="38.25">
      <c r="A244" s="1782">
        <v>287605</v>
      </c>
      <c r="B244" s="2626">
        <v>105.129</v>
      </c>
      <c r="C244" s="2628" t="s">
        <v>1480</v>
      </c>
      <c r="D244" s="2290"/>
      <c r="E244" s="1786">
        <v>19374777</v>
      </c>
      <c r="F244" s="1786">
        <v>0</v>
      </c>
      <c r="G244" s="1786">
        <v>0</v>
      </c>
      <c r="H244" s="1786">
        <f>+E244</f>
        <v>19374777</v>
      </c>
      <c r="I244" s="1786">
        <v>0</v>
      </c>
      <c r="J244" s="1785" t="s">
        <v>1240</v>
      </c>
    </row>
    <row r="245" spans="1:10" ht="38.25">
      <c r="A245" s="1782">
        <v>287605</v>
      </c>
      <c r="B245" s="2626">
        <v>105.148</v>
      </c>
      <c r="C245" s="2628" t="s">
        <v>1481</v>
      </c>
      <c r="D245" s="2290"/>
      <c r="E245" s="1786">
        <v>-473124</v>
      </c>
      <c r="F245" s="1786">
        <f t="shared" ref="F245:F265" si="3">E245</f>
        <v>-473124</v>
      </c>
      <c r="G245" s="1786">
        <v>0</v>
      </c>
      <c r="H245" s="1786">
        <v>0</v>
      </c>
      <c r="I245" s="1786">
        <v>0</v>
      </c>
      <c r="J245" s="1785" t="s">
        <v>1227</v>
      </c>
    </row>
    <row r="246" spans="1:10" ht="12.75">
      <c r="A246" s="1782">
        <v>287929</v>
      </c>
      <c r="B246" s="2626">
        <v>105.46</v>
      </c>
      <c r="C246" s="2628" t="s">
        <v>1482</v>
      </c>
      <c r="D246" s="2290"/>
      <c r="E246" s="1786">
        <v>-352661298</v>
      </c>
      <c r="F246" s="1786">
        <f t="shared" si="3"/>
        <v>-352661298</v>
      </c>
      <c r="G246" s="1786">
        <v>0</v>
      </c>
      <c r="H246" s="1786">
        <v>0</v>
      </c>
      <c r="I246" s="1786">
        <v>0</v>
      </c>
      <c r="J246" s="1785" t="s">
        <v>1210</v>
      </c>
    </row>
    <row r="247" spans="1:10" ht="25.5">
      <c r="A247" s="1782">
        <v>287740</v>
      </c>
      <c r="B247" s="2626">
        <v>110.2</v>
      </c>
      <c r="C247" s="2628" t="s">
        <v>1483</v>
      </c>
      <c r="D247" s="2290"/>
      <c r="E247" s="1786">
        <v>0</v>
      </c>
      <c r="F247" s="1786">
        <f t="shared" si="3"/>
        <v>0</v>
      </c>
      <c r="G247" s="1786">
        <v>0</v>
      </c>
      <c r="H247" s="1786">
        <v>0</v>
      </c>
      <c r="I247" s="1786">
        <v>0</v>
      </c>
      <c r="J247" s="1785" t="s">
        <v>1238</v>
      </c>
    </row>
    <row r="248" spans="1:10" ht="51">
      <c r="A248" s="1782">
        <v>287605</v>
      </c>
      <c r="B248" s="2626">
        <v>320.20999999999998</v>
      </c>
      <c r="C248" s="2628" t="s">
        <v>584</v>
      </c>
      <c r="D248" s="2290"/>
      <c r="E248" s="1786">
        <v>-11916233</v>
      </c>
      <c r="F248" s="1786">
        <f t="shared" si="3"/>
        <v>-11916233</v>
      </c>
      <c r="G248" s="1786">
        <v>0</v>
      </c>
      <c r="H248" s="1786">
        <v>0</v>
      </c>
      <c r="I248" s="1786">
        <v>0</v>
      </c>
      <c r="J248" s="1785" t="s">
        <v>1233</v>
      </c>
    </row>
    <row r="249" spans="1:10" ht="52.5" customHeight="1">
      <c r="A249" s="1782">
        <v>287648</v>
      </c>
      <c r="B249" s="2626">
        <v>100.12</v>
      </c>
      <c r="C249" s="2628" t="s">
        <v>1484</v>
      </c>
      <c r="D249" s="2290"/>
      <c r="E249" s="1786">
        <v>-261127630</v>
      </c>
      <c r="F249" s="1786">
        <f t="shared" si="3"/>
        <v>-261127630</v>
      </c>
      <c r="G249" s="1786">
        <v>0</v>
      </c>
      <c r="H249" s="1786">
        <v>0</v>
      </c>
      <c r="I249" s="1786">
        <v>0</v>
      </c>
      <c r="J249" s="1785" t="s">
        <v>1213</v>
      </c>
    </row>
    <row r="250" spans="1:10" ht="51" customHeight="1">
      <c r="A250" s="1782">
        <v>287605</v>
      </c>
      <c r="B250" s="2626">
        <v>100.11</v>
      </c>
      <c r="C250" s="2628" t="s">
        <v>1671</v>
      </c>
      <c r="D250" s="2290"/>
      <c r="E250" s="1786">
        <v>-46635</v>
      </c>
      <c r="F250" s="1786">
        <f t="shared" si="3"/>
        <v>-46635</v>
      </c>
      <c r="G250" s="1786">
        <v>0</v>
      </c>
      <c r="H250" s="1786">
        <v>0</v>
      </c>
      <c r="I250" s="1786">
        <v>0</v>
      </c>
      <c r="J250" s="1785" t="s">
        <v>1672</v>
      </c>
    </row>
    <row r="251" spans="1:10" ht="25.5">
      <c r="A251" s="1782">
        <v>287605</v>
      </c>
      <c r="B251" s="2626">
        <v>105.158</v>
      </c>
      <c r="C251" s="2628" t="s">
        <v>1978</v>
      </c>
      <c r="D251" s="2290"/>
      <c r="E251" s="1786">
        <v>298980</v>
      </c>
      <c r="F251" s="1786">
        <v>0</v>
      </c>
      <c r="G251" s="1786">
        <v>0</v>
      </c>
      <c r="H251" s="1786">
        <v>0</v>
      </c>
      <c r="I251" s="1786">
        <f>E251</f>
        <v>298980</v>
      </c>
      <c r="J251" s="2465" t="s">
        <v>2071</v>
      </c>
    </row>
    <row r="252" spans="1:10" ht="25.5">
      <c r="A252" s="1782">
        <v>287605</v>
      </c>
      <c r="B252" s="2626">
        <v>105.15900000000001</v>
      </c>
      <c r="C252" s="2628" t="s">
        <v>1979</v>
      </c>
      <c r="D252" s="2290"/>
      <c r="E252" s="1786">
        <v>7082992</v>
      </c>
      <c r="F252" s="1786">
        <v>0</v>
      </c>
      <c r="G252" s="1786">
        <f>+E252</f>
        <v>7082992</v>
      </c>
      <c r="H252" s="1786">
        <v>0</v>
      </c>
      <c r="I252" s="1786">
        <v>0</v>
      </c>
      <c r="J252" s="2465" t="s">
        <v>2071</v>
      </c>
    </row>
    <row r="253" spans="1:10" ht="25.5">
      <c r="A253" s="1782">
        <v>287605</v>
      </c>
      <c r="B253" s="2626">
        <v>105.131</v>
      </c>
      <c r="C253" s="2628" t="s">
        <v>585</v>
      </c>
      <c r="D253" s="2290"/>
      <c r="E253" s="1786">
        <v>306993377</v>
      </c>
      <c r="F253" s="1786">
        <f t="shared" si="3"/>
        <v>306993377</v>
      </c>
      <c r="G253" s="1786">
        <v>0</v>
      </c>
      <c r="H253" s="1786">
        <v>0</v>
      </c>
      <c r="I253" s="1786">
        <v>0</v>
      </c>
      <c r="J253" s="1785" t="s">
        <v>1234</v>
      </c>
    </row>
    <row r="254" spans="1:10" ht="51">
      <c r="A254" s="1782">
        <v>287605</v>
      </c>
      <c r="B254" s="2626">
        <v>105.14</v>
      </c>
      <c r="C254" s="2628" t="s">
        <v>579</v>
      </c>
      <c r="D254" s="2290"/>
      <c r="E254" s="1786">
        <v>31988058</v>
      </c>
      <c r="F254" s="1786">
        <f t="shared" si="3"/>
        <v>31988058</v>
      </c>
      <c r="G254" s="1786">
        <v>0</v>
      </c>
      <c r="H254" s="1786">
        <v>0</v>
      </c>
      <c r="I254" s="1786">
        <v>0</v>
      </c>
      <c r="J254" s="1785" t="s">
        <v>1222</v>
      </c>
    </row>
    <row r="255" spans="1:10" ht="38.25">
      <c r="A255" s="1782">
        <v>287605</v>
      </c>
      <c r="B255" s="2626">
        <v>105.122</v>
      </c>
      <c r="C255" s="2628" t="s">
        <v>1485</v>
      </c>
      <c r="D255" s="2290"/>
      <c r="E255" s="1786">
        <v>-479472754</v>
      </c>
      <c r="F255" s="1786">
        <f t="shared" si="3"/>
        <v>-479472754</v>
      </c>
      <c r="G255" s="1786">
        <v>0</v>
      </c>
      <c r="H255" s="1786">
        <v>0</v>
      </c>
      <c r="I255" s="1786">
        <v>0</v>
      </c>
      <c r="J255" s="1785" t="s">
        <v>1215</v>
      </c>
    </row>
    <row r="256" spans="1:10" ht="51">
      <c r="A256" s="1782">
        <v>287221</v>
      </c>
      <c r="B256" s="2626">
        <v>415.93299999999999</v>
      </c>
      <c r="C256" s="2628" t="s">
        <v>1673</v>
      </c>
      <c r="D256" s="2290"/>
      <c r="E256" s="1786">
        <v>-473513</v>
      </c>
      <c r="F256" s="1786">
        <f t="shared" si="3"/>
        <v>-473513</v>
      </c>
      <c r="G256" s="1786">
        <v>0</v>
      </c>
      <c r="H256" s="1786">
        <v>0</v>
      </c>
      <c r="I256" s="1786">
        <v>0</v>
      </c>
      <c r="J256" s="1785" t="s">
        <v>1674</v>
      </c>
    </row>
    <row r="257" spans="1:12" ht="51">
      <c r="A257" s="1782">
        <v>287222</v>
      </c>
      <c r="B257" s="2626">
        <v>415.93400000000003</v>
      </c>
      <c r="C257" s="2628" t="s">
        <v>1675</v>
      </c>
      <c r="D257" s="2290"/>
      <c r="E257" s="1786">
        <v>-3425271</v>
      </c>
      <c r="F257" s="1786">
        <f t="shared" si="3"/>
        <v>-3425271</v>
      </c>
      <c r="G257" s="1786">
        <v>0</v>
      </c>
      <c r="H257" s="1786">
        <v>0</v>
      </c>
      <c r="I257" s="1786">
        <v>0</v>
      </c>
      <c r="J257" s="1785" t="s">
        <v>1676</v>
      </c>
    </row>
    <row r="258" spans="1:12" ht="51">
      <c r="A258" s="1782">
        <v>287223</v>
      </c>
      <c r="B258" s="2626">
        <v>415.935</v>
      </c>
      <c r="C258" s="2628" t="s">
        <v>1677</v>
      </c>
      <c r="D258" s="2290"/>
      <c r="E258" s="1786">
        <v>-812494</v>
      </c>
      <c r="F258" s="1786">
        <f t="shared" si="3"/>
        <v>-812494</v>
      </c>
      <c r="G258" s="1786">
        <v>0</v>
      </c>
      <c r="H258" s="1786">
        <v>0</v>
      </c>
      <c r="I258" s="1786">
        <v>0</v>
      </c>
      <c r="J258" s="1785" t="s">
        <v>1678</v>
      </c>
    </row>
    <row r="259" spans="1:12" ht="12.75">
      <c r="A259" s="1782">
        <v>287313</v>
      </c>
      <c r="B259" s="2626">
        <v>105.45</v>
      </c>
      <c r="C259" s="2628" t="s">
        <v>1486</v>
      </c>
      <c r="D259" s="2290"/>
      <c r="E259" s="1786">
        <v>352661298</v>
      </c>
      <c r="F259" s="1786">
        <f t="shared" si="3"/>
        <v>352661298</v>
      </c>
      <c r="G259" s="1786">
        <v>0</v>
      </c>
      <c r="H259" s="1786">
        <v>0</v>
      </c>
      <c r="I259" s="1786">
        <v>0</v>
      </c>
      <c r="J259" s="1785" t="s">
        <v>1210</v>
      </c>
    </row>
    <row r="260" spans="1:12" ht="92.25" customHeight="1">
      <c r="A260" s="1782">
        <v>287605</v>
      </c>
      <c r="B260" s="2626">
        <v>105.13500000000001</v>
      </c>
      <c r="C260" s="2628" t="s">
        <v>1219</v>
      </c>
      <c r="D260" s="2290"/>
      <c r="E260" s="1786">
        <v>333341</v>
      </c>
      <c r="F260" s="1786">
        <f t="shared" si="3"/>
        <v>333341</v>
      </c>
      <c r="G260" s="1786">
        <v>0</v>
      </c>
      <c r="H260" s="1786">
        <v>0</v>
      </c>
      <c r="I260" s="1786">
        <v>0</v>
      </c>
      <c r="J260" s="1785" t="s">
        <v>1220</v>
      </c>
    </row>
    <row r="261" spans="1:12" ht="89.25">
      <c r="A261" s="1782">
        <v>287605</v>
      </c>
      <c r="B261" s="2626">
        <v>105.123</v>
      </c>
      <c r="C261" s="2628" t="s">
        <v>576</v>
      </c>
      <c r="D261" s="2290"/>
      <c r="E261" s="1786">
        <v>-238585871</v>
      </c>
      <c r="F261" s="1786">
        <f t="shared" si="3"/>
        <v>-238585871</v>
      </c>
      <c r="G261" s="1786">
        <v>0</v>
      </c>
      <c r="H261" s="1786">
        <v>0</v>
      </c>
      <c r="I261" s="1786">
        <v>0</v>
      </c>
      <c r="J261" s="1785" t="s">
        <v>1216</v>
      </c>
    </row>
    <row r="262" spans="1:12" ht="51">
      <c r="A262" s="1782">
        <v>287605</v>
      </c>
      <c r="B262" s="2626">
        <v>105.116</v>
      </c>
      <c r="C262" s="2628" t="s">
        <v>1679</v>
      </c>
      <c r="D262" s="2290"/>
      <c r="E262" s="1786">
        <v>-6628</v>
      </c>
      <c r="F262" s="1786">
        <f t="shared" si="3"/>
        <v>-6628</v>
      </c>
      <c r="G262" s="1786">
        <v>0</v>
      </c>
      <c r="H262" s="1786">
        <v>0</v>
      </c>
      <c r="I262" s="1786">
        <v>0</v>
      </c>
      <c r="J262" s="1785" t="s">
        <v>1680</v>
      </c>
    </row>
    <row r="263" spans="1:12" s="1343" customFormat="1" ht="25.5">
      <c r="A263" s="1782">
        <v>287771</v>
      </c>
      <c r="B263" s="2626">
        <v>110.205</v>
      </c>
      <c r="C263" s="2628" t="s">
        <v>588</v>
      </c>
      <c r="D263" s="2290"/>
      <c r="E263" s="1786">
        <v>262597</v>
      </c>
      <c r="F263" s="1786">
        <f t="shared" si="3"/>
        <v>262597</v>
      </c>
      <c r="G263" s="1786">
        <v>0</v>
      </c>
      <c r="H263" s="1786">
        <v>0</v>
      </c>
      <c r="I263" s="1786">
        <v>0</v>
      </c>
      <c r="J263" s="1785" t="s">
        <v>1238</v>
      </c>
    </row>
    <row r="264" spans="1:12" s="1343" customFormat="1" ht="12.75">
      <c r="A264" s="1782">
        <v>287301</v>
      </c>
      <c r="B264" s="2626">
        <v>105.471</v>
      </c>
      <c r="C264" s="2628" t="s">
        <v>1487</v>
      </c>
      <c r="D264" s="2290"/>
      <c r="E264" s="1786">
        <v>13399273</v>
      </c>
      <c r="F264" s="1786">
        <f t="shared" si="3"/>
        <v>13399273</v>
      </c>
      <c r="G264" s="1786">
        <v>0</v>
      </c>
      <c r="H264" s="1786">
        <v>0</v>
      </c>
      <c r="I264" s="1786">
        <v>0</v>
      </c>
      <c r="J264" s="1785" t="s">
        <v>2072</v>
      </c>
    </row>
    <row r="265" spans="1:12" s="1343" customFormat="1" ht="15">
      <c r="A265" s="2298"/>
      <c r="B265" s="2298" t="s">
        <v>439</v>
      </c>
      <c r="C265" s="2299"/>
      <c r="D265" s="2300"/>
      <c r="E265" s="1806">
        <v>-3</v>
      </c>
      <c r="F265" s="1806">
        <f t="shared" si="3"/>
        <v>-3</v>
      </c>
      <c r="G265" s="1806"/>
      <c r="H265" s="1806"/>
      <c r="I265" s="1806"/>
      <c r="J265" s="2169"/>
    </row>
    <row r="266" spans="1:12" ht="12.75">
      <c r="A266" s="2301" t="s">
        <v>323</v>
      </c>
      <c r="B266" s="2302"/>
      <c r="C266" s="2303"/>
      <c r="D266" s="2304"/>
      <c r="E266" s="2305">
        <f>SUM(E212:E265)</f>
        <v>-4518977543</v>
      </c>
      <c r="F266" s="2305">
        <f>SUM(F212:F265)</f>
        <v>-3220349931</v>
      </c>
      <c r="G266" s="2305">
        <f>SUM(G212:G263)</f>
        <v>-1074944574</v>
      </c>
      <c r="H266" s="2305">
        <f>SUM(H212:H263)</f>
        <v>15511710</v>
      </c>
      <c r="I266" s="2305">
        <f>SUM(I212:I263)</f>
        <v>-239194748</v>
      </c>
      <c r="J266" s="2306"/>
      <c r="K266" s="437"/>
      <c r="L266" s="436" t="s">
        <v>2222</v>
      </c>
    </row>
    <row r="267" spans="1:12" ht="12.75">
      <c r="A267" s="2301" t="s">
        <v>198</v>
      </c>
      <c r="B267" s="2302"/>
      <c r="C267" s="2303"/>
      <c r="D267" s="2304"/>
      <c r="E267" s="2307">
        <f>+E249</f>
        <v>-261127630</v>
      </c>
      <c r="F267" s="2307">
        <f>+F249</f>
        <v>-261127630</v>
      </c>
      <c r="G267" s="2307">
        <f>+G249</f>
        <v>0</v>
      </c>
      <c r="H267" s="2307">
        <f>+H249</f>
        <v>0</v>
      </c>
      <c r="I267" s="2307">
        <f>+I249</f>
        <v>0</v>
      </c>
      <c r="J267" s="2308"/>
      <c r="K267" s="437"/>
    </row>
    <row r="268" spans="1:12" ht="12.75">
      <c r="A268" s="2309" t="s">
        <v>199</v>
      </c>
      <c r="B268" s="2310"/>
      <c r="C268" s="2311"/>
      <c r="D268" s="2312"/>
      <c r="E268" s="2307">
        <v>0</v>
      </c>
      <c r="F268" s="2307">
        <v>0</v>
      </c>
      <c r="G268" s="2307">
        <v>0</v>
      </c>
      <c r="H268" s="2307">
        <v>0</v>
      </c>
      <c r="I268" s="2307">
        <v>0</v>
      </c>
      <c r="J268" s="2308"/>
      <c r="K268" s="437"/>
    </row>
    <row r="269" spans="1:12" ht="12.75">
      <c r="A269" s="2313" t="s">
        <v>282</v>
      </c>
      <c r="B269" s="2314"/>
      <c r="C269" s="2303"/>
      <c r="D269" s="2304"/>
      <c r="E269" s="2305">
        <f>+E266-E267-E268</f>
        <v>-4257849913</v>
      </c>
      <c r="F269" s="2305">
        <f>+F266-F267-F268</f>
        <v>-2959222301</v>
      </c>
      <c r="G269" s="2305">
        <f>+G266-G267-G268</f>
        <v>-1074944574</v>
      </c>
      <c r="H269" s="2305">
        <f>+H266-H267-H268</f>
        <v>15511710</v>
      </c>
      <c r="I269" s="2305">
        <f>+I266-I267-I268</f>
        <v>-239194748</v>
      </c>
      <c r="J269" s="2308"/>
      <c r="K269" s="437"/>
    </row>
    <row r="270" spans="1:12" ht="15">
      <c r="A270" s="1369"/>
      <c r="B270" s="1369"/>
      <c r="C270" s="1327"/>
      <c r="D270" s="1323"/>
      <c r="E270" s="1826"/>
      <c r="F270" s="1826"/>
      <c r="G270" s="1324"/>
      <c r="H270" s="1324"/>
      <c r="I270" s="1349"/>
      <c r="J270" s="437"/>
      <c r="K270" s="437"/>
    </row>
    <row r="271" spans="1:12">
      <c r="A271" s="1369"/>
      <c r="B271" s="1369"/>
      <c r="C271" s="1814" t="s">
        <v>70</v>
      </c>
      <c r="D271" s="1815"/>
      <c r="E271" s="1816"/>
      <c r="F271" s="1816"/>
      <c r="G271" s="1817"/>
      <c r="H271" s="1818"/>
      <c r="I271" s="1349"/>
      <c r="J271" s="437"/>
      <c r="K271" s="437"/>
    </row>
    <row r="272" spans="1:12" ht="25.5">
      <c r="A272" s="1369"/>
      <c r="B272" s="1369"/>
      <c r="C272" s="2409" t="s">
        <v>132</v>
      </c>
      <c r="D272" s="2410"/>
      <c r="E272" s="2410"/>
      <c r="F272" s="2410"/>
      <c r="G272" s="2410"/>
      <c r="H272" s="2411"/>
      <c r="I272" s="1349"/>
      <c r="J272" s="437"/>
      <c r="K272" s="437"/>
    </row>
    <row r="273" spans="1:11">
      <c r="A273" s="1369"/>
      <c r="B273" s="1369"/>
      <c r="C273" s="1316" t="s">
        <v>133</v>
      </c>
      <c r="D273" s="1311"/>
      <c r="E273" s="1321"/>
      <c r="F273" s="1321"/>
      <c r="G273" s="1313"/>
      <c r="H273" s="1317"/>
      <c r="I273" s="1349"/>
      <c r="J273" s="437"/>
      <c r="K273" s="437"/>
    </row>
    <row r="274" spans="1:11">
      <c r="A274" s="1369"/>
      <c r="B274" s="1369"/>
      <c r="C274" s="1316" t="s">
        <v>262</v>
      </c>
      <c r="D274" s="1311"/>
      <c r="E274" s="1321"/>
      <c r="F274" s="1321"/>
      <c r="G274" s="1313"/>
      <c r="H274" s="1317"/>
      <c r="I274" s="1349"/>
      <c r="J274" s="437"/>
      <c r="K274" s="437"/>
    </row>
    <row r="275" spans="1:11">
      <c r="A275" s="1369"/>
      <c r="B275" s="1369"/>
      <c r="C275" s="1316" t="s">
        <v>264</v>
      </c>
      <c r="D275" s="1311"/>
      <c r="E275" s="1321"/>
      <c r="F275" s="1321"/>
      <c r="G275" s="1313"/>
      <c r="H275" s="1317"/>
      <c r="I275" s="1349"/>
      <c r="J275" s="437"/>
      <c r="K275" s="437"/>
    </row>
    <row r="276" spans="1:11" ht="24.75" customHeight="1">
      <c r="A276" s="1369"/>
      <c r="B276" s="1369"/>
      <c r="C276" s="2662" t="s">
        <v>18</v>
      </c>
      <c r="D276" s="2663"/>
      <c r="E276" s="2663"/>
      <c r="F276" s="2663"/>
      <c r="G276" s="2663"/>
      <c r="H276" s="2664"/>
      <c r="I276" s="1373"/>
      <c r="J276" s="437"/>
      <c r="K276" s="437"/>
    </row>
    <row r="277" spans="1:11" ht="15">
      <c r="A277" s="1369"/>
      <c r="B277" s="1369"/>
      <c r="C277" s="1371"/>
      <c r="D277" s="1311"/>
      <c r="E277" s="1321"/>
      <c r="F277" s="1321"/>
      <c r="G277" s="1313"/>
      <c r="H277" s="1313"/>
      <c r="I277" s="1349"/>
      <c r="J277" s="437"/>
      <c r="K277" s="437"/>
    </row>
    <row r="278" spans="1:11" ht="15">
      <c r="A278" s="1374" t="s">
        <v>365</v>
      </c>
      <c r="B278" s="1374"/>
      <c r="C278" s="1375"/>
      <c r="D278" s="1313"/>
      <c r="E278" s="1313"/>
      <c r="F278" s="1313"/>
      <c r="G278" s="1313"/>
      <c r="H278" s="1313"/>
      <c r="I278" s="1376"/>
      <c r="J278" s="437"/>
      <c r="K278" s="437"/>
    </row>
    <row r="279" spans="1:11" ht="15">
      <c r="A279" s="1377"/>
      <c r="B279" s="1377"/>
      <c r="C279" s="1377"/>
      <c r="D279" s="1319"/>
      <c r="E279" s="1319"/>
      <c r="F279" s="1319"/>
      <c r="G279" s="1319"/>
      <c r="H279" s="1319"/>
      <c r="I279" s="1377"/>
      <c r="J279" s="437"/>
      <c r="K279" s="437"/>
    </row>
    <row r="280" spans="1:11">
      <c r="A280" s="1359" t="s">
        <v>661</v>
      </c>
      <c r="B280" s="1369"/>
      <c r="C280" s="1370"/>
      <c r="D280" s="1311"/>
      <c r="E280" s="1321"/>
      <c r="F280" s="1321"/>
      <c r="G280" s="1321"/>
      <c r="H280" s="1827"/>
      <c r="I280" s="1349"/>
      <c r="J280" s="437"/>
      <c r="K280" s="437"/>
    </row>
    <row r="281" spans="1:11" ht="15">
      <c r="A281" s="1306" t="s">
        <v>663</v>
      </c>
      <c r="B281" s="1369"/>
      <c r="C281" s="1370"/>
      <c r="D281" s="1311"/>
      <c r="E281" s="1321"/>
      <c r="F281" s="1321"/>
      <c r="G281" s="1321"/>
      <c r="H281" s="1827"/>
      <c r="I281" s="1349"/>
      <c r="J281" s="437"/>
      <c r="K281" s="437"/>
    </row>
    <row r="282" spans="1:11">
      <c r="A282" s="1369"/>
      <c r="B282" s="1369"/>
      <c r="C282" s="1339" t="s">
        <v>227</v>
      </c>
      <c r="D282" s="1340"/>
      <c r="E282" s="1339" t="s">
        <v>283</v>
      </c>
      <c r="F282" s="1339" t="s">
        <v>215</v>
      </c>
      <c r="G282" s="1339" t="s">
        <v>228</v>
      </c>
      <c r="H282" s="1339" t="s">
        <v>226</v>
      </c>
      <c r="I282" s="1339" t="s">
        <v>107</v>
      </c>
      <c r="J282" s="1339" t="s">
        <v>229</v>
      </c>
      <c r="K282" s="437"/>
    </row>
    <row r="283" spans="1:11" s="437" customFormat="1">
      <c r="A283" s="1369"/>
      <c r="B283" s="1369"/>
      <c r="C283" s="1370"/>
      <c r="E283" s="1771"/>
      <c r="F283" s="829" t="s">
        <v>257</v>
      </c>
      <c r="G283" s="1771"/>
      <c r="H283" s="829"/>
      <c r="I283" s="829"/>
      <c r="J283" s="1296"/>
    </row>
    <row r="284" spans="1:11" s="437" customFormat="1" ht="15">
      <c r="A284" s="1306"/>
      <c r="B284" s="1369"/>
      <c r="C284" s="1327"/>
      <c r="E284" s="829" t="s">
        <v>282</v>
      </c>
      <c r="F284" s="829" t="s">
        <v>258</v>
      </c>
      <c r="G284" s="829" t="s">
        <v>57</v>
      </c>
      <c r="H284" s="829" t="s">
        <v>61</v>
      </c>
      <c r="I284" s="829" t="s">
        <v>63</v>
      </c>
      <c r="J284" s="1296"/>
    </row>
    <row r="285" spans="1:11" s="437" customFormat="1" ht="15">
      <c r="A285" s="1369"/>
      <c r="B285" s="1369"/>
      <c r="C285" s="1370"/>
      <c r="E285" s="829"/>
      <c r="F285" s="829" t="s">
        <v>62</v>
      </c>
      <c r="G285" s="829" t="s">
        <v>62</v>
      </c>
      <c r="H285" s="829" t="s">
        <v>62</v>
      </c>
      <c r="I285" s="829" t="s">
        <v>62</v>
      </c>
      <c r="J285" s="1297" t="s">
        <v>208</v>
      </c>
    </row>
    <row r="286" spans="1:11" ht="15">
      <c r="A286" s="1820" t="s">
        <v>256</v>
      </c>
      <c r="B286" s="1821"/>
      <c r="C286" s="1821"/>
      <c r="D286" s="1828"/>
      <c r="E286" s="1829"/>
      <c r="F286" s="1829"/>
      <c r="G286" s="1829"/>
      <c r="H286" s="1829"/>
      <c r="I286" s="1829"/>
      <c r="J286" s="1825"/>
      <c r="K286" s="437"/>
    </row>
    <row r="287" spans="1:11" ht="15">
      <c r="A287" s="1779" t="s">
        <v>1488</v>
      </c>
      <c r="B287" s="2073"/>
      <c r="C287" s="1821"/>
      <c r="D287" s="1828"/>
      <c r="E287" s="1829"/>
      <c r="F287" s="1829"/>
      <c r="G287" s="1829"/>
      <c r="H287" s="1829"/>
      <c r="I287" s="1829"/>
      <c r="J287" s="1825"/>
      <c r="K287" s="437"/>
    </row>
    <row r="288" spans="1:11" ht="38.25">
      <c r="A288" s="1782">
        <v>287847</v>
      </c>
      <c r="B288" s="2626">
        <v>415.423</v>
      </c>
      <c r="C288" s="2628" t="s">
        <v>1681</v>
      </c>
      <c r="D288" s="2290"/>
      <c r="E288" s="1786">
        <v>0</v>
      </c>
      <c r="F288" s="1786">
        <f>E288</f>
        <v>0</v>
      </c>
      <c r="G288" s="1786">
        <v>0</v>
      </c>
      <c r="H288" s="1786">
        <v>0</v>
      </c>
      <c r="I288" s="1786">
        <v>0</v>
      </c>
      <c r="J288" s="1785" t="s">
        <v>1780</v>
      </c>
    </row>
    <row r="289" spans="1:10" ht="25.5">
      <c r="A289" s="1782">
        <v>287849</v>
      </c>
      <c r="B289" s="2626">
        <v>415.42399999999998</v>
      </c>
      <c r="C289" s="2628" t="s">
        <v>1682</v>
      </c>
      <c r="D289" s="2290"/>
      <c r="E289" s="1786">
        <v>18277019</v>
      </c>
      <c r="F289" s="1786">
        <f>E289</f>
        <v>18277019</v>
      </c>
      <c r="G289" s="1786">
        <v>0</v>
      </c>
      <c r="H289" s="1786">
        <v>0</v>
      </c>
      <c r="I289" s="1786">
        <v>0</v>
      </c>
      <c r="J289" s="1785" t="s">
        <v>1779</v>
      </c>
    </row>
    <row r="290" spans="1:10" ht="25.5">
      <c r="A290" s="1782">
        <v>287841</v>
      </c>
      <c r="B290" s="2626">
        <v>415.411</v>
      </c>
      <c r="C290" s="2628" t="s">
        <v>1778</v>
      </c>
      <c r="D290" s="2290"/>
      <c r="E290" s="1786">
        <v>814151</v>
      </c>
      <c r="F290" s="1786">
        <f t="shared" ref="F290:F352" si="4">E290</f>
        <v>814151</v>
      </c>
      <c r="G290" s="1786">
        <v>0</v>
      </c>
      <c r="H290" s="1786">
        <v>0</v>
      </c>
      <c r="I290" s="1786">
        <v>0</v>
      </c>
      <c r="J290" s="2465" t="s">
        <v>1777</v>
      </c>
    </row>
    <row r="291" spans="1:10" ht="25.5">
      <c r="A291" s="1782">
        <v>287842</v>
      </c>
      <c r="B291" s="2626">
        <v>415.41199999999998</v>
      </c>
      <c r="C291" s="2628" t="s">
        <v>1776</v>
      </c>
      <c r="D291" s="2290"/>
      <c r="E291" s="1786">
        <v>315696</v>
      </c>
      <c r="F291" s="1786">
        <f t="shared" si="4"/>
        <v>315696</v>
      </c>
      <c r="G291" s="1786">
        <v>0</v>
      </c>
      <c r="H291" s="1786">
        <v>0</v>
      </c>
      <c r="I291" s="1786">
        <v>0</v>
      </c>
      <c r="J291" s="2465" t="s">
        <v>1775</v>
      </c>
    </row>
    <row r="292" spans="1:10" ht="25.5">
      <c r="A292" s="1782">
        <v>287843</v>
      </c>
      <c r="B292" s="2626">
        <v>415.41300000000001</v>
      </c>
      <c r="C292" s="2628" t="s">
        <v>1774</v>
      </c>
      <c r="D292" s="2290"/>
      <c r="E292" s="1786">
        <v>1444022</v>
      </c>
      <c r="F292" s="1786">
        <f t="shared" si="4"/>
        <v>1444022</v>
      </c>
      <c r="G292" s="1786">
        <v>0</v>
      </c>
      <c r="H292" s="1786">
        <v>0</v>
      </c>
      <c r="I292" s="1786">
        <v>0</v>
      </c>
      <c r="J292" s="2465" t="s">
        <v>1773</v>
      </c>
    </row>
    <row r="293" spans="1:10" ht="25.5">
      <c r="A293" s="1782">
        <v>287844</v>
      </c>
      <c r="B293" s="2626">
        <v>415.41399999999999</v>
      </c>
      <c r="C293" s="2628" t="s">
        <v>1772</v>
      </c>
      <c r="D293" s="2290"/>
      <c r="E293" s="1786">
        <v>2513898</v>
      </c>
      <c r="F293" s="1786">
        <f t="shared" si="4"/>
        <v>2513898</v>
      </c>
      <c r="G293" s="1786">
        <v>0</v>
      </c>
      <c r="H293" s="1786">
        <v>0</v>
      </c>
      <c r="I293" s="1786">
        <v>0</v>
      </c>
      <c r="J293" s="2465" t="s">
        <v>1771</v>
      </c>
    </row>
    <row r="294" spans="1:10" ht="25.5">
      <c r="A294" s="1782">
        <v>287845</v>
      </c>
      <c r="B294" s="2626">
        <v>415.41500000000002</v>
      </c>
      <c r="C294" s="2628" t="s">
        <v>1770</v>
      </c>
      <c r="D294" s="2290"/>
      <c r="E294" s="1786">
        <v>3651735</v>
      </c>
      <c r="F294" s="1786">
        <f t="shared" si="4"/>
        <v>3651735</v>
      </c>
      <c r="G294" s="1786">
        <v>0</v>
      </c>
      <c r="H294" s="1786">
        <v>0</v>
      </c>
      <c r="I294" s="1786">
        <v>0</v>
      </c>
      <c r="J294" s="2465" t="s">
        <v>1769</v>
      </c>
    </row>
    <row r="295" spans="1:10" ht="25.5">
      <c r="A295" s="1782">
        <v>287846</v>
      </c>
      <c r="B295" s="2626">
        <v>415.416</v>
      </c>
      <c r="C295" s="2628" t="s">
        <v>1768</v>
      </c>
      <c r="D295" s="2290"/>
      <c r="E295" s="1786">
        <v>426370</v>
      </c>
      <c r="F295" s="1786">
        <f t="shared" si="4"/>
        <v>426370</v>
      </c>
      <c r="G295" s="1786">
        <v>0</v>
      </c>
      <c r="H295" s="1786">
        <v>0</v>
      </c>
      <c r="I295" s="1786">
        <v>0</v>
      </c>
      <c r="J295" s="2465" t="s">
        <v>1767</v>
      </c>
    </row>
    <row r="296" spans="1:10" ht="38.25">
      <c r="A296" s="1782">
        <v>287850</v>
      </c>
      <c r="B296" s="2626">
        <v>415.42500000000001</v>
      </c>
      <c r="C296" s="2628" t="s">
        <v>1766</v>
      </c>
      <c r="D296" s="2290"/>
      <c r="E296" s="1786">
        <v>1631505</v>
      </c>
      <c r="F296" s="1786">
        <f t="shared" si="4"/>
        <v>1631505</v>
      </c>
      <c r="G296" s="1786">
        <v>0</v>
      </c>
      <c r="H296" s="1786">
        <v>0</v>
      </c>
      <c r="I296" s="1786">
        <v>0</v>
      </c>
      <c r="J296" s="2465" t="s">
        <v>1765</v>
      </c>
    </row>
    <row r="297" spans="1:10" ht="39.75" customHeight="1">
      <c r="A297" s="1782">
        <v>287851</v>
      </c>
      <c r="B297" s="2626">
        <v>415.41699999999997</v>
      </c>
      <c r="C297" s="2628" t="s">
        <v>1764</v>
      </c>
      <c r="D297" s="2290"/>
      <c r="E297" s="1786">
        <v>687890</v>
      </c>
      <c r="F297" s="1786">
        <f t="shared" si="4"/>
        <v>687890</v>
      </c>
      <c r="G297" s="1786">
        <v>0</v>
      </c>
      <c r="H297" s="1786">
        <v>0</v>
      </c>
      <c r="I297" s="1786">
        <v>0</v>
      </c>
      <c r="J297" s="2465" t="s">
        <v>1763</v>
      </c>
    </row>
    <row r="298" spans="1:10" ht="41.25" customHeight="1">
      <c r="A298" s="1782">
        <v>287855</v>
      </c>
      <c r="B298" s="2626">
        <v>415.42099999999999</v>
      </c>
      <c r="C298" s="2628" t="s">
        <v>1762</v>
      </c>
      <c r="D298" s="2290"/>
      <c r="E298" s="1786">
        <v>3085411</v>
      </c>
      <c r="F298" s="1786">
        <f t="shared" si="4"/>
        <v>3085411</v>
      </c>
      <c r="G298" s="1786">
        <v>0</v>
      </c>
      <c r="H298" s="1786">
        <v>0</v>
      </c>
      <c r="I298" s="1786">
        <v>0</v>
      </c>
      <c r="J298" s="2465" t="s">
        <v>1761</v>
      </c>
    </row>
    <row r="299" spans="1:10" ht="25.5">
      <c r="A299" s="1782">
        <v>287747</v>
      </c>
      <c r="B299" s="2626">
        <v>705.24</v>
      </c>
      <c r="C299" s="2628" t="s">
        <v>1760</v>
      </c>
      <c r="D299" s="2290"/>
      <c r="E299" s="1786">
        <v>-250691</v>
      </c>
      <c r="F299" s="1786">
        <f t="shared" si="4"/>
        <v>-250691</v>
      </c>
      <c r="G299" s="1786">
        <v>0</v>
      </c>
      <c r="H299" s="1786">
        <v>0</v>
      </c>
      <c r="I299" s="1786">
        <v>0</v>
      </c>
      <c r="J299" s="2465" t="s">
        <v>1759</v>
      </c>
    </row>
    <row r="300" spans="1:10" ht="25.5">
      <c r="A300" s="1782">
        <v>287642</v>
      </c>
      <c r="B300" s="2626">
        <v>105.401</v>
      </c>
      <c r="C300" s="2628" t="s">
        <v>1489</v>
      </c>
      <c r="D300" s="2290"/>
      <c r="E300" s="1786">
        <v>-30995891</v>
      </c>
      <c r="F300" s="1786">
        <f t="shared" si="4"/>
        <v>-30995891</v>
      </c>
      <c r="G300" s="1786">
        <v>0</v>
      </c>
      <c r="H300" s="1786">
        <v>0</v>
      </c>
      <c r="I300" s="1786">
        <v>0</v>
      </c>
      <c r="J300" s="1785" t="s">
        <v>1255</v>
      </c>
    </row>
    <row r="301" spans="1:10" ht="51">
      <c r="A301" s="1782">
        <v>287911</v>
      </c>
      <c r="B301" s="2626">
        <v>415.69900000000001</v>
      </c>
      <c r="C301" s="2628" t="s">
        <v>1683</v>
      </c>
      <c r="D301" s="2290"/>
      <c r="E301" s="1786">
        <v>-1277691</v>
      </c>
      <c r="F301" s="1786">
        <f t="shared" ref="F301:F308" si="5">E301</f>
        <v>-1277691</v>
      </c>
      <c r="G301" s="1786">
        <v>0</v>
      </c>
      <c r="H301" s="1786">
        <v>0</v>
      </c>
      <c r="I301" s="1786">
        <v>0</v>
      </c>
      <c r="J301" s="2465" t="s">
        <v>1758</v>
      </c>
    </row>
    <row r="302" spans="1:10" ht="25.5">
      <c r="A302" s="1782">
        <v>287997</v>
      </c>
      <c r="B302" s="2626">
        <v>415.86200000000002</v>
      </c>
      <c r="C302" s="2628" t="s">
        <v>1757</v>
      </c>
      <c r="D302" s="2290"/>
      <c r="E302" s="1786">
        <v>-3897</v>
      </c>
      <c r="F302" s="1786">
        <f t="shared" si="5"/>
        <v>-3897</v>
      </c>
      <c r="G302" s="1786">
        <v>0</v>
      </c>
      <c r="H302" s="1786">
        <v>0</v>
      </c>
      <c r="I302" s="1786">
        <v>0</v>
      </c>
      <c r="J302" s="2465" t="s">
        <v>1756</v>
      </c>
    </row>
    <row r="303" spans="1:10" ht="25.5">
      <c r="A303" s="1782">
        <v>287935</v>
      </c>
      <c r="B303" s="2626">
        <v>415.93599999999998</v>
      </c>
      <c r="C303" s="2628" t="s">
        <v>1980</v>
      </c>
      <c r="D303" s="2290"/>
      <c r="E303" s="1786">
        <v>-1309083</v>
      </c>
      <c r="F303" s="1786">
        <f t="shared" si="5"/>
        <v>-1309083</v>
      </c>
      <c r="G303" s="1786">
        <v>0</v>
      </c>
      <c r="H303" s="1786">
        <v>0</v>
      </c>
      <c r="I303" s="1786">
        <v>0</v>
      </c>
      <c r="J303" s="2465" t="s">
        <v>1981</v>
      </c>
    </row>
    <row r="304" spans="1:10" ht="38.25">
      <c r="A304" s="1782">
        <v>286901</v>
      </c>
      <c r="B304" s="2626">
        <v>415.93799999999999</v>
      </c>
      <c r="C304" s="2628" t="s">
        <v>1982</v>
      </c>
      <c r="D304" s="2290"/>
      <c r="E304" s="1786">
        <v>19753</v>
      </c>
      <c r="F304" s="1786">
        <f t="shared" si="5"/>
        <v>19753</v>
      </c>
      <c r="G304" s="1786">
        <v>0</v>
      </c>
      <c r="H304" s="1786">
        <v>0</v>
      </c>
      <c r="I304" s="1786">
        <v>0</v>
      </c>
      <c r="J304" s="2465" t="s">
        <v>1983</v>
      </c>
    </row>
    <row r="305" spans="1:10" ht="38.25">
      <c r="A305" s="1782">
        <v>286900</v>
      </c>
      <c r="B305" s="2626">
        <v>415.93700000000001</v>
      </c>
      <c r="C305" s="2628" t="s">
        <v>1984</v>
      </c>
      <c r="D305" s="2290"/>
      <c r="E305" s="1786">
        <v>105427</v>
      </c>
      <c r="F305" s="1786">
        <f t="shared" si="5"/>
        <v>105427</v>
      </c>
      <c r="G305" s="1786">
        <v>0</v>
      </c>
      <c r="H305" s="1786">
        <v>0</v>
      </c>
      <c r="I305" s="1786">
        <v>0</v>
      </c>
      <c r="J305" s="2465" t="s">
        <v>1985</v>
      </c>
    </row>
    <row r="306" spans="1:10" ht="38.25">
      <c r="A306" s="1782">
        <v>287984</v>
      </c>
      <c r="B306" s="2626">
        <v>415.923</v>
      </c>
      <c r="C306" s="2628" t="s">
        <v>1684</v>
      </c>
      <c r="D306" s="2290"/>
      <c r="E306" s="1786">
        <v>-726593</v>
      </c>
      <c r="F306" s="1786">
        <f t="shared" si="5"/>
        <v>-726593</v>
      </c>
      <c r="G306" s="1786">
        <v>0</v>
      </c>
      <c r="H306" s="1786">
        <v>0</v>
      </c>
      <c r="I306" s="1786">
        <v>0</v>
      </c>
      <c r="J306" s="1785" t="s">
        <v>1685</v>
      </c>
    </row>
    <row r="307" spans="1:10" ht="38.25">
      <c r="A307" s="1782">
        <v>287985</v>
      </c>
      <c r="B307" s="2626">
        <v>415.92399999999998</v>
      </c>
      <c r="C307" s="2628" t="s">
        <v>1686</v>
      </c>
      <c r="D307" s="2290"/>
      <c r="E307" s="1786">
        <v>-5229103</v>
      </c>
      <c r="F307" s="1786">
        <f t="shared" si="5"/>
        <v>-5229103</v>
      </c>
      <c r="G307" s="1786">
        <v>0</v>
      </c>
      <c r="H307" s="1786">
        <v>0</v>
      </c>
      <c r="I307" s="1786">
        <v>0</v>
      </c>
      <c r="J307" s="1785" t="s">
        <v>1687</v>
      </c>
    </row>
    <row r="308" spans="1:10" ht="38.25">
      <c r="A308" s="1782">
        <v>287986</v>
      </c>
      <c r="B308" s="2626">
        <v>415.92500000000001</v>
      </c>
      <c r="C308" s="2628" t="s">
        <v>1688</v>
      </c>
      <c r="D308" s="2290"/>
      <c r="E308" s="1786">
        <v>-1758175</v>
      </c>
      <c r="F308" s="1786">
        <f t="shared" si="5"/>
        <v>-1758175</v>
      </c>
      <c r="G308" s="1786">
        <v>0</v>
      </c>
      <c r="H308" s="1786">
        <v>0</v>
      </c>
      <c r="I308" s="1786">
        <v>0</v>
      </c>
      <c r="J308" s="1785" t="s">
        <v>1689</v>
      </c>
    </row>
    <row r="309" spans="1:10" ht="38.25">
      <c r="A309" s="1782">
        <v>287760</v>
      </c>
      <c r="B309" s="2626">
        <v>415.89600000000002</v>
      </c>
      <c r="C309" s="2628" t="s">
        <v>1490</v>
      </c>
      <c r="D309" s="2290"/>
      <c r="E309" s="1786">
        <v>0</v>
      </c>
      <c r="F309" s="1786">
        <f t="shared" si="4"/>
        <v>0</v>
      </c>
      <c r="G309" s="1786">
        <v>0</v>
      </c>
      <c r="H309" s="1786">
        <v>0</v>
      </c>
      <c r="I309" s="1786">
        <v>0</v>
      </c>
      <c r="J309" s="1785" t="s">
        <v>1260</v>
      </c>
    </row>
    <row r="310" spans="1:10" ht="25.5">
      <c r="A310" s="1782">
        <v>287635</v>
      </c>
      <c r="B310" s="2626">
        <v>415.5</v>
      </c>
      <c r="C310" s="2628" t="s">
        <v>1491</v>
      </c>
      <c r="D310" s="2290"/>
      <c r="E310" s="1786">
        <v>-248483</v>
      </c>
      <c r="F310" s="1786">
        <f t="shared" si="4"/>
        <v>-248483</v>
      </c>
      <c r="G310" s="1786">
        <v>0</v>
      </c>
      <c r="H310" s="1786">
        <v>0</v>
      </c>
      <c r="I310" s="1786">
        <v>0</v>
      </c>
      <c r="J310" s="1785" t="s">
        <v>1252</v>
      </c>
    </row>
    <row r="311" spans="1:10" ht="38.25">
      <c r="A311" s="1782">
        <v>287947</v>
      </c>
      <c r="B311" s="2626">
        <v>415.50099999999998</v>
      </c>
      <c r="C311" s="2628" t="s">
        <v>1492</v>
      </c>
      <c r="D311" s="2290"/>
      <c r="E311" s="1786">
        <v>7299</v>
      </c>
      <c r="F311" s="1786">
        <f t="shared" si="4"/>
        <v>7299</v>
      </c>
      <c r="G311" s="1786">
        <v>0</v>
      </c>
      <c r="H311" s="1786">
        <v>0</v>
      </c>
      <c r="I311" s="1786">
        <v>0</v>
      </c>
      <c r="J311" s="1785" t="s">
        <v>1276</v>
      </c>
    </row>
    <row r="312" spans="1:10" ht="38.25">
      <c r="A312" s="1782">
        <v>287948</v>
      </c>
      <c r="B312" s="2626">
        <v>415.50200000000001</v>
      </c>
      <c r="C312" s="2628" t="s">
        <v>1493</v>
      </c>
      <c r="D312" s="2290"/>
      <c r="E312" s="1786">
        <v>11913</v>
      </c>
      <c r="F312" s="1786">
        <f t="shared" si="4"/>
        <v>11913</v>
      </c>
      <c r="G312" s="1786">
        <v>0</v>
      </c>
      <c r="H312" s="1786">
        <v>0</v>
      </c>
      <c r="I312" s="1786">
        <v>0</v>
      </c>
      <c r="J312" s="1785" t="s">
        <v>1277</v>
      </c>
    </row>
    <row r="313" spans="1:10" ht="38.25">
      <c r="A313" s="1782">
        <v>287949</v>
      </c>
      <c r="B313" s="2626">
        <v>415.50299999999999</v>
      </c>
      <c r="C313" s="2628" t="s">
        <v>1494</v>
      </c>
      <c r="D313" s="2290"/>
      <c r="E313" s="1786">
        <v>21476</v>
      </c>
      <c r="F313" s="1786">
        <f t="shared" si="4"/>
        <v>21476</v>
      </c>
      <c r="G313" s="1786">
        <v>0</v>
      </c>
      <c r="H313" s="1786">
        <v>0</v>
      </c>
      <c r="I313" s="1786">
        <v>0</v>
      </c>
      <c r="J313" s="1785" t="s">
        <v>1278</v>
      </c>
    </row>
    <row r="314" spans="1:10" ht="38.25">
      <c r="A314" s="1782">
        <v>287581</v>
      </c>
      <c r="B314" s="2626">
        <v>415.82400000000001</v>
      </c>
      <c r="C314" s="2628" t="s">
        <v>1495</v>
      </c>
      <c r="D314" s="2290"/>
      <c r="E314" s="1786">
        <v>69769</v>
      </c>
      <c r="F314" s="1786">
        <f t="shared" si="4"/>
        <v>69769</v>
      </c>
      <c r="G314" s="1786">
        <v>0</v>
      </c>
      <c r="H314" s="1786">
        <v>0</v>
      </c>
      <c r="I314" s="1786">
        <v>0</v>
      </c>
      <c r="J314" s="1785" t="s">
        <v>1245</v>
      </c>
    </row>
    <row r="315" spans="1:10" ht="38.25">
      <c r="A315" s="1782">
        <v>287577</v>
      </c>
      <c r="B315" s="2626">
        <v>415.82</v>
      </c>
      <c r="C315" s="2628" t="s">
        <v>1496</v>
      </c>
      <c r="D315" s="2290"/>
      <c r="E315" s="1786">
        <v>770126</v>
      </c>
      <c r="F315" s="1786">
        <f t="shared" si="4"/>
        <v>770126</v>
      </c>
      <c r="G315" s="1786">
        <v>0</v>
      </c>
      <c r="H315" s="1786">
        <v>0</v>
      </c>
      <c r="I315" s="1786">
        <v>0</v>
      </c>
      <c r="J315" s="1785" t="s">
        <v>1243</v>
      </c>
    </row>
    <row r="316" spans="1:10" ht="27" customHeight="1">
      <c r="A316" s="1782">
        <v>286903</v>
      </c>
      <c r="B316" s="2626">
        <v>320.27100000000002</v>
      </c>
      <c r="C316" s="2628" t="s">
        <v>1986</v>
      </c>
      <c r="D316" s="2290"/>
      <c r="E316" s="1786">
        <v>1868309</v>
      </c>
      <c r="F316" s="1786">
        <f t="shared" si="4"/>
        <v>1868309</v>
      </c>
      <c r="G316" s="1786">
        <v>0</v>
      </c>
      <c r="H316" s="1786">
        <v>0</v>
      </c>
      <c r="I316" s="1786">
        <v>0</v>
      </c>
      <c r="J316" s="2465" t="s">
        <v>2073</v>
      </c>
    </row>
    <row r="317" spans="1:10" ht="37.5" customHeight="1">
      <c r="A317" s="1782">
        <v>287781</v>
      </c>
      <c r="B317" s="2626">
        <v>415.87</v>
      </c>
      <c r="C317" s="2628" t="s">
        <v>1497</v>
      </c>
      <c r="D317" s="2290"/>
      <c r="E317" s="1786">
        <v>-1804306</v>
      </c>
      <c r="F317" s="1786">
        <f t="shared" si="4"/>
        <v>-1804306</v>
      </c>
      <c r="G317" s="1786">
        <v>0</v>
      </c>
      <c r="H317" s="1786">
        <v>0</v>
      </c>
      <c r="I317" s="1786">
        <v>0</v>
      </c>
      <c r="J317" s="2466" t="s">
        <v>1498</v>
      </c>
    </row>
    <row r="318" spans="1:10" ht="27.75" customHeight="1">
      <c r="A318" s="1782">
        <v>287596</v>
      </c>
      <c r="B318" s="2626">
        <v>415.892</v>
      </c>
      <c r="C318" s="2628" t="s">
        <v>1499</v>
      </c>
      <c r="D318" s="2290"/>
      <c r="E318" s="1786">
        <v>-4698471</v>
      </c>
      <c r="F318" s="1786">
        <f t="shared" si="4"/>
        <v>-4698471</v>
      </c>
      <c r="G318" s="1786">
        <v>0</v>
      </c>
      <c r="H318" s="1786">
        <v>0</v>
      </c>
      <c r="I318" s="1786">
        <v>0</v>
      </c>
      <c r="J318" s="2466" t="s">
        <v>1500</v>
      </c>
    </row>
    <row r="319" spans="1:10" ht="26.25" customHeight="1">
      <c r="A319" s="1782">
        <v>287896</v>
      </c>
      <c r="B319" s="2626">
        <v>415.875</v>
      </c>
      <c r="C319" s="2628" t="s">
        <v>1501</v>
      </c>
      <c r="D319" s="2290"/>
      <c r="E319" s="1786">
        <v>-4882396</v>
      </c>
      <c r="F319" s="1786">
        <f t="shared" si="4"/>
        <v>-4882396</v>
      </c>
      <c r="G319" s="1786">
        <v>0</v>
      </c>
      <c r="H319" s="1786">
        <v>0</v>
      </c>
      <c r="I319" s="1786">
        <v>0</v>
      </c>
      <c r="J319" s="2466" t="s">
        <v>1502</v>
      </c>
    </row>
    <row r="320" spans="1:10" ht="27" customHeight="1">
      <c r="A320" s="1782">
        <v>287593</v>
      </c>
      <c r="B320" s="2626">
        <v>415.87400000000002</v>
      </c>
      <c r="C320" s="2628" t="s">
        <v>1503</v>
      </c>
      <c r="D320" s="2290"/>
      <c r="E320" s="1786">
        <v>-1095086</v>
      </c>
      <c r="F320" s="1786">
        <f t="shared" si="4"/>
        <v>-1095086</v>
      </c>
      <c r="G320" s="1786">
        <v>0</v>
      </c>
      <c r="H320" s="1786">
        <v>0</v>
      </c>
      <c r="I320" s="1786">
        <v>0</v>
      </c>
      <c r="J320" s="2466" t="s">
        <v>1504</v>
      </c>
    </row>
    <row r="321" spans="1:10" ht="39.75" customHeight="1">
      <c r="A321" s="1782">
        <v>287783</v>
      </c>
      <c r="B321" s="2626">
        <v>415.88</v>
      </c>
      <c r="C321" s="2628" t="s">
        <v>1505</v>
      </c>
      <c r="D321" s="2290"/>
      <c r="E321" s="1786">
        <v>0</v>
      </c>
      <c r="F321" s="1786">
        <f t="shared" si="4"/>
        <v>0</v>
      </c>
      <c r="G321" s="1786">
        <v>0</v>
      </c>
      <c r="H321" s="1786">
        <v>0</v>
      </c>
      <c r="I321" s="1786">
        <v>0</v>
      </c>
      <c r="J321" s="1785" t="s">
        <v>1262</v>
      </c>
    </row>
    <row r="322" spans="1:10" ht="25.5">
      <c r="A322" s="1782">
        <v>287570</v>
      </c>
      <c r="B322" s="2626">
        <v>415.70100000000002</v>
      </c>
      <c r="C322" s="2628" t="s">
        <v>1506</v>
      </c>
      <c r="D322" s="2290"/>
      <c r="E322" s="1786">
        <v>-15409</v>
      </c>
      <c r="F322" s="1786">
        <f t="shared" si="4"/>
        <v>-15409</v>
      </c>
      <c r="G322" s="1786">
        <v>0</v>
      </c>
      <c r="H322" s="1786">
        <v>0</v>
      </c>
      <c r="I322" s="1786">
        <v>0</v>
      </c>
      <c r="J322" s="1785" t="s">
        <v>1241</v>
      </c>
    </row>
    <row r="323" spans="1:10" ht="25.5">
      <c r="A323" s="1782">
        <v>287647</v>
      </c>
      <c r="B323" s="2626">
        <v>425.1</v>
      </c>
      <c r="C323" s="2628" t="s">
        <v>1507</v>
      </c>
      <c r="D323" s="2290"/>
      <c r="E323" s="1786">
        <v>-10196</v>
      </c>
      <c r="F323" s="1786">
        <f t="shared" si="4"/>
        <v>-10196</v>
      </c>
      <c r="G323" s="1786">
        <v>0</v>
      </c>
      <c r="H323" s="1786">
        <v>0</v>
      </c>
      <c r="I323" s="1786">
        <v>0</v>
      </c>
      <c r="J323" s="1785" t="s">
        <v>1256</v>
      </c>
    </row>
    <row r="324" spans="1:10" ht="25.5">
      <c r="A324" s="1782">
        <v>287640</v>
      </c>
      <c r="B324" s="2626">
        <v>415.68</v>
      </c>
      <c r="C324" s="2628" t="s">
        <v>1508</v>
      </c>
      <c r="D324" s="2290"/>
      <c r="E324" s="1786">
        <v>-155946</v>
      </c>
      <c r="F324" s="1786">
        <f t="shared" si="4"/>
        <v>-155946</v>
      </c>
      <c r="G324" s="1786">
        <v>0</v>
      </c>
      <c r="H324" s="1786">
        <v>0</v>
      </c>
      <c r="I324" s="1786">
        <v>0</v>
      </c>
      <c r="J324" s="1785" t="s">
        <v>1254</v>
      </c>
    </row>
    <row r="325" spans="1:10" ht="25.5">
      <c r="A325" s="1782">
        <v>287861</v>
      </c>
      <c r="B325" s="2626">
        <v>415.85700000000003</v>
      </c>
      <c r="C325" s="2628" t="s">
        <v>1509</v>
      </c>
      <c r="D325" s="2290"/>
      <c r="E325" s="1786">
        <v>-99118</v>
      </c>
      <c r="F325" s="1786">
        <f t="shared" si="4"/>
        <v>-99118</v>
      </c>
      <c r="G325" s="1786">
        <v>0</v>
      </c>
      <c r="H325" s="1786">
        <v>0</v>
      </c>
      <c r="I325" s="1786">
        <v>0</v>
      </c>
      <c r="J325" s="1785" t="s">
        <v>1263</v>
      </c>
    </row>
    <row r="326" spans="1:10" ht="25.5">
      <c r="A326" s="1782">
        <v>287868</v>
      </c>
      <c r="B326" s="2626">
        <v>415.858</v>
      </c>
      <c r="C326" s="2628" t="s">
        <v>1510</v>
      </c>
      <c r="D326" s="2290"/>
      <c r="E326" s="1786">
        <v>-278816</v>
      </c>
      <c r="F326" s="1786">
        <f t="shared" si="4"/>
        <v>-278816</v>
      </c>
      <c r="G326" s="1786">
        <v>0</v>
      </c>
      <c r="H326" s="1786">
        <v>0</v>
      </c>
      <c r="I326" s="1786">
        <v>0</v>
      </c>
      <c r="J326" s="1785" t="s">
        <v>1266</v>
      </c>
    </row>
    <row r="327" spans="1:10" ht="63.75">
      <c r="A327" s="1782">
        <v>287614</v>
      </c>
      <c r="B327" s="2626">
        <v>430.1</v>
      </c>
      <c r="C327" s="2628" t="s">
        <v>1511</v>
      </c>
      <c r="D327" s="2290"/>
      <c r="E327" s="1786">
        <v>-999098</v>
      </c>
      <c r="F327" s="1786">
        <f t="shared" si="4"/>
        <v>-999098</v>
      </c>
      <c r="G327" s="1786">
        <v>0</v>
      </c>
      <c r="H327" s="1786">
        <v>0</v>
      </c>
      <c r="I327" s="1786">
        <v>0</v>
      </c>
      <c r="J327" s="2466" t="s">
        <v>1512</v>
      </c>
    </row>
    <row r="328" spans="1:10" ht="38.25" customHeight="1">
      <c r="A328" s="1782">
        <v>287981</v>
      </c>
      <c r="B328" s="2626">
        <v>415.92</v>
      </c>
      <c r="C328" s="2628" t="s">
        <v>1690</v>
      </c>
      <c r="D328" s="2290"/>
      <c r="E328" s="1786">
        <v>-1898984</v>
      </c>
      <c r="F328" s="1786">
        <f t="shared" si="4"/>
        <v>-1898984</v>
      </c>
      <c r="G328" s="1786">
        <v>0</v>
      </c>
      <c r="H328" s="1786">
        <v>0</v>
      </c>
      <c r="I328" s="1786">
        <v>0</v>
      </c>
      <c r="J328" s="2466" t="s">
        <v>1691</v>
      </c>
    </row>
    <row r="329" spans="1:10" ht="40.5" customHeight="1">
      <c r="A329" s="1782">
        <v>287982</v>
      </c>
      <c r="B329" s="2626">
        <v>415.92099999999999</v>
      </c>
      <c r="C329" s="2628" t="s">
        <v>1692</v>
      </c>
      <c r="D329" s="2290"/>
      <c r="E329" s="1786">
        <v>-704608</v>
      </c>
      <c r="F329" s="1786">
        <f t="shared" si="4"/>
        <v>-704608</v>
      </c>
      <c r="G329" s="1786">
        <v>0</v>
      </c>
      <c r="H329" s="1786">
        <v>0</v>
      </c>
      <c r="I329" s="1786">
        <v>0</v>
      </c>
      <c r="J329" s="2466" t="s">
        <v>1693</v>
      </c>
    </row>
    <row r="330" spans="1:10" ht="38.25">
      <c r="A330" s="1782">
        <v>287983</v>
      </c>
      <c r="B330" s="2626">
        <v>415.92200000000003</v>
      </c>
      <c r="C330" s="2628" t="s">
        <v>1694</v>
      </c>
      <c r="D330" s="2290"/>
      <c r="E330" s="1786">
        <v>-2433330</v>
      </c>
      <c r="F330" s="1786">
        <f t="shared" si="4"/>
        <v>-2433330</v>
      </c>
      <c r="G330" s="1786">
        <v>0</v>
      </c>
      <c r="H330" s="1786">
        <v>0</v>
      </c>
      <c r="I330" s="1786">
        <v>0</v>
      </c>
      <c r="J330" s="2466" t="s">
        <v>1695</v>
      </c>
    </row>
    <row r="331" spans="1:10" ht="25.5">
      <c r="A331" s="1782">
        <v>287576</v>
      </c>
      <c r="B331" s="2626">
        <v>430.11</v>
      </c>
      <c r="C331" s="2628" t="s">
        <v>1513</v>
      </c>
      <c r="D331" s="2290"/>
      <c r="E331" s="1786">
        <v>-1671552</v>
      </c>
      <c r="F331" s="1786">
        <f t="shared" si="4"/>
        <v>-1671552</v>
      </c>
      <c r="G331" s="1786">
        <v>0</v>
      </c>
      <c r="H331" s="1786">
        <v>0</v>
      </c>
      <c r="I331" s="1786">
        <v>0</v>
      </c>
      <c r="J331" s="1785" t="s">
        <v>2065</v>
      </c>
    </row>
    <row r="332" spans="1:10" ht="63.75">
      <c r="A332" s="1782">
        <v>287648</v>
      </c>
      <c r="B332" s="2626">
        <v>100.12</v>
      </c>
      <c r="C332" s="2628" t="s">
        <v>1514</v>
      </c>
      <c r="D332" s="2290"/>
      <c r="E332" s="1786">
        <v>-159713363</v>
      </c>
      <c r="F332" s="1786">
        <f t="shared" si="4"/>
        <v>-159713363</v>
      </c>
      <c r="G332" s="1786">
        <v>0</v>
      </c>
      <c r="H332" s="1786">
        <v>0</v>
      </c>
      <c r="I332" s="1786">
        <v>0</v>
      </c>
      <c r="J332" s="1785" t="s">
        <v>1213</v>
      </c>
    </row>
    <row r="333" spans="1:10" ht="38.25">
      <c r="A333" s="1782">
        <v>287946</v>
      </c>
      <c r="B333" s="2626">
        <v>100.105</v>
      </c>
      <c r="C333" s="2628" t="s">
        <v>1696</v>
      </c>
      <c r="D333" s="2290"/>
      <c r="E333" s="1786">
        <v>0</v>
      </c>
      <c r="F333" s="1786">
        <f t="shared" si="4"/>
        <v>0</v>
      </c>
      <c r="G333" s="1786">
        <v>0</v>
      </c>
      <c r="H333" s="1786">
        <v>0</v>
      </c>
      <c r="I333" s="1786">
        <v>0</v>
      </c>
      <c r="J333" s="1785" t="s">
        <v>1697</v>
      </c>
    </row>
    <row r="334" spans="1:10" ht="51.75" customHeight="1">
      <c r="A334" s="1782">
        <v>287840</v>
      </c>
      <c r="B334" s="2626">
        <v>415.41</v>
      </c>
      <c r="C334" s="2628" t="s">
        <v>1698</v>
      </c>
      <c r="D334" s="2290"/>
      <c r="E334" s="1786">
        <v>-96007511</v>
      </c>
      <c r="F334" s="1786">
        <f t="shared" si="4"/>
        <v>-96007511</v>
      </c>
      <c r="G334" s="1786">
        <v>0</v>
      </c>
      <c r="H334" s="1786">
        <v>0</v>
      </c>
      <c r="I334" s="1786">
        <v>0</v>
      </c>
      <c r="J334" s="1785" t="s">
        <v>1699</v>
      </c>
    </row>
    <row r="335" spans="1:10" ht="38.25">
      <c r="A335" s="1782">
        <v>287634</v>
      </c>
      <c r="B335" s="2626">
        <v>415.3</v>
      </c>
      <c r="C335" s="2628" t="s">
        <v>1515</v>
      </c>
      <c r="D335" s="2290"/>
      <c r="E335" s="1786">
        <v>-19205744</v>
      </c>
      <c r="F335" s="1786">
        <f t="shared" si="4"/>
        <v>-19205744</v>
      </c>
      <c r="G335" s="1786">
        <v>0</v>
      </c>
      <c r="H335" s="1786">
        <v>0</v>
      </c>
      <c r="I335" s="1786">
        <v>0</v>
      </c>
      <c r="J335" s="1785" t="s">
        <v>1251</v>
      </c>
    </row>
    <row r="336" spans="1:10" ht="38.25">
      <c r="A336" s="1782">
        <v>287591</v>
      </c>
      <c r="B336" s="2626">
        <v>415.30099999999999</v>
      </c>
      <c r="C336" s="2628" t="s">
        <v>1516</v>
      </c>
      <c r="D336" s="2290"/>
      <c r="E336" s="1786">
        <v>635797</v>
      </c>
      <c r="F336" s="1786">
        <f t="shared" si="4"/>
        <v>635797</v>
      </c>
      <c r="G336" s="1786">
        <v>0</v>
      </c>
      <c r="H336" s="1786">
        <v>0</v>
      </c>
      <c r="I336" s="1786">
        <v>0</v>
      </c>
      <c r="J336" s="1785" t="s">
        <v>1249</v>
      </c>
    </row>
    <row r="337" spans="1:10" ht="25.5">
      <c r="A337" s="1782">
        <v>287738</v>
      </c>
      <c r="B337" s="2626">
        <v>320.27</v>
      </c>
      <c r="C337" s="2628" t="s">
        <v>1517</v>
      </c>
      <c r="D337" s="2290"/>
      <c r="E337" s="1786">
        <v>-188918570</v>
      </c>
      <c r="F337" s="1786">
        <f t="shared" si="4"/>
        <v>-188918570</v>
      </c>
      <c r="G337" s="1786">
        <v>0</v>
      </c>
      <c r="H337" s="1786">
        <v>0</v>
      </c>
      <c r="I337" s="1786">
        <v>0</v>
      </c>
      <c r="J337" s="1785" t="s">
        <v>1258</v>
      </c>
    </row>
    <row r="338" spans="1:10" ht="27" customHeight="1">
      <c r="A338" s="1782">
        <v>287739</v>
      </c>
      <c r="B338" s="2626">
        <v>320.27999999999997</v>
      </c>
      <c r="C338" s="2628" t="s">
        <v>1518</v>
      </c>
      <c r="D338" s="2290"/>
      <c r="E338" s="1786">
        <v>-9840938</v>
      </c>
      <c r="F338" s="1786">
        <f t="shared" si="4"/>
        <v>-9840938</v>
      </c>
      <c r="G338" s="1786">
        <v>0</v>
      </c>
      <c r="H338" s="1786">
        <v>0</v>
      </c>
      <c r="I338" s="1786">
        <v>0</v>
      </c>
      <c r="J338" s="1785" t="s">
        <v>1259</v>
      </c>
    </row>
    <row r="339" spans="1:10" ht="76.5">
      <c r="A339" s="1782">
        <v>287975</v>
      </c>
      <c r="B339" s="2626">
        <v>415.65499999999997</v>
      </c>
      <c r="C339" s="2628" t="s">
        <v>1755</v>
      </c>
      <c r="D339" s="2290"/>
      <c r="E339" s="1786">
        <v>0</v>
      </c>
      <c r="F339" s="1786">
        <f t="shared" si="4"/>
        <v>0</v>
      </c>
      <c r="G339" s="1786">
        <v>0</v>
      </c>
      <c r="H339" s="1786">
        <v>0</v>
      </c>
      <c r="I339" s="1786">
        <v>0</v>
      </c>
      <c r="J339" s="2466" t="s">
        <v>1754</v>
      </c>
    </row>
    <row r="340" spans="1:10" ht="38.25">
      <c r="A340" s="1782">
        <v>287597</v>
      </c>
      <c r="B340" s="2626">
        <v>415.70299999999997</v>
      </c>
      <c r="C340" s="2628" t="s">
        <v>1519</v>
      </c>
      <c r="D340" s="2290"/>
      <c r="E340" s="1786">
        <v>-137098</v>
      </c>
      <c r="F340" s="1786">
        <f t="shared" si="4"/>
        <v>-137098</v>
      </c>
      <c r="G340" s="1786">
        <v>0</v>
      </c>
      <c r="H340" s="1786">
        <v>0</v>
      </c>
      <c r="I340" s="1786">
        <v>0</v>
      </c>
      <c r="J340" s="1785" t="s">
        <v>1250</v>
      </c>
    </row>
    <row r="341" spans="1:10" ht="63.75" customHeight="1">
      <c r="A341" s="1782">
        <v>287897</v>
      </c>
      <c r="B341" s="2626">
        <v>425.4</v>
      </c>
      <c r="C341" s="2628" t="s">
        <v>1520</v>
      </c>
      <c r="D341" s="2290"/>
      <c r="E341" s="1786">
        <v>-8666125</v>
      </c>
      <c r="F341" s="1786">
        <f t="shared" si="4"/>
        <v>-8666125</v>
      </c>
      <c r="G341" s="1786">
        <v>0</v>
      </c>
      <c r="H341" s="1786">
        <v>0</v>
      </c>
      <c r="I341" s="1786">
        <v>0</v>
      </c>
      <c r="J341" s="1785" t="s">
        <v>1291</v>
      </c>
    </row>
    <row r="342" spans="1:10" ht="63" customHeight="1">
      <c r="A342" s="1782">
        <v>287571</v>
      </c>
      <c r="B342" s="2626">
        <v>415.702</v>
      </c>
      <c r="C342" s="2628" t="s">
        <v>1521</v>
      </c>
      <c r="D342" s="2290"/>
      <c r="E342" s="1786">
        <v>-318949</v>
      </c>
      <c r="F342" s="1786">
        <f t="shared" si="4"/>
        <v>-318949</v>
      </c>
      <c r="G342" s="1786">
        <v>0</v>
      </c>
      <c r="H342" s="1786">
        <v>0</v>
      </c>
      <c r="I342" s="1786">
        <v>0</v>
      </c>
      <c r="J342" s="1785" t="s">
        <v>1242</v>
      </c>
    </row>
    <row r="343" spans="1:10" ht="27" customHeight="1">
      <c r="A343" s="1782">
        <v>287903</v>
      </c>
      <c r="B343" s="2626">
        <v>415.87900000000002</v>
      </c>
      <c r="C343" s="2628" t="s">
        <v>1522</v>
      </c>
      <c r="D343" s="2290"/>
      <c r="E343" s="1786">
        <v>-36824</v>
      </c>
      <c r="F343" s="1786">
        <f t="shared" si="4"/>
        <v>-36824</v>
      </c>
      <c r="G343" s="1786">
        <v>0</v>
      </c>
      <c r="H343" s="1786">
        <v>0</v>
      </c>
      <c r="I343" s="1786">
        <v>0</v>
      </c>
      <c r="J343" s="2466" t="s">
        <v>1523</v>
      </c>
    </row>
    <row r="344" spans="1:10" ht="25.5">
      <c r="A344" s="1782">
        <v>287979</v>
      </c>
      <c r="B344" s="2626">
        <v>415.91699999999997</v>
      </c>
      <c r="C344" s="2628" t="s">
        <v>1524</v>
      </c>
      <c r="D344" s="2290"/>
      <c r="E344" s="1786">
        <v>0</v>
      </c>
      <c r="F344" s="1786">
        <f t="shared" si="4"/>
        <v>0</v>
      </c>
      <c r="G344" s="1786">
        <v>0</v>
      </c>
      <c r="H344" s="1786">
        <v>0</v>
      </c>
      <c r="I344" s="1786">
        <v>0</v>
      </c>
      <c r="J344" s="2466" t="s">
        <v>1525</v>
      </c>
    </row>
    <row r="345" spans="1:10" ht="25.5">
      <c r="A345" s="1782">
        <v>287974</v>
      </c>
      <c r="B345" s="2626">
        <v>415.916</v>
      </c>
      <c r="C345" s="2628" t="s">
        <v>1526</v>
      </c>
      <c r="D345" s="2290"/>
      <c r="E345" s="1786">
        <v>0</v>
      </c>
      <c r="F345" s="1786">
        <f t="shared" si="4"/>
        <v>0</v>
      </c>
      <c r="G345" s="1786">
        <v>0</v>
      </c>
      <c r="H345" s="1786">
        <v>0</v>
      </c>
      <c r="I345" s="1786">
        <v>0</v>
      </c>
      <c r="J345" s="1785" t="s">
        <v>1298</v>
      </c>
    </row>
    <row r="346" spans="1:10" ht="25.5">
      <c r="A346" s="1782">
        <v>287968</v>
      </c>
      <c r="B346" s="2626">
        <v>415.91399999999999</v>
      </c>
      <c r="C346" s="2628" t="s">
        <v>1527</v>
      </c>
      <c r="D346" s="2290"/>
      <c r="E346" s="1786">
        <v>0</v>
      </c>
      <c r="F346" s="1786">
        <f t="shared" si="4"/>
        <v>0</v>
      </c>
      <c r="G346" s="1786">
        <v>0</v>
      </c>
      <c r="H346" s="1786">
        <v>0</v>
      </c>
      <c r="I346" s="1786">
        <v>0</v>
      </c>
      <c r="J346" s="1785" t="s">
        <v>1295</v>
      </c>
    </row>
    <row r="347" spans="1:10" ht="25.5">
      <c r="A347" s="1782">
        <v>287969</v>
      </c>
      <c r="B347" s="2626">
        <v>415.91500000000002</v>
      </c>
      <c r="C347" s="2628" t="s">
        <v>1528</v>
      </c>
      <c r="D347" s="2290"/>
      <c r="E347" s="1786">
        <v>0</v>
      </c>
      <c r="F347" s="1786">
        <f t="shared" si="4"/>
        <v>0</v>
      </c>
      <c r="G347" s="1786">
        <v>0</v>
      </c>
      <c r="H347" s="1786">
        <v>0</v>
      </c>
      <c r="I347" s="1786">
        <v>0</v>
      </c>
      <c r="J347" s="1785" t="s">
        <v>1296</v>
      </c>
    </row>
    <row r="348" spans="1:10" ht="15" customHeight="1">
      <c r="A348" s="1782">
        <v>287977</v>
      </c>
      <c r="B348" s="2626">
        <v>415.88499999999999</v>
      </c>
      <c r="C348" s="2628" t="s">
        <v>1529</v>
      </c>
      <c r="D348" s="2290"/>
      <c r="E348" s="1786">
        <v>0</v>
      </c>
      <c r="F348" s="1786">
        <f t="shared" si="4"/>
        <v>0</v>
      </c>
      <c r="G348" s="1786">
        <v>0</v>
      </c>
      <c r="H348" s="1786">
        <v>0</v>
      </c>
      <c r="I348" s="1786">
        <v>0</v>
      </c>
      <c r="J348" s="2466" t="s">
        <v>1584</v>
      </c>
    </row>
    <row r="349" spans="1:10" ht="14.25" customHeight="1">
      <c r="A349" s="1782">
        <v>287919</v>
      </c>
      <c r="B349" s="2626">
        <v>425.10500000000002</v>
      </c>
      <c r="C349" s="2628" t="s">
        <v>1530</v>
      </c>
      <c r="D349" s="2290"/>
      <c r="E349" s="1786">
        <v>-107364</v>
      </c>
      <c r="F349" s="1786">
        <f t="shared" si="4"/>
        <v>-107364</v>
      </c>
      <c r="G349" s="1786">
        <v>0</v>
      </c>
      <c r="H349" s="1786">
        <v>0</v>
      </c>
      <c r="I349" s="1786">
        <v>0</v>
      </c>
      <c r="J349" s="2466" t="s">
        <v>2074</v>
      </c>
    </row>
    <row r="350" spans="1:10" ht="14.25" customHeight="1">
      <c r="A350" s="1782">
        <v>287904</v>
      </c>
      <c r="B350" s="2626">
        <v>415.84500000000003</v>
      </c>
      <c r="C350" s="2628" t="s">
        <v>1531</v>
      </c>
      <c r="D350" s="2290"/>
      <c r="E350" s="1786">
        <v>0</v>
      </c>
      <c r="F350" s="1786">
        <f t="shared" si="4"/>
        <v>0</v>
      </c>
      <c r="G350" s="1786">
        <v>0</v>
      </c>
      <c r="H350" s="1786">
        <v>0</v>
      </c>
      <c r="I350" s="1786">
        <v>0</v>
      </c>
      <c r="J350" s="2466" t="s">
        <v>1532</v>
      </c>
    </row>
    <row r="351" spans="1:10" ht="40.5" customHeight="1">
      <c r="A351" s="1782">
        <v>287942</v>
      </c>
      <c r="B351" s="2626">
        <v>430.11200000000002</v>
      </c>
      <c r="C351" s="2628" t="s">
        <v>1533</v>
      </c>
      <c r="D351" s="2290"/>
      <c r="E351" s="1786">
        <v>-104188</v>
      </c>
      <c r="F351" s="1786">
        <f t="shared" si="4"/>
        <v>-104188</v>
      </c>
      <c r="G351" s="1786">
        <v>0</v>
      </c>
      <c r="H351" s="1786">
        <v>0</v>
      </c>
      <c r="I351" s="1786">
        <v>0</v>
      </c>
      <c r="J351" s="1785" t="s">
        <v>2065</v>
      </c>
    </row>
    <row r="352" spans="1:10" ht="38.25">
      <c r="A352" s="1782">
        <v>287579</v>
      </c>
      <c r="B352" s="2626">
        <v>415.822</v>
      </c>
      <c r="C352" s="2628" t="s">
        <v>1534</v>
      </c>
      <c r="D352" s="2290"/>
      <c r="E352" s="1786">
        <v>-107469</v>
      </c>
      <c r="F352" s="1786">
        <f t="shared" si="4"/>
        <v>-107469</v>
      </c>
      <c r="G352" s="1786">
        <v>0</v>
      </c>
      <c r="H352" s="1786">
        <v>0</v>
      </c>
      <c r="I352" s="1786">
        <v>0</v>
      </c>
      <c r="J352" s="1785" t="s">
        <v>1244</v>
      </c>
    </row>
    <row r="353" spans="1:10" ht="25.5">
      <c r="A353" s="1782">
        <v>287972</v>
      </c>
      <c r="B353" s="2626">
        <v>320.28500000000003</v>
      </c>
      <c r="C353" s="2628" t="s">
        <v>1535</v>
      </c>
      <c r="D353" s="2290"/>
      <c r="E353" s="1786">
        <v>-831466</v>
      </c>
      <c r="F353" s="1786">
        <v>0</v>
      </c>
      <c r="G353" s="1786">
        <v>0</v>
      </c>
      <c r="H353" s="1786">
        <v>0</v>
      </c>
      <c r="I353" s="1786">
        <f>E353</f>
        <v>-831466</v>
      </c>
      <c r="J353" s="1785" t="s">
        <v>1297</v>
      </c>
    </row>
    <row r="354" spans="1:10" ht="38.25">
      <c r="A354" s="1782">
        <v>287675</v>
      </c>
      <c r="B354" s="2626">
        <v>740.1</v>
      </c>
      <c r="C354" s="2628" t="s">
        <v>1987</v>
      </c>
      <c r="D354" s="2290"/>
      <c r="E354" s="1786">
        <v>-2193336</v>
      </c>
      <c r="F354" s="1786">
        <f t="shared" ref="F354:F389" si="6">E354</f>
        <v>-2193336</v>
      </c>
      <c r="G354" s="1786">
        <v>0</v>
      </c>
      <c r="H354" s="1786">
        <v>0</v>
      </c>
      <c r="I354" s="1786">
        <v>0</v>
      </c>
      <c r="J354" s="1785" t="s">
        <v>1285</v>
      </c>
    </row>
    <row r="355" spans="1:10" ht="38.25">
      <c r="A355" s="1782">
        <v>287588</v>
      </c>
      <c r="B355" s="2626">
        <v>415.83100000000002</v>
      </c>
      <c r="C355" s="2628" t="s">
        <v>1536</v>
      </c>
      <c r="D355" s="2290"/>
      <c r="E355" s="1786">
        <v>-13274</v>
      </c>
      <c r="F355" s="1786">
        <f t="shared" si="6"/>
        <v>-13274</v>
      </c>
      <c r="G355" s="1786">
        <v>0</v>
      </c>
      <c r="H355" s="1786">
        <v>0</v>
      </c>
      <c r="I355" s="1786">
        <v>0</v>
      </c>
      <c r="J355" s="1785" t="s">
        <v>1248</v>
      </c>
    </row>
    <row r="356" spans="1:10" ht="38.25">
      <c r="A356" s="1782">
        <v>287584</v>
      </c>
      <c r="B356" s="2626">
        <v>415.827</v>
      </c>
      <c r="C356" s="2628" t="s">
        <v>1537</v>
      </c>
      <c r="D356" s="2290"/>
      <c r="E356" s="1786">
        <v>-146517</v>
      </c>
      <c r="F356" s="1786">
        <f t="shared" si="6"/>
        <v>-146517</v>
      </c>
      <c r="G356" s="1786">
        <v>0</v>
      </c>
      <c r="H356" s="1786">
        <v>0</v>
      </c>
      <c r="I356" s="1786">
        <v>0</v>
      </c>
      <c r="J356" s="1785" t="s">
        <v>1246</v>
      </c>
    </row>
    <row r="357" spans="1:10" ht="38.25">
      <c r="A357" s="1782">
        <v>287586</v>
      </c>
      <c r="B357" s="2626">
        <v>415.82900000000001</v>
      </c>
      <c r="C357" s="2628" t="s">
        <v>1538</v>
      </c>
      <c r="D357" s="2290"/>
      <c r="E357" s="1786">
        <v>-105750</v>
      </c>
      <c r="F357" s="1786">
        <f t="shared" si="6"/>
        <v>-105750</v>
      </c>
      <c r="G357" s="1786">
        <v>0</v>
      </c>
      <c r="H357" s="1786">
        <v>0</v>
      </c>
      <c r="I357" s="1786">
        <v>0</v>
      </c>
      <c r="J357" s="1785" t="s">
        <v>1247</v>
      </c>
    </row>
    <row r="358" spans="1:10" ht="63.75">
      <c r="A358" s="1782">
        <v>287779</v>
      </c>
      <c r="B358" s="2626">
        <v>415.85</v>
      </c>
      <c r="C358" s="2628" t="s">
        <v>1539</v>
      </c>
      <c r="D358" s="2290"/>
      <c r="E358" s="1786">
        <v>0</v>
      </c>
      <c r="F358" s="1786">
        <f t="shared" si="6"/>
        <v>0</v>
      </c>
      <c r="G358" s="1786">
        <v>0</v>
      </c>
      <c r="H358" s="1786">
        <v>0</v>
      </c>
      <c r="I358" s="1786">
        <v>0</v>
      </c>
      <c r="J358" s="1785" t="s">
        <v>1261</v>
      </c>
    </row>
    <row r="359" spans="1:10" ht="63.75">
      <c r="A359" s="1782">
        <v>287864</v>
      </c>
      <c r="B359" s="2626">
        <v>415.85199999999998</v>
      </c>
      <c r="C359" s="2628" t="s">
        <v>1540</v>
      </c>
      <c r="D359" s="2290"/>
      <c r="E359" s="1786">
        <v>-39443</v>
      </c>
      <c r="F359" s="1786">
        <f t="shared" si="6"/>
        <v>-39443</v>
      </c>
      <c r="G359" s="1786">
        <v>0</v>
      </c>
      <c r="H359" s="1786">
        <v>0</v>
      </c>
      <c r="I359" s="1786">
        <v>0</v>
      </c>
      <c r="J359" s="1785" t="s">
        <v>1264</v>
      </c>
    </row>
    <row r="360" spans="1:10" ht="63.75">
      <c r="A360" s="1782">
        <v>287866</v>
      </c>
      <c r="B360" s="2626">
        <v>415.85399999999998</v>
      </c>
      <c r="C360" s="2628" t="s">
        <v>1541</v>
      </c>
      <c r="D360" s="2290"/>
      <c r="E360" s="1786">
        <v>0</v>
      </c>
      <c r="F360" s="1786">
        <f t="shared" si="6"/>
        <v>0</v>
      </c>
      <c r="G360" s="1786">
        <v>0</v>
      </c>
      <c r="H360" s="1786">
        <v>0</v>
      </c>
      <c r="I360" s="1786">
        <v>0</v>
      </c>
      <c r="J360" s="1785" t="s">
        <v>1265</v>
      </c>
    </row>
    <row r="361" spans="1:10" ht="25.5">
      <c r="A361" s="1782">
        <v>287858</v>
      </c>
      <c r="B361" s="2626">
        <v>415.67599999999999</v>
      </c>
      <c r="C361" s="2628" t="s">
        <v>1700</v>
      </c>
      <c r="D361" s="2290"/>
      <c r="E361" s="1786">
        <v>-77806</v>
      </c>
      <c r="F361" s="1786">
        <f t="shared" si="6"/>
        <v>-77806</v>
      </c>
      <c r="G361" s="1786">
        <v>0</v>
      </c>
      <c r="H361" s="1786">
        <v>0</v>
      </c>
      <c r="I361" s="1786">
        <v>0</v>
      </c>
      <c r="J361" s="1785" t="s">
        <v>1701</v>
      </c>
    </row>
    <row r="362" spans="1:10" ht="25.5">
      <c r="A362" s="1782">
        <v>287996</v>
      </c>
      <c r="B362" s="2626">
        <v>415.67500000000001</v>
      </c>
      <c r="C362" s="2628" t="s">
        <v>1702</v>
      </c>
      <c r="D362" s="2290"/>
      <c r="E362" s="1786">
        <v>-225774</v>
      </c>
      <c r="F362" s="1786">
        <f t="shared" si="6"/>
        <v>-225774</v>
      </c>
      <c r="G362" s="1786">
        <v>0</v>
      </c>
      <c r="H362" s="1786">
        <v>0</v>
      </c>
      <c r="I362" s="1786">
        <v>0</v>
      </c>
      <c r="J362" s="1785" t="s">
        <v>1703</v>
      </c>
    </row>
    <row r="363" spans="1:10" ht="51.75" customHeight="1">
      <c r="A363" s="1782">
        <v>287601</v>
      </c>
      <c r="B363" s="2626">
        <v>415.67700000000002</v>
      </c>
      <c r="C363" s="2628" t="s">
        <v>1753</v>
      </c>
      <c r="D363" s="2290"/>
      <c r="E363" s="1786">
        <v>-36222</v>
      </c>
      <c r="F363" s="1786">
        <f t="shared" si="6"/>
        <v>-36222</v>
      </c>
      <c r="G363" s="1786">
        <v>0</v>
      </c>
      <c r="H363" s="1786">
        <v>0</v>
      </c>
      <c r="I363" s="1786">
        <v>0</v>
      </c>
      <c r="J363" s="2465" t="s">
        <v>1752</v>
      </c>
    </row>
    <row r="364" spans="1:10" ht="25.5">
      <c r="A364" s="1782">
        <v>287932</v>
      </c>
      <c r="B364" s="2626">
        <v>415.89400000000001</v>
      </c>
      <c r="C364" s="2628" t="s">
        <v>1751</v>
      </c>
      <c r="D364" s="2290"/>
      <c r="E364" s="1786">
        <v>0</v>
      </c>
      <c r="F364" s="1786">
        <f t="shared" si="6"/>
        <v>0</v>
      </c>
      <c r="G364" s="1786">
        <v>0</v>
      </c>
      <c r="H364" s="1786">
        <v>0</v>
      </c>
      <c r="I364" s="1786">
        <v>0</v>
      </c>
      <c r="J364" s="2465" t="s">
        <v>1750</v>
      </c>
    </row>
    <row r="365" spans="1:10" ht="38.25">
      <c r="A365" s="1782">
        <v>287978</v>
      </c>
      <c r="B365" s="2626">
        <v>415.90600000000001</v>
      </c>
      <c r="C365" s="2628" t="s">
        <v>1542</v>
      </c>
      <c r="D365" s="2290"/>
      <c r="E365" s="1786">
        <v>0</v>
      </c>
      <c r="F365" s="1786">
        <f t="shared" si="6"/>
        <v>0</v>
      </c>
      <c r="G365" s="1786">
        <v>0</v>
      </c>
      <c r="H365" s="1786">
        <v>0</v>
      </c>
      <c r="I365" s="1786">
        <v>0</v>
      </c>
      <c r="J365" s="2466" t="s">
        <v>2075</v>
      </c>
    </row>
    <row r="366" spans="1:10" ht="38.25">
      <c r="A366" s="1782">
        <v>287887</v>
      </c>
      <c r="B366" s="2626">
        <v>415.88099999999997</v>
      </c>
      <c r="C366" s="2628" t="s">
        <v>1543</v>
      </c>
      <c r="D366" s="2290"/>
      <c r="E366" s="1786">
        <v>-1049758</v>
      </c>
      <c r="F366" s="1786">
        <f t="shared" si="6"/>
        <v>-1049758</v>
      </c>
      <c r="G366" s="1786">
        <v>0</v>
      </c>
      <c r="H366" s="1786">
        <v>0</v>
      </c>
      <c r="I366" s="1786">
        <v>0</v>
      </c>
      <c r="J366" s="2466" t="s">
        <v>1585</v>
      </c>
    </row>
    <row r="367" spans="1:10" ht="38.25">
      <c r="A367" s="1782">
        <v>287888</v>
      </c>
      <c r="B367" s="2626">
        <v>415.88200000000001</v>
      </c>
      <c r="C367" s="2628" t="s">
        <v>1704</v>
      </c>
      <c r="D367" s="2290"/>
      <c r="E367" s="1786">
        <v>-279396</v>
      </c>
      <c r="F367" s="1786">
        <f t="shared" si="6"/>
        <v>-279396</v>
      </c>
      <c r="G367" s="1786">
        <v>0</v>
      </c>
      <c r="H367" s="1786">
        <v>0</v>
      </c>
      <c r="I367" s="1786">
        <v>0</v>
      </c>
      <c r="J367" s="2466" t="s">
        <v>1705</v>
      </c>
    </row>
    <row r="368" spans="1:10" ht="25.5" customHeight="1">
      <c r="A368" s="1782">
        <v>287889</v>
      </c>
      <c r="B368" s="2626">
        <v>415.88299999999998</v>
      </c>
      <c r="C368" s="2628" t="s">
        <v>1544</v>
      </c>
      <c r="D368" s="2290"/>
      <c r="E368" s="1786">
        <v>0</v>
      </c>
      <c r="F368" s="1786">
        <f t="shared" si="6"/>
        <v>0</v>
      </c>
      <c r="G368" s="1786">
        <v>0</v>
      </c>
      <c r="H368" s="1786">
        <v>0</v>
      </c>
      <c r="I368" s="1786">
        <v>0</v>
      </c>
      <c r="J368" s="2466" t="s">
        <v>1586</v>
      </c>
    </row>
    <row r="369" spans="1:10" ht="38.25">
      <c r="A369" s="1782">
        <v>286902</v>
      </c>
      <c r="B369" s="2626">
        <v>415.91800000000001</v>
      </c>
      <c r="C369" s="2628" t="s">
        <v>1988</v>
      </c>
      <c r="D369" s="2290"/>
      <c r="E369" s="1786">
        <v>-128858</v>
      </c>
      <c r="F369" s="1786">
        <f t="shared" si="6"/>
        <v>-128858</v>
      </c>
      <c r="G369" s="1786">
        <v>0</v>
      </c>
      <c r="H369" s="1786">
        <v>0</v>
      </c>
      <c r="I369" s="1786">
        <v>0</v>
      </c>
      <c r="J369" s="2466" t="s">
        <v>1989</v>
      </c>
    </row>
    <row r="370" spans="1:10" ht="38.25">
      <c r="A370" s="1782">
        <v>287871</v>
      </c>
      <c r="B370" s="2626">
        <v>415.86599999999999</v>
      </c>
      <c r="C370" s="2628" t="s">
        <v>1545</v>
      </c>
      <c r="D370" s="2290"/>
      <c r="E370" s="1786">
        <v>-2104901</v>
      </c>
      <c r="F370" s="1786">
        <f t="shared" si="6"/>
        <v>-2104901</v>
      </c>
      <c r="G370" s="1786">
        <v>0</v>
      </c>
      <c r="H370" s="1786">
        <v>0</v>
      </c>
      <c r="I370" s="1786">
        <v>0</v>
      </c>
      <c r="J370" s="2466" t="s">
        <v>1546</v>
      </c>
    </row>
    <row r="371" spans="1:10" ht="38.25">
      <c r="A371" s="1782">
        <v>287860</v>
      </c>
      <c r="B371" s="2626">
        <v>415.85500000000002</v>
      </c>
      <c r="C371" s="2628" t="s">
        <v>1990</v>
      </c>
      <c r="D371" s="2290"/>
      <c r="E371" s="1786">
        <v>-74894</v>
      </c>
      <c r="F371" s="1786">
        <f t="shared" si="6"/>
        <v>-74894</v>
      </c>
      <c r="G371" s="1786">
        <v>0</v>
      </c>
      <c r="H371" s="1786">
        <v>0</v>
      </c>
      <c r="I371" s="1786">
        <v>0</v>
      </c>
      <c r="J371" s="2466" t="s">
        <v>2076</v>
      </c>
    </row>
    <row r="372" spans="1:10" ht="41.25" customHeight="1">
      <c r="A372" s="1782">
        <v>287881</v>
      </c>
      <c r="B372" s="2626">
        <v>415.70499999999998</v>
      </c>
      <c r="C372" s="2628" t="s">
        <v>1547</v>
      </c>
      <c r="D372" s="2290"/>
      <c r="E372" s="1786">
        <v>0</v>
      </c>
      <c r="F372" s="1786">
        <f t="shared" si="6"/>
        <v>0</v>
      </c>
      <c r="G372" s="1786">
        <v>0</v>
      </c>
      <c r="H372" s="1786">
        <v>0</v>
      </c>
      <c r="I372" s="1786">
        <v>0</v>
      </c>
      <c r="J372" s="1785" t="s">
        <v>1274</v>
      </c>
    </row>
    <row r="373" spans="1:10" ht="38.25">
      <c r="A373" s="1782">
        <v>287899</v>
      </c>
      <c r="B373" s="2626">
        <v>415.87799999999999</v>
      </c>
      <c r="C373" s="2628" t="s">
        <v>1548</v>
      </c>
      <c r="D373" s="2290"/>
      <c r="E373" s="1786">
        <v>-225808</v>
      </c>
      <c r="F373" s="1786">
        <f t="shared" si="6"/>
        <v>-225808</v>
      </c>
      <c r="G373" s="1786">
        <v>0</v>
      </c>
      <c r="H373" s="1786">
        <v>0</v>
      </c>
      <c r="I373" s="1786">
        <v>0</v>
      </c>
      <c r="J373" s="2466" t="s">
        <v>1549</v>
      </c>
    </row>
    <row r="374" spans="1:10" ht="38.25">
      <c r="A374" s="1782">
        <v>287878</v>
      </c>
      <c r="B374" s="2626">
        <v>415.40600000000001</v>
      </c>
      <c r="C374" s="2628" t="s">
        <v>1550</v>
      </c>
      <c r="D374" s="2290"/>
      <c r="E374" s="1786">
        <v>0</v>
      </c>
      <c r="F374" s="1786">
        <f t="shared" si="6"/>
        <v>0</v>
      </c>
      <c r="G374" s="1786">
        <v>0</v>
      </c>
      <c r="H374" s="1786">
        <v>0</v>
      </c>
      <c r="I374" s="1786">
        <v>0</v>
      </c>
      <c r="J374" s="1785" t="s">
        <v>1272</v>
      </c>
    </row>
    <row r="375" spans="1:10" ht="12.75">
      <c r="A375" s="1782">
        <v>287906</v>
      </c>
      <c r="B375" s="2626">
        <v>415.863</v>
      </c>
      <c r="C375" s="2628" t="s">
        <v>1749</v>
      </c>
      <c r="D375" s="2290"/>
      <c r="E375" s="1786">
        <v>-497911</v>
      </c>
      <c r="F375" s="1786">
        <f t="shared" si="6"/>
        <v>-497911</v>
      </c>
      <c r="G375" s="1786">
        <v>0</v>
      </c>
      <c r="H375" s="1786">
        <v>0</v>
      </c>
      <c r="I375" s="1786">
        <v>0</v>
      </c>
      <c r="J375" s="2465" t="s">
        <v>1748</v>
      </c>
    </row>
    <row r="376" spans="1:10" ht="25.5">
      <c r="A376" s="1782">
        <v>287639</v>
      </c>
      <c r="B376" s="2626">
        <v>415.51</v>
      </c>
      <c r="C376" s="2628" t="s">
        <v>1551</v>
      </c>
      <c r="D376" s="2290"/>
      <c r="E376" s="1786">
        <v>-80886</v>
      </c>
      <c r="F376" s="1786">
        <f t="shared" si="6"/>
        <v>-80886</v>
      </c>
      <c r="G376" s="1786">
        <v>0</v>
      </c>
      <c r="H376" s="1786">
        <v>0</v>
      </c>
      <c r="I376" s="1786">
        <v>0</v>
      </c>
      <c r="J376" s="1785" t="s">
        <v>1253</v>
      </c>
    </row>
    <row r="377" spans="1:10" ht="63.75">
      <c r="A377" s="1782">
        <v>287872</v>
      </c>
      <c r="B377" s="2626">
        <v>720.84100000000001</v>
      </c>
      <c r="C377" s="2628" t="s">
        <v>1552</v>
      </c>
      <c r="D377" s="2290"/>
      <c r="E377" s="1786">
        <v>0</v>
      </c>
      <c r="F377" s="1786">
        <f t="shared" si="6"/>
        <v>0</v>
      </c>
      <c r="G377" s="1786">
        <v>0</v>
      </c>
      <c r="H377" s="1786">
        <v>0</v>
      </c>
      <c r="I377" s="1786">
        <v>0</v>
      </c>
      <c r="J377" s="1785" t="s">
        <v>1267</v>
      </c>
    </row>
    <row r="378" spans="1:10" ht="27" customHeight="1">
      <c r="A378" s="1782">
        <v>287873</v>
      </c>
      <c r="B378" s="2626">
        <v>720.84199999999998</v>
      </c>
      <c r="C378" s="2628" t="s">
        <v>1553</v>
      </c>
      <c r="D378" s="2290"/>
      <c r="E378" s="1786">
        <v>0</v>
      </c>
      <c r="F378" s="1786">
        <f t="shared" si="6"/>
        <v>0</v>
      </c>
      <c r="G378" s="1786">
        <v>0</v>
      </c>
      <c r="H378" s="1786">
        <v>0</v>
      </c>
      <c r="I378" s="1786">
        <v>0</v>
      </c>
      <c r="J378" s="1785" t="s">
        <v>1268</v>
      </c>
    </row>
    <row r="379" spans="1:10" ht="37.5" customHeight="1">
      <c r="A379" s="1782">
        <v>287857</v>
      </c>
      <c r="B379" s="2626">
        <v>415.54500000000002</v>
      </c>
      <c r="C379" s="2628" t="s">
        <v>1747</v>
      </c>
      <c r="D379" s="2290"/>
      <c r="E379" s="1786">
        <v>1302</v>
      </c>
      <c r="F379" s="1786">
        <f t="shared" si="6"/>
        <v>1302</v>
      </c>
      <c r="G379" s="1786">
        <v>0</v>
      </c>
      <c r="H379" s="1786">
        <v>0</v>
      </c>
      <c r="I379" s="1786">
        <v>0</v>
      </c>
      <c r="J379" s="2465" t="s">
        <v>2077</v>
      </c>
    </row>
    <row r="380" spans="1:10" ht="63.75">
      <c r="A380" s="1782">
        <v>287874</v>
      </c>
      <c r="B380" s="2626">
        <v>720.84299999999996</v>
      </c>
      <c r="C380" s="2628" t="s">
        <v>1554</v>
      </c>
      <c r="D380" s="2290"/>
      <c r="E380" s="1786">
        <v>-339406</v>
      </c>
      <c r="F380" s="1786">
        <f t="shared" si="6"/>
        <v>-339406</v>
      </c>
      <c r="G380" s="1786">
        <v>0</v>
      </c>
      <c r="H380" s="1786">
        <v>0</v>
      </c>
      <c r="I380" s="1786">
        <v>0</v>
      </c>
      <c r="J380" s="1785" t="s">
        <v>1269</v>
      </c>
    </row>
    <row r="381" spans="1:10" ht="27" customHeight="1">
      <c r="A381" s="1782">
        <v>287875</v>
      </c>
      <c r="B381" s="2626">
        <v>720.84400000000005</v>
      </c>
      <c r="C381" s="2628" t="s">
        <v>1555</v>
      </c>
      <c r="D381" s="2290"/>
      <c r="E381" s="1786">
        <v>0</v>
      </c>
      <c r="F381" s="1786">
        <f t="shared" si="6"/>
        <v>0</v>
      </c>
      <c r="G381" s="1786">
        <v>0</v>
      </c>
      <c r="H381" s="1786">
        <v>0</v>
      </c>
      <c r="I381" s="1786">
        <v>0</v>
      </c>
      <c r="J381" s="1785" t="s">
        <v>1270</v>
      </c>
    </row>
    <row r="382" spans="1:10" ht="63.75">
      <c r="A382" s="1782">
        <v>287877</v>
      </c>
      <c r="B382" s="2626">
        <v>720.846</v>
      </c>
      <c r="C382" s="2628" t="s">
        <v>1556</v>
      </c>
      <c r="D382" s="2290"/>
      <c r="E382" s="1786">
        <v>0</v>
      </c>
      <c r="F382" s="1786">
        <f t="shared" si="6"/>
        <v>0</v>
      </c>
      <c r="G382" s="1786">
        <v>0</v>
      </c>
      <c r="H382" s="1786">
        <v>0</v>
      </c>
      <c r="I382" s="1786">
        <v>0</v>
      </c>
      <c r="J382" s="1785" t="s">
        <v>1271</v>
      </c>
    </row>
    <row r="383" spans="1:10" ht="25.5">
      <c r="A383" s="1782">
        <v>287848</v>
      </c>
      <c r="B383" s="2626">
        <v>320.28100000000001</v>
      </c>
      <c r="C383" s="2628" t="s">
        <v>1746</v>
      </c>
      <c r="D383" s="2290"/>
      <c r="E383" s="1786">
        <v>-2717497</v>
      </c>
      <c r="F383" s="1786">
        <f t="shared" si="6"/>
        <v>-2717497</v>
      </c>
      <c r="G383" s="1786">
        <v>0</v>
      </c>
      <c r="H383" s="1786">
        <v>0</v>
      </c>
      <c r="I383" s="1786">
        <v>0</v>
      </c>
      <c r="J383" s="2465" t="s">
        <v>1745</v>
      </c>
    </row>
    <row r="384" spans="1:10" ht="38.25">
      <c r="A384" s="1782">
        <v>287933</v>
      </c>
      <c r="B384" s="2626">
        <v>320.28199999999998</v>
      </c>
      <c r="C384" s="2628" t="s">
        <v>1744</v>
      </c>
      <c r="D384" s="2290"/>
      <c r="E384" s="1786">
        <v>-223539</v>
      </c>
      <c r="F384" s="1786">
        <f t="shared" si="6"/>
        <v>-223539</v>
      </c>
      <c r="G384" s="1786">
        <v>0</v>
      </c>
      <c r="H384" s="1786">
        <v>0</v>
      </c>
      <c r="I384" s="1786">
        <v>0</v>
      </c>
      <c r="J384" s="2465" t="s">
        <v>2066</v>
      </c>
    </row>
    <row r="385" spans="1:10" ht="38.25">
      <c r="A385" s="1782">
        <v>287934</v>
      </c>
      <c r="B385" s="2626">
        <v>320.28300000000002</v>
      </c>
      <c r="C385" s="2628" t="s">
        <v>1743</v>
      </c>
      <c r="D385" s="2290"/>
      <c r="E385" s="1786">
        <v>-25326</v>
      </c>
      <c r="F385" s="1786">
        <f t="shared" si="6"/>
        <v>-25326</v>
      </c>
      <c r="G385" s="1786">
        <v>0</v>
      </c>
      <c r="H385" s="1786">
        <v>0</v>
      </c>
      <c r="I385" s="1786">
        <v>0</v>
      </c>
      <c r="J385" s="2465" t="s">
        <v>1742</v>
      </c>
    </row>
    <row r="386" spans="1:10" ht="38.25">
      <c r="A386" s="1782">
        <v>287917</v>
      </c>
      <c r="B386" s="2626">
        <v>705.45100000000002</v>
      </c>
      <c r="C386" s="2628" t="s">
        <v>1557</v>
      </c>
      <c r="D386" s="2290"/>
      <c r="E386" s="1786">
        <v>-324339</v>
      </c>
      <c r="F386" s="1786">
        <f t="shared" si="6"/>
        <v>-324339</v>
      </c>
      <c r="G386" s="1786">
        <v>0</v>
      </c>
      <c r="H386" s="1786">
        <v>0</v>
      </c>
      <c r="I386" s="1786">
        <v>0</v>
      </c>
      <c r="J386" s="1785" t="s">
        <v>1162</v>
      </c>
    </row>
    <row r="387" spans="1:10" ht="38.25">
      <c r="A387" s="1782">
        <v>287916</v>
      </c>
      <c r="B387" s="2626">
        <v>705.45500000000004</v>
      </c>
      <c r="C387" s="2628" t="s">
        <v>1558</v>
      </c>
      <c r="D387" s="2290"/>
      <c r="E387" s="1786">
        <v>0</v>
      </c>
      <c r="F387" s="1786">
        <f t="shared" si="6"/>
        <v>0</v>
      </c>
      <c r="G387" s="1786">
        <v>0</v>
      </c>
      <c r="H387" s="1786">
        <v>0</v>
      </c>
      <c r="I387" s="1786">
        <v>0</v>
      </c>
      <c r="J387" s="1785" t="s">
        <v>1165</v>
      </c>
    </row>
    <row r="388" spans="1:10" ht="38.25">
      <c r="A388" s="1782">
        <v>287649</v>
      </c>
      <c r="B388" s="2626">
        <v>730.17</v>
      </c>
      <c r="C388" s="2628" t="s">
        <v>1559</v>
      </c>
      <c r="D388" s="2290"/>
      <c r="E388" s="1786">
        <v>-27637520</v>
      </c>
      <c r="F388" s="1786">
        <f t="shared" si="6"/>
        <v>-27637520</v>
      </c>
      <c r="G388" s="1786">
        <v>0</v>
      </c>
      <c r="H388" s="1786">
        <v>0</v>
      </c>
      <c r="I388" s="1786">
        <v>0</v>
      </c>
      <c r="J388" s="1785" t="s">
        <v>1257</v>
      </c>
    </row>
    <row r="389" spans="1:10" ht="25.5">
      <c r="A389" s="1782">
        <v>287886</v>
      </c>
      <c r="B389" s="2626">
        <v>415.83699999999999</v>
      </c>
      <c r="C389" s="2628" t="s">
        <v>1560</v>
      </c>
      <c r="D389" s="2290"/>
      <c r="E389" s="1786">
        <v>-37161097</v>
      </c>
      <c r="F389" s="1786">
        <f t="shared" si="6"/>
        <v>-37161097</v>
      </c>
      <c r="G389" s="1786">
        <v>0</v>
      </c>
      <c r="H389" s="1786">
        <v>0</v>
      </c>
      <c r="I389" s="1786">
        <v>0</v>
      </c>
      <c r="J389" s="1785" t="s">
        <v>1275</v>
      </c>
    </row>
    <row r="390" spans="1:10" ht="12.75">
      <c r="A390" s="1779" t="s">
        <v>1561</v>
      </c>
      <c r="B390" s="2626"/>
      <c r="C390" s="2628"/>
      <c r="D390" s="2290"/>
      <c r="E390" s="1786"/>
      <c r="F390" s="2632"/>
      <c r="G390" s="2632"/>
      <c r="H390" s="2632"/>
      <c r="I390" s="2632"/>
      <c r="J390" s="1785"/>
    </row>
    <row r="391" spans="1:10" ht="38.25">
      <c r="A391" s="2165">
        <v>287995</v>
      </c>
      <c r="B391" s="2626">
        <v>720.55</v>
      </c>
      <c r="C391" s="2628" t="s">
        <v>556</v>
      </c>
      <c r="D391" s="2290"/>
      <c r="E391" s="1786">
        <v>0</v>
      </c>
      <c r="F391" s="1786">
        <v>0</v>
      </c>
      <c r="G391" s="1786">
        <v>0</v>
      </c>
      <c r="H391" s="1786">
        <v>0</v>
      </c>
      <c r="I391" s="1786">
        <f>E391</f>
        <v>0</v>
      </c>
      <c r="J391" s="1785" t="s">
        <v>1706</v>
      </c>
    </row>
    <row r="392" spans="1:10" ht="63.75">
      <c r="A392" s="1782">
        <v>287891</v>
      </c>
      <c r="B392" s="2626">
        <v>505.18</v>
      </c>
      <c r="C392" s="2628" t="s">
        <v>571</v>
      </c>
      <c r="D392" s="2290"/>
      <c r="E392" s="1786">
        <v>0</v>
      </c>
      <c r="F392" s="1786">
        <f t="shared" ref="F392:F399" si="7">E392</f>
        <v>0</v>
      </c>
      <c r="G392" s="1786">
        <v>0</v>
      </c>
      <c r="H392" s="1786">
        <v>0</v>
      </c>
      <c r="I392" s="1786">
        <v>0</v>
      </c>
      <c r="J392" s="1785" t="s">
        <v>1707</v>
      </c>
    </row>
    <row r="393" spans="1:10" ht="25.5">
      <c r="A393" s="1782">
        <v>287650</v>
      </c>
      <c r="B393" s="2626">
        <v>205.1</v>
      </c>
      <c r="C393" s="2628" t="s">
        <v>570</v>
      </c>
      <c r="D393" s="2290"/>
      <c r="E393" s="1786">
        <v>-283663</v>
      </c>
      <c r="F393" s="1786">
        <f t="shared" si="7"/>
        <v>-283663</v>
      </c>
      <c r="G393" s="1786">
        <v>0</v>
      </c>
      <c r="H393" s="1786">
        <v>0</v>
      </c>
      <c r="I393" s="1786">
        <v>0</v>
      </c>
      <c r="J393" s="1785" t="s">
        <v>2078</v>
      </c>
    </row>
    <row r="394" spans="1:10" ht="39.75" customHeight="1">
      <c r="A394" s="1782">
        <v>287879</v>
      </c>
      <c r="B394" s="2626">
        <v>415.89800000000002</v>
      </c>
      <c r="C394" s="2628" t="s">
        <v>589</v>
      </c>
      <c r="D394" s="2290"/>
      <c r="E394" s="1786">
        <v>0</v>
      </c>
      <c r="F394" s="1786">
        <f t="shared" si="7"/>
        <v>0</v>
      </c>
      <c r="G394" s="1786">
        <v>0</v>
      </c>
      <c r="H394" s="1786">
        <v>0</v>
      </c>
      <c r="I394" s="1786">
        <v>0</v>
      </c>
      <c r="J394" s="1785" t="s">
        <v>1273</v>
      </c>
    </row>
    <row r="395" spans="1:10" ht="24.75" customHeight="1">
      <c r="A395" s="1782">
        <v>287661</v>
      </c>
      <c r="B395" s="2626">
        <v>425.36</v>
      </c>
      <c r="C395" s="2628" t="s">
        <v>592</v>
      </c>
      <c r="D395" s="2290"/>
      <c r="E395" s="1786">
        <v>-1276037</v>
      </c>
      <c r="F395" s="1786">
        <f t="shared" si="7"/>
        <v>-1276037</v>
      </c>
      <c r="G395" s="1786">
        <v>0</v>
      </c>
      <c r="H395" s="1786">
        <v>0</v>
      </c>
      <c r="I395" s="1786">
        <v>0</v>
      </c>
      <c r="J395" s="1785" t="s">
        <v>1280</v>
      </c>
    </row>
    <row r="396" spans="1:10" ht="38.25" customHeight="1">
      <c r="A396" s="1782">
        <v>287341</v>
      </c>
      <c r="B396" s="2626">
        <v>910.53</v>
      </c>
      <c r="C396" s="2627" t="s">
        <v>1991</v>
      </c>
      <c r="D396" s="2290"/>
      <c r="E396" s="1786">
        <v>12296299</v>
      </c>
      <c r="F396" s="1786">
        <f t="shared" si="7"/>
        <v>12296299</v>
      </c>
      <c r="G396" s="1786">
        <v>0</v>
      </c>
      <c r="H396" s="1786">
        <v>0</v>
      </c>
      <c r="I396" s="1786">
        <v>0</v>
      </c>
      <c r="J396" s="1785" t="s">
        <v>1190</v>
      </c>
    </row>
    <row r="397" spans="1:10" ht="25.5">
      <c r="A397" s="1782">
        <v>287970</v>
      </c>
      <c r="B397" s="2626">
        <v>415.815</v>
      </c>
      <c r="C397" s="2627" t="s">
        <v>1992</v>
      </c>
      <c r="D397" s="2290"/>
      <c r="E397" s="1786">
        <v>-12762164</v>
      </c>
      <c r="F397" s="1786">
        <f t="shared" si="7"/>
        <v>-12762164</v>
      </c>
      <c r="G397" s="1786">
        <v>0</v>
      </c>
      <c r="H397" s="1786">
        <v>0</v>
      </c>
      <c r="I397" s="1786">
        <v>0</v>
      </c>
      <c r="J397" s="1785" t="s">
        <v>1665</v>
      </c>
    </row>
    <row r="398" spans="1:10" ht="63.75">
      <c r="A398" s="1782">
        <v>287750</v>
      </c>
      <c r="B398" s="2626">
        <v>425.31</v>
      </c>
      <c r="C398" s="2628" t="s">
        <v>1287</v>
      </c>
      <c r="D398" s="2290"/>
      <c r="E398" s="1786">
        <v>0</v>
      </c>
      <c r="F398" s="1786">
        <f t="shared" si="7"/>
        <v>0</v>
      </c>
      <c r="G398" s="1786">
        <v>0</v>
      </c>
      <c r="H398" s="1786">
        <v>0</v>
      </c>
      <c r="I398" s="1786">
        <v>0</v>
      </c>
      <c r="J398" s="1785" t="s">
        <v>1708</v>
      </c>
    </row>
    <row r="399" spans="1:10" ht="51">
      <c r="A399" s="1782">
        <v>287656</v>
      </c>
      <c r="B399" s="2626">
        <v>425.28</v>
      </c>
      <c r="C399" s="2628" t="s">
        <v>591</v>
      </c>
      <c r="D399" s="2290"/>
      <c r="E399" s="1786">
        <v>-56482</v>
      </c>
      <c r="F399" s="1786">
        <f t="shared" si="7"/>
        <v>-56482</v>
      </c>
      <c r="G399" s="1786">
        <v>0</v>
      </c>
      <c r="H399" s="1786">
        <v>0</v>
      </c>
      <c r="I399" s="1786">
        <v>0</v>
      </c>
      <c r="J399" s="1785" t="s">
        <v>1279</v>
      </c>
    </row>
    <row r="400" spans="1:10" ht="41.25" customHeight="1">
      <c r="A400" s="1782">
        <v>287967</v>
      </c>
      <c r="B400" s="2626">
        <v>320.29000000000002</v>
      </c>
      <c r="C400" s="2628" t="s">
        <v>1562</v>
      </c>
      <c r="D400" s="2290"/>
      <c r="E400" s="1786">
        <v>0</v>
      </c>
      <c r="F400" s="1786">
        <v>0</v>
      </c>
      <c r="G400" s="1786">
        <v>0</v>
      </c>
      <c r="H400" s="1786">
        <v>0</v>
      </c>
      <c r="I400" s="1786">
        <f>E400</f>
        <v>0</v>
      </c>
      <c r="J400" s="1785" t="s">
        <v>1294</v>
      </c>
    </row>
    <row r="401" spans="1:10" ht="27" customHeight="1">
      <c r="A401" s="1782">
        <v>287609</v>
      </c>
      <c r="B401" s="2626">
        <v>105.241</v>
      </c>
      <c r="C401" s="2628" t="s">
        <v>1563</v>
      </c>
      <c r="D401" s="2290"/>
      <c r="E401" s="1786">
        <v>0</v>
      </c>
      <c r="F401" s="1786">
        <f>E401</f>
        <v>0</v>
      </c>
      <c r="G401" s="1786">
        <v>0</v>
      </c>
      <c r="H401" s="1786">
        <v>0</v>
      </c>
      <c r="I401" s="1786">
        <v>0</v>
      </c>
      <c r="J401" s="1785" t="s">
        <v>1290</v>
      </c>
    </row>
    <row r="402" spans="1:10" ht="25.5">
      <c r="A402" s="1782">
        <v>287669</v>
      </c>
      <c r="B402" s="2626">
        <v>210.18</v>
      </c>
      <c r="C402" s="2628" t="s">
        <v>596</v>
      </c>
      <c r="D402" s="2290"/>
      <c r="E402" s="1786">
        <v>-1635455</v>
      </c>
      <c r="F402" s="1786">
        <f>E402</f>
        <v>-1635455</v>
      </c>
      <c r="G402" s="1786">
        <v>0</v>
      </c>
      <c r="H402" s="1786">
        <v>0</v>
      </c>
      <c r="I402" s="1786">
        <v>0</v>
      </c>
      <c r="J402" s="1785" t="s">
        <v>1284</v>
      </c>
    </row>
    <row r="403" spans="1:10" ht="38.25">
      <c r="A403" s="1782">
        <v>287909</v>
      </c>
      <c r="B403" s="2626">
        <v>210.19499999999999</v>
      </c>
      <c r="C403" s="2628" t="s">
        <v>1391</v>
      </c>
      <c r="D403" s="2290"/>
      <c r="E403" s="1786">
        <v>0</v>
      </c>
      <c r="F403" s="1786">
        <f>E403</f>
        <v>0</v>
      </c>
      <c r="G403" s="1786">
        <v>0</v>
      </c>
      <c r="H403" s="1786">
        <v>0</v>
      </c>
      <c r="I403" s="1786">
        <v>0</v>
      </c>
      <c r="J403" s="2465" t="s">
        <v>1993</v>
      </c>
    </row>
    <row r="404" spans="1:10" ht="25.5">
      <c r="A404" s="1782">
        <v>287665</v>
      </c>
      <c r="B404" s="2626">
        <v>210.13</v>
      </c>
      <c r="C404" s="2628" t="s">
        <v>595</v>
      </c>
      <c r="D404" s="2290"/>
      <c r="E404" s="1786">
        <v>-101515</v>
      </c>
      <c r="F404" s="1786">
        <f>E404</f>
        <v>-101515</v>
      </c>
      <c r="G404" s="1786">
        <v>0</v>
      </c>
      <c r="H404" s="1786">
        <v>0</v>
      </c>
      <c r="I404" s="1786">
        <v>0</v>
      </c>
      <c r="J404" s="1785" t="s">
        <v>1283</v>
      </c>
    </row>
    <row r="405" spans="1:10" ht="25.5">
      <c r="A405" s="1782">
        <v>287662</v>
      </c>
      <c r="B405" s="2626">
        <v>210.1</v>
      </c>
      <c r="C405" s="2628" t="s">
        <v>593</v>
      </c>
      <c r="D405" s="2290"/>
      <c r="E405" s="1786">
        <v>-359635</v>
      </c>
      <c r="F405" s="1786">
        <f>E405</f>
        <v>-359635</v>
      </c>
      <c r="G405" s="1786">
        <v>0</v>
      </c>
      <c r="H405" s="1786">
        <v>0</v>
      </c>
      <c r="I405" s="1786">
        <v>0</v>
      </c>
      <c r="J405" s="1785" t="s">
        <v>1281</v>
      </c>
    </row>
    <row r="406" spans="1:10" ht="28.5" customHeight="1">
      <c r="A406" s="1782">
        <v>287708</v>
      </c>
      <c r="B406" s="2626">
        <v>210.2</v>
      </c>
      <c r="C406" s="2628" t="s">
        <v>597</v>
      </c>
      <c r="D406" s="2290"/>
      <c r="E406" s="1786">
        <v>-8420282</v>
      </c>
      <c r="F406" s="1786">
        <v>0</v>
      </c>
      <c r="G406" s="1786">
        <v>0</v>
      </c>
      <c r="H406" s="1786">
        <f>E406</f>
        <v>-8420282</v>
      </c>
      <c r="I406" s="1786">
        <v>0</v>
      </c>
      <c r="J406" s="1785" t="s">
        <v>1286</v>
      </c>
    </row>
    <row r="407" spans="1:10" ht="39" customHeight="1">
      <c r="A407" s="1782">
        <v>287664</v>
      </c>
      <c r="B407" s="2626">
        <v>210.12</v>
      </c>
      <c r="C407" s="2628" t="s">
        <v>594</v>
      </c>
      <c r="D407" s="2290"/>
      <c r="E407" s="1786">
        <v>-1199462</v>
      </c>
      <c r="F407" s="1786">
        <f t="shared" ref="F407:F412" si="8">E407</f>
        <v>-1199462</v>
      </c>
      <c r="G407" s="1786">
        <v>0</v>
      </c>
      <c r="H407" s="1786">
        <v>0</v>
      </c>
      <c r="I407" s="1786">
        <v>0</v>
      </c>
      <c r="J407" s="1785" t="s">
        <v>1282</v>
      </c>
    </row>
    <row r="408" spans="1:10" ht="25.5">
      <c r="A408" s="1782">
        <v>287908</v>
      </c>
      <c r="B408" s="2626">
        <v>210.19</v>
      </c>
      <c r="C408" s="2628" t="s">
        <v>1709</v>
      </c>
      <c r="D408" s="2290"/>
      <c r="E408" s="1786">
        <v>-305067</v>
      </c>
      <c r="F408" s="1786">
        <f t="shared" si="8"/>
        <v>-305067</v>
      </c>
      <c r="G408" s="1786">
        <v>0</v>
      </c>
      <c r="H408" s="1786">
        <v>0</v>
      </c>
      <c r="I408" s="1786">
        <v>0</v>
      </c>
      <c r="J408" s="2465" t="s">
        <v>1741</v>
      </c>
    </row>
    <row r="409" spans="1:10" ht="63.75">
      <c r="A409" s="1782">
        <v>287927</v>
      </c>
      <c r="B409" s="2626">
        <v>100.11</v>
      </c>
      <c r="C409" s="2628" t="s">
        <v>1710</v>
      </c>
      <c r="D409" s="2290"/>
      <c r="E409" s="1786">
        <v>-28524</v>
      </c>
      <c r="F409" s="1786">
        <f t="shared" si="8"/>
        <v>-28524</v>
      </c>
      <c r="G409" s="1786">
        <v>0</v>
      </c>
      <c r="H409" s="1786">
        <v>0</v>
      </c>
      <c r="I409" s="1786">
        <v>0</v>
      </c>
      <c r="J409" s="1785" t="s">
        <v>1994</v>
      </c>
    </row>
    <row r="410" spans="1:10" ht="51">
      <c r="A410" s="1782">
        <v>287289</v>
      </c>
      <c r="B410" s="2626">
        <v>425.13</v>
      </c>
      <c r="C410" s="2628" t="s">
        <v>1451</v>
      </c>
      <c r="D410" s="2290"/>
      <c r="E410" s="1786">
        <v>-7154</v>
      </c>
      <c r="F410" s="1786">
        <f t="shared" si="8"/>
        <v>-7154</v>
      </c>
      <c r="G410" s="1786">
        <v>0</v>
      </c>
      <c r="H410" s="1786">
        <v>0</v>
      </c>
      <c r="I410" s="1786">
        <v>0</v>
      </c>
      <c r="J410" s="1785" t="s">
        <v>1182</v>
      </c>
    </row>
    <row r="411" spans="1:10" ht="51">
      <c r="A411" s="1782">
        <v>287653</v>
      </c>
      <c r="B411" s="2626">
        <v>425.25</v>
      </c>
      <c r="C411" s="2628" t="s">
        <v>590</v>
      </c>
      <c r="D411" s="2290"/>
      <c r="E411" s="1786">
        <v>-18108</v>
      </c>
      <c r="F411" s="1786">
        <f t="shared" si="8"/>
        <v>-18108</v>
      </c>
      <c r="G411" s="1786">
        <v>0</v>
      </c>
      <c r="H411" s="1786">
        <v>0</v>
      </c>
      <c r="I411" s="1786">
        <v>0</v>
      </c>
      <c r="J411" s="1785" t="s">
        <v>1279</v>
      </c>
    </row>
    <row r="412" spans="1:10" ht="25.5">
      <c r="A412" s="1782">
        <v>287770</v>
      </c>
      <c r="B412" s="2626">
        <v>120.205</v>
      </c>
      <c r="C412" s="2628" t="s">
        <v>598</v>
      </c>
      <c r="D412" s="2290"/>
      <c r="E412" s="1786">
        <v>-1519523</v>
      </c>
      <c r="F412" s="1786">
        <f t="shared" si="8"/>
        <v>-1519523</v>
      </c>
      <c r="G412" s="1786">
        <v>0</v>
      </c>
      <c r="H412" s="1786">
        <v>0</v>
      </c>
      <c r="I412" s="1786">
        <v>0</v>
      </c>
      <c r="J412" s="1785" t="s">
        <v>1288</v>
      </c>
    </row>
    <row r="413" spans="1:10" ht="37.5" customHeight="1">
      <c r="A413" s="1782">
        <v>287859</v>
      </c>
      <c r="B413" s="2626">
        <v>910.93499999999995</v>
      </c>
      <c r="C413" s="2628" t="s">
        <v>599</v>
      </c>
      <c r="D413" s="2290"/>
      <c r="E413" s="1786">
        <v>-379600</v>
      </c>
      <c r="F413" s="1786">
        <v>0</v>
      </c>
      <c r="G413" s="1786">
        <v>0</v>
      </c>
      <c r="H413" s="1786">
        <v>0</v>
      </c>
      <c r="I413" s="1786">
        <f>E413</f>
        <v>-379600</v>
      </c>
      <c r="J413" s="1785" t="s">
        <v>1289</v>
      </c>
    </row>
    <row r="414" spans="1:10" ht="12.75">
      <c r="A414" s="1782">
        <v>287217</v>
      </c>
      <c r="B414" s="2626">
        <v>910.93700000000001</v>
      </c>
      <c r="C414" s="2628" t="s">
        <v>1794</v>
      </c>
      <c r="D414" s="2290"/>
      <c r="E414" s="1786">
        <v>-217136</v>
      </c>
      <c r="F414" s="1786">
        <v>0</v>
      </c>
      <c r="G414" s="1786">
        <v>0</v>
      </c>
      <c r="H414" s="1786">
        <v>0</v>
      </c>
      <c r="I414" s="1786">
        <f>E414</f>
        <v>-217136</v>
      </c>
      <c r="J414" s="1785" t="s">
        <v>1793</v>
      </c>
    </row>
    <row r="415" spans="1:10" ht="25.5">
      <c r="A415" s="1782">
        <v>287966</v>
      </c>
      <c r="B415" s="2626">
        <v>415.834</v>
      </c>
      <c r="C415" s="2628" t="s">
        <v>1565</v>
      </c>
      <c r="D415" s="2290"/>
      <c r="E415" s="1786">
        <v>-677587</v>
      </c>
      <c r="F415" s="1786">
        <f>E415</f>
        <v>-677587</v>
      </c>
      <c r="G415" s="1786">
        <v>0</v>
      </c>
      <c r="H415" s="1786">
        <v>0</v>
      </c>
      <c r="I415" s="1786">
        <v>0</v>
      </c>
      <c r="J415" s="1785" t="s">
        <v>1293</v>
      </c>
    </row>
    <row r="416" spans="1:10" ht="25.5">
      <c r="A416" s="1782">
        <v>287965</v>
      </c>
      <c r="B416" s="2626">
        <v>415.83600000000001</v>
      </c>
      <c r="C416" s="2628" t="s">
        <v>1292</v>
      </c>
      <c r="D416" s="2290"/>
      <c r="E416" s="1786">
        <v>0</v>
      </c>
      <c r="F416" s="1786">
        <f>E416</f>
        <v>0</v>
      </c>
      <c r="G416" s="1786">
        <v>0</v>
      </c>
      <c r="H416" s="1786">
        <v>0</v>
      </c>
      <c r="I416" s="1786">
        <v>0</v>
      </c>
      <c r="J416" s="1785" t="s">
        <v>1293</v>
      </c>
    </row>
    <row r="417" spans="1:12" ht="25.5">
      <c r="A417" s="1782">
        <v>287492</v>
      </c>
      <c r="B417" s="2626" t="s">
        <v>563</v>
      </c>
      <c r="C417" s="2628" t="s">
        <v>1566</v>
      </c>
      <c r="D417" s="2290"/>
      <c r="E417" s="1786">
        <v>-293220</v>
      </c>
      <c r="F417" s="1786">
        <f>E417</f>
        <v>-293220</v>
      </c>
      <c r="G417" s="1786">
        <v>0</v>
      </c>
      <c r="H417" s="1786">
        <v>0</v>
      </c>
      <c r="I417" s="1786">
        <v>0</v>
      </c>
      <c r="J417" s="2465" t="s">
        <v>1587</v>
      </c>
    </row>
    <row r="418" spans="1:12" ht="12.75">
      <c r="A418" s="2293"/>
      <c r="B418" s="2294"/>
      <c r="C418" s="2295"/>
      <c r="D418" s="2290"/>
      <c r="E418" s="2296"/>
      <c r="F418" s="2296"/>
      <c r="G418" s="2296"/>
      <c r="H418" s="2296"/>
      <c r="I418" s="2296"/>
      <c r="J418" s="2289"/>
    </row>
    <row r="419" spans="1:12" ht="12.75">
      <c r="A419" s="2293"/>
      <c r="B419" s="2294"/>
      <c r="C419" s="2295"/>
      <c r="D419" s="2290"/>
      <c r="E419" s="2296"/>
      <c r="F419" s="2296"/>
      <c r="G419" s="2296"/>
      <c r="H419" s="2296"/>
      <c r="I419" s="2296"/>
      <c r="J419" s="2288"/>
    </row>
    <row r="420" spans="1:12" ht="40.5" customHeight="1">
      <c r="A420" s="2293"/>
      <c r="B420" s="2294"/>
      <c r="C420" s="2295"/>
      <c r="D420" s="2290"/>
      <c r="E420" s="2296"/>
      <c r="F420" s="2296"/>
      <c r="G420" s="2296"/>
      <c r="H420" s="2296"/>
      <c r="I420" s="2296"/>
      <c r="J420" s="2288"/>
    </row>
    <row r="421" spans="1:12" ht="12.75">
      <c r="A421" s="2293"/>
      <c r="B421" s="2294"/>
      <c r="C421" s="2295"/>
      <c r="D421" s="2290"/>
      <c r="E421" s="2296"/>
      <c r="F421" s="2296"/>
      <c r="G421" s="2296"/>
      <c r="H421" s="2296"/>
      <c r="I421" s="2296"/>
      <c r="J421" s="2288"/>
    </row>
    <row r="422" spans="1:12" s="1343" customFormat="1" ht="12.75">
      <c r="A422" s="2668" t="s">
        <v>439</v>
      </c>
      <c r="B422" s="2669"/>
      <c r="C422" s="2669"/>
      <c r="D422" s="2319"/>
      <c r="E422" s="1806">
        <v>7</v>
      </c>
      <c r="F422" s="2168">
        <v>0</v>
      </c>
      <c r="G422" s="2168"/>
      <c r="H422" s="2168"/>
      <c r="I422" s="2168"/>
      <c r="J422" s="1832"/>
    </row>
    <row r="423" spans="1:12" s="1379" customFormat="1" ht="12.75">
      <c r="A423" s="2313" t="s">
        <v>322</v>
      </c>
      <c r="B423" s="2314"/>
      <c r="C423" s="2303"/>
      <c r="D423" s="2304"/>
      <c r="E423" s="2305">
        <f>SUBTOTAL(9,E288:E422)</f>
        <v>-603137230</v>
      </c>
      <c r="F423" s="2305">
        <f>SUBTOTAL(9,F288:F422)</f>
        <v>-593288753</v>
      </c>
      <c r="G423" s="2305">
        <f>SUBTOTAL(9,G288:G422)</f>
        <v>0</v>
      </c>
      <c r="H423" s="2305">
        <f>SUBTOTAL(9,H288:H422)</f>
        <v>-8420282</v>
      </c>
      <c r="I423" s="2305">
        <f>SUBTOTAL(9,I288:I422)</f>
        <v>-1428202</v>
      </c>
      <c r="J423" s="2308"/>
      <c r="K423" s="1378"/>
      <c r="L423" s="436" t="s">
        <v>2223</v>
      </c>
    </row>
    <row r="424" spans="1:12" s="1379" customFormat="1" ht="12.75">
      <c r="A424" s="2313" t="s">
        <v>198</v>
      </c>
      <c r="B424" s="2314"/>
      <c r="C424" s="2303"/>
      <c r="D424" s="2304"/>
      <c r="E424" s="2633">
        <f>E332+E409</f>
        <v>-159741887</v>
      </c>
      <c r="F424" s="2633">
        <f>F332+F409</f>
        <v>-159741887</v>
      </c>
      <c r="G424" s="2633">
        <f>G332+G409</f>
        <v>0</v>
      </c>
      <c r="H424" s="2633">
        <f>H332+H409</f>
        <v>0</v>
      </c>
      <c r="I424" s="2633">
        <f>I332+I409</f>
        <v>0</v>
      </c>
      <c r="J424" s="2308"/>
      <c r="K424" s="1378"/>
    </row>
    <row r="425" spans="1:12" s="1379" customFormat="1" ht="12.75">
      <c r="A425" s="2313" t="s">
        <v>199</v>
      </c>
      <c r="B425" s="2314"/>
      <c r="C425" s="2303"/>
      <c r="D425" s="2304"/>
      <c r="E425" s="2633">
        <v>0</v>
      </c>
      <c r="F425" s="2633">
        <v>0</v>
      </c>
      <c r="G425" s="2633">
        <v>0</v>
      </c>
      <c r="H425" s="2633">
        <v>0</v>
      </c>
      <c r="I425" s="2633">
        <v>0</v>
      </c>
      <c r="J425" s="2308"/>
      <c r="K425" s="1378"/>
    </row>
    <row r="426" spans="1:12" s="1379" customFormat="1" ht="12.75">
      <c r="A426" s="2320" t="s">
        <v>282</v>
      </c>
      <c r="B426" s="2321"/>
      <c r="C426" s="2322"/>
      <c r="D426" s="2323"/>
      <c r="E426" s="2324">
        <f>SUM(E423-E424-E425)</f>
        <v>-443395343</v>
      </c>
      <c r="F426" s="2324">
        <f>SUM(F423-F424-F425)</f>
        <v>-433546866</v>
      </c>
      <c r="G426" s="2324">
        <f>SUM(G423-G424-G425)</f>
        <v>0</v>
      </c>
      <c r="H426" s="2324">
        <f>SUM(H423-H424-H425)</f>
        <v>-8420282</v>
      </c>
      <c r="I426" s="2324">
        <f>SUM(I423-I424-I425)</f>
        <v>-1428202</v>
      </c>
      <c r="J426" s="2308"/>
      <c r="K426" s="1378"/>
    </row>
    <row r="427" spans="1:12" s="1379" customFormat="1" ht="12.75">
      <c r="A427" s="1310"/>
      <c r="B427" s="1310"/>
      <c r="C427" s="1322"/>
      <c r="D427" s="1312"/>
      <c r="E427" s="1833"/>
      <c r="F427" s="1833"/>
      <c r="G427" s="1833"/>
      <c r="H427" s="1833"/>
      <c r="I427" s="1314"/>
      <c r="J427" s="1378"/>
      <c r="K427" s="1378"/>
    </row>
    <row r="428" spans="1:12" s="1379" customFormat="1" ht="12.75">
      <c r="A428" s="1310"/>
      <c r="B428" s="1310"/>
      <c r="C428" s="1814" t="s">
        <v>65</v>
      </c>
      <c r="D428" s="1815"/>
      <c r="E428" s="1816"/>
      <c r="F428" s="1816"/>
      <c r="G428" s="1817"/>
      <c r="H428" s="1818"/>
      <c r="I428" s="1314"/>
      <c r="J428" s="1378"/>
      <c r="K428" s="1378"/>
    </row>
    <row r="429" spans="1:12" s="1379" customFormat="1" ht="25.5">
      <c r="A429" s="1310"/>
      <c r="B429" s="1310"/>
      <c r="C429" s="1380" t="s">
        <v>132</v>
      </c>
      <c r="D429" s="1381"/>
      <c r="E429" s="1314"/>
      <c r="F429" s="1314"/>
      <c r="G429" s="1314"/>
      <c r="H429" s="1834"/>
      <c r="I429" s="1314"/>
      <c r="J429" s="1378"/>
      <c r="K429" s="1378"/>
    </row>
    <row r="430" spans="1:12" s="1379" customFormat="1" ht="12.75">
      <c r="A430" s="1310"/>
      <c r="B430" s="1310"/>
      <c r="C430" s="1316" t="s">
        <v>133</v>
      </c>
      <c r="D430" s="1311"/>
      <c r="E430" s="1321"/>
      <c r="F430" s="1321"/>
      <c r="G430" s="1313"/>
      <c r="H430" s="1317"/>
      <c r="I430" s="1314"/>
      <c r="J430" s="1378"/>
      <c r="K430" s="1378"/>
    </row>
    <row r="431" spans="1:12" s="1379" customFormat="1" ht="12.75">
      <c r="A431" s="1310"/>
      <c r="B431" s="1310"/>
      <c r="C431" s="1316" t="s">
        <v>262</v>
      </c>
      <c r="D431" s="1311"/>
      <c r="E431" s="1321"/>
      <c r="F431" s="1321"/>
      <c r="G431" s="1313"/>
      <c r="H431" s="1317"/>
      <c r="I431" s="1314"/>
      <c r="J431" s="1378"/>
      <c r="K431" s="1378"/>
    </row>
    <row r="432" spans="1:12" s="1379" customFormat="1" ht="12.75">
      <c r="A432" s="1310"/>
      <c r="B432" s="1310"/>
      <c r="C432" s="1316" t="s">
        <v>264</v>
      </c>
      <c r="D432" s="1311"/>
      <c r="E432" s="1321"/>
      <c r="F432" s="1321"/>
      <c r="G432" s="1321"/>
      <c r="H432" s="1344"/>
      <c r="I432" s="1318"/>
      <c r="J432" s="1378"/>
      <c r="K432" s="1378"/>
    </row>
    <row r="433" spans="1:11" s="1379" customFormat="1" ht="24.75" customHeight="1">
      <c r="A433" s="1310"/>
      <c r="B433" s="1310"/>
      <c r="C433" s="2662" t="s">
        <v>18</v>
      </c>
      <c r="D433" s="2663"/>
      <c r="E433" s="2663"/>
      <c r="F433" s="2663"/>
      <c r="G433" s="2663"/>
      <c r="H433" s="2664"/>
      <c r="I433" s="1314"/>
      <c r="J433" s="1378"/>
      <c r="K433" s="1378"/>
    </row>
    <row r="434" spans="1:11">
      <c r="A434" s="1369"/>
      <c r="B434" s="1369"/>
      <c r="C434" s="1370"/>
      <c r="D434" s="1308"/>
      <c r="E434" s="1326"/>
      <c r="F434" s="1326"/>
      <c r="G434" s="1326"/>
      <c r="H434" s="1326"/>
      <c r="I434" s="1373"/>
    </row>
    <row r="435" spans="1:11" ht="15">
      <c r="A435" s="1372"/>
      <c r="B435" s="1372"/>
      <c r="C435" s="1376"/>
      <c r="D435" s="1325"/>
      <c r="E435" s="1325"/>
      <c r="F435" s="1325"/>
      <c r="G435" s="1325"/>
      <c r="H435" s="1325"/>
      <c r="I435" s="1376"/>
    </row>
    <row r="436" spans="1:11" ht="15">
      <c r="A436" s="1372"/>
      <c r="B436" s="1372"/>
      <c r="C436" s="1372"/>
      <c r="D436" s="830"/>
      <c r="E436" s="830"/>
      <c r="F436" s="830"/>
      <c r="G436" s="830"/>
      <c r="H436" s="830"/>
      <c r="I436" s="1372"/>
    </row>
    <row r="437" spans="1:11">
      <c r="A437" s="1370"/>
      <c r="B437" s="1370"/>
      <c r="C437" s="1370"/>
      <c r="D437" s="1308"/>
      <c r="E437" s="1326"/>
      <c r="F437" s="1326"/>
      <c r="G437" s="1326"/>
      <c r="H437" s="1326"/>
      <c r="I437" s="1373"/>
    </row>
    <row r="438" spans="1:11">
      <c r="A438" s="1370"/>
      <c r="B438" s="1370"/>
      <c r="C438" s="1370"/>
      <c r="D438" s="1308"/>
      <c r="E438" s="1326"/>
      <c r="F438" s="1326"/>
      <c r="G438" s="1326"/>
      <c r="H438" s="1326"/>
      <c r="I438" s="1373"/>
    </row>
    <row r="439" spans="1:11">
      <c r="A439" s="1370"/>
      <c r="B439" s="1370"/>
      <c r="C439" s="1370"/>
      <c r="D439" s="1308"/>
      <c r="E439" s="1326"/>
      <c r="F439" s="1326"/>
      <c r="G439" s="1326"/>
      <c r="H439" s="1326"/>
      <c r="I439" s="1373"/>
    </row>
    <row r="440" spans="1:11" ht="15">
      <c r="A440" s="1327"/>
      <c r="B440" s="1327"/>
      <c r="C440" s="1370"/>
      <c r="D440" s="1308"/>
      <c r="E440" s="1328"/>
      <c r="F440" s="1328"/>
      <c r="G440" s="1328"/>
      <c r="H440" s="1328"/>
      <c r="I440" s="1382"/>
    </row>
    <row r="441" spans="1:11" ht="15">
      <c r="A441" s="1327"/>
      <c r="B441" s="1327"/>
      <c r="C441" s="1370"/>
      <c r="D441" s="1308"/>
      <c r="E441" s="1328"/>
      <c r="F441" s="1328"/>
      <c r="G441" s="1328"/>
      <c r="H441" s="1328"/>
      <c r="I441" s="1382"/>
    </row>
    <row r="442" spans="1:11">
      <c r="A442" s="1369"/>
      <c r="B442" s="1369"/>
      <c r="C442" s="1370"/>
      <c r="D442" s="1308"/>
      <c r="E442" s="1325"/>
      <c r="F442" s="1325"/>
      <c r="G442" s="1326"/>
      <c r="H442" s="1326"/>
      <c r="I442" s="1373"/>
    </row>
    <row r="443" spans="1:11">
      <c r="A443" s="1369"/>
      <c r="B443" s="1369"/>
      <c r="C443" s="1369"/>
      <c r="D443" s="1308"/>
      <c r="E443" s="1835"/>
      <c r="F443" s="1835"/>
      <c r="G443" s="1326"/>
      <c r="H443" s="1326"/>
      <c r="I443" s="1373"/>
    </row>
    <row r="444" spans="1:11">
      <c r="A444" s="1369"/>
      <c r="B444" s="1369"/>
      <c r="C444" s="1370"/>
      <c r="D444" s="1308"/>
      <c r="E444" s="1835"/>
      <c r="F444" s="1835"/>
      <c r="G444" s="1326"/>
      <c r="H444" s="1326"/>
      <c r="I444" s="1373"/>
    </row>
    <row r="445" spans="1:11">
      <c r="A445" s="1369"/>
      <c r="B445" s="1369"/>
      <c r="C445" s="1370"/>
      <c r="D445" s="1308"/>
      <c r="E445" s="1835"/>
      <c r="F445" s="1835"/>
      <c r="G445" s="1326"/>
      <c r="H445" s="1326"/>
      <c r="I445" s="1373"/>
    </row>
    <row r="446" spans="1:11">
      <c r="A446" s="1369"/>
      <c r="B446" s="1369"/>
      <c r="C446" s="1370"/>
      <c r="D446" s="1308"/>
      <c r="E446" s="1835"/>
      <c r="F446" s="1835"/>
      <c r="G446" s="1326"/>
      <c r="H446" s="1326"/>
      <c r="I446" s="1373"/>
    </row>
    <row r="447" spans="1:11">
      <c r="A447" s="1369"/>
      <c r="B447" s="1369"/>
      <c r="C447" s="1370"/>
      <c r="D447" s="1308"/>
      <c r="E447" s="1835"/>
      <c r="F447" s="1835"/>
      <c r="G447" s="1326"/>
      <c r="H447" s="1326"/>
      <c r="I447" s="1373"/>
    </row>
    <row r="448" spans="1:11">
      <c r="A448" s="1369"/>
      <c r="B448" s="1369"/>
      <c r="C448" s="1370"/>
      <c r="D448" s="1308"/>
      <c r="E448" s="1835"/>
      <c r="F448" s="1835"/>
      <c r="G448" s="1326"/>
      <c r="H448" s="1326"/>
      <c r="I448" s="1373"/>
    </row>
    <row r="449" spans="1:9">
      <c r="A449" s="1369"/>
      <c r="B449" s="1369"/>
      <c r="C449" s="1370"/>
      <c r="D449" s="1308"/>
      <c r="E449" s="1835"/>
      <c r="F449" s="1835"/>
      <c r="G449" s="1326"/>
      <c r="H449" s="1326"/>
      <c r="I449" s="1373"/>
    </row>
    <row r="450" spans="1:9">
      <c r="A450" s="1369"/>
      <c r="B450" s="1369"/>
      <c r="C450" s="1370"/>
      <c r="D450" s="1308"/>
      <c r="E450" s="1835"/>
      <c r="F450" s="1835"/>
      <c r="G450" s="1326"/>
      <c r="H450" s="1326"/>
      <c r="I450" s="1373"/>
    </row>
    <row r="451" spans="1:9">
      <c r="A451" s="1369"/>
      <c r="B451" s="1369"/>
      <c r="C451" s="1370"/>
      <c r="D451" s="1308"/>
      <c r="E451" s="1835"/>
      <c r="F451" s="1835"/>
      <c r="G451" s="1326"/>
      <c r="H451" s="1326"/>
      <c r="I451" s="1373"/>
    </row>
    <row r="452" spans="1:9">
      <c r="A452" s="1369"/>
      <c r="B452" s="1369"/>
      <c r="C452" s="1370"/>
      <c r="D452" s="1308"/>
      <c r="E452" s="1835"/>
      <c r="F452" s="1835"/>
      <c r="G452" s="1326"/>
      <c r="H452" s="1326"/>
      <c r="I452" s="1373"/>
    </row>
    <row r="453" spans="1:9">
      <c r="A453" s="1370"/>
      <c r="B453" s="1370"/>
      <c r="C453" s="1370"/>
      <c r="D453" s="1308"/>
      <c r="E453" s="1835"/>
      <c r="F453" s="1835"/>
      <c r="G453" s="1326"/>
      <c r="H453" s="1326"/>
      <c r="I453" s="1373"/>
    </row>
    <row r="454" spans="1:9">
      <c r="A454" s="1369"/>
      <c r="B454" s="1369"/>
      <c r="C454" s="1370"/>
      <c r="D454" s="1308"/>
      <c r="E454" s="1835"/>
      <c r="F454" s="1835"/>
      <c r="G454" s="1326"/>
      <c r="H454" s="1326"/>
      <c r="I454" s="1373"/>
    </row>
    <row r="455" spans="1:9">
      <c r="A455" s="1370"/>
      <c r="B455" s="1370"/>
      <c r="C455" s="1370"/>
      <c r="D455" s="1308"/>
      <c r="E455" s="1835"/>
      <c r="F455" s="1835"/>
      <c r="G455" s="1326"/>
      <c r="H455" s="1326"/>
      <c r="I455" s="1373"/>
    </row>
    <row r="456" spans="1:9">
      <c r="A456" s="1369"/>
      <c r="B456" s="1369"/>
      <c r="C456" s="1370"/>
      <c r="D456" s="1308"/>
      <c r="E456" s="1326"/>
      <c r="F456" s="1326"/>
      <c r="G456" s="1326"/>
      <c r="H456" s="1326"/>
      <c r="I456" s="1373"/>
    </row>
    <row r="457" spans="1:9">
      <c r="A457" s="1369"/>
      <c r="B457" s="1369"/>
      <c r="C457" s="1370"/>
      <c r="D457" s="1308"/>
      <c r="E457" s="1326"/>
      <c r="F457" s="1326"/>
      <c r="G457" s="1326"/>
      <c r="H457" s="1326"/>
      <c r="I457" s="1373"/>
    </row>
    <row r="458" spans="1:9">
      <c r="A458" s="1369"/>
      <c r="B458" s="1369"/>
      <c r="C458" s="1370"/>
      <c r="D458" s="1308"/>
      <c r="E458" s="1326"/>
      <c r="F458" s="1326"/>
      <c r="G458" s="1326"/>
      <c r="H458" s="1326"/>
      <c r="I458" s="1373"/>
    </row>
    <row r="459" spans="1:9">
      <c r="A459" s="1369"/>
      <c r="B459" s="1369"/>
      <c r="C459" s="1370"/>
      <c r="D459" s="1308"/>
      <c r="E459" s="1326"/>
      <c r="F459" s="1326"/>
      <c r="G459" s="1326"/>
      <c r="H459" s="1326"/>
      <c r="I459" s="1373"/>
    </row>
    <row r="460" spans="1:9">
      <c r="A460" s="1369"/>
      <c r="B460" s="1369"/>
      <c r="C460" s="1370"/>
      <c r="D460" s="1308"/>
      <c r="E460" s="1326"/>
      <c r="F460" s="1326"/>
      <c r="G460" s="1326"/>
      <c r="H460" s="1326"/>
      <c r="I460" s="1373"/>
    </row>
    <row r="461" spans="1:9">
      <c r="A461" s="1369"/>
      <c r="B461" s="1369"/>
      <c r="C461" s="1370"/>
      <c r="D461" s="1308"/>
      <c r="E461" s="1326"/>
      <c r="F461" s="1326"/>
      <c r="G461" s="1326"/>
      <c r="H461" s="1326"/>
      <c r="I461" s="1373"/>
    </row>
    <row r="462" spans="1:9">
      <c r="A462" s="1369"/>
      <c r="B462" s="1369"/>
      <c r="C462" s="1370"/>
      <c r="D462" s="1308"/>
      <c r="E462" s="1326"/>
      <c r="F462" s="1326"/>
      <c r="G462" s="1326"/>
      <c r="H462" s="1326"/>
      <c r="I462" s="1373"/>
    </row>
    <row r="463" spans="1:9">
      <c r="A463" s="1369"/>
      <c r="B463" s="1369"/>
      <c r="C463" s="1370"/>
      <c r="D463" s="1308"/>
      <c r="E463" s="1326"/>
      <c r="F463" s="1326"/>
      <c r="G463" s="1326"/>
      <c r="H463" s="1326"/>
      <c r="I463" s="1373"/>
    </row>
    <row r="464" spans="1:9">
      <c r="A464" s="1369"/>
      <c r="B464" s="1369"/>
      <c r="C464" s="1370"/>
      <c r="D464" s="1308"/>
      <c r="E464" s="1326"/>
      <c r="F464" s="1326"/>
      <c r="G464" s="1326"/>
      <c r="H464" s="1326"/>
      <c r="I464" s="1373"/>
    </row>
    <row r="465" spans="1:9">
      <c r="A465" s="1369"/>
      <c r="B465" s="1369"/>
      <c r="C465" s="1370"/>
      <c r="D465" s="1308"/>
      <c r="E465" s="1326"/>
      <c r="F465" s="1326"/>
      <c r="G465" s="1326"/>
      <c r="H465" s="1326"/>
      <c r="I465" s="1373"/>
    </row>
    <row r="466" spans="1:9">
      <c r="A466" s="1369"/>
      <c r="B466" s="1369"/>
      <c r="C466" s="1370"/>
      <c r="D466" s="1308"/>
      <c r="E466" s="1326"/>
      <c r="F466" s="1326"/>
      <c r="G466" s="1326"/>
      <c r="H466" s="1326"/>
      <c r="I466" s="1373"/>
    </row>
    <row r="467" spans="1:9">
      <c r="A467" s="1369"/>
      <c r="B467" s="1369"/>
      <c r="C467" s="1370"/>
      <c r="D467" s="1308"/>
      <c r="E467" s="1326"/>
      <c r="F467" s="1326"/>
      <c r="G467" s="1326"/>
      <c r="H467" s="1326"/>
      <c r="I467" s="1373"/>
    </row>
    <row r="468" spans="1:9">
      <c r="A468" s="1369"/>
      <c r="B468" s="1369"/>
      <c r="C468" s="1370"/>
      <c r="D468" s="1308"/>
      <c r="E468" s="1326"/>
      <c r="F468" s="1326"/>
      <c r="G468" s="1326"/>
      <c r="H468" s="1326"/>
      <c r="I468" s="1373"/>
    </row>
    <row r="469" spans="1:9">
      <c r="A469" s="1369"/>
      <c r="B469" s="1369"/>
      <c r="C469" s="1370"/>
      <c r="D469" s="1308"/>
      <c r="E469" s="1326"/>
      <c r="F469" s="1326"/>
      <c r="G469" s="1326"/>
      <c r="H469" s="1326"/>
      <c r="I469" s="1373"/>
    </row>
    <row r="470" spans="1:9">
      <c r="A470" s="1369"/>
      <c r="B470" s="1369"/>
      <c r="C470" s="1370"/>
      <c r="D470" s="1308"/>
      <c r="E470" s="1326"/>
      <c r="F470" s="1326"/>
      <c r="G470" s="1326"/>
      <c r="H470" s="1326"/>
      <c r="I470" s="1373"/>
    </row>
    <row r="471" spans="1:9">
      <c r="A471" s="1369"/>
      <c r="B471" s="1369"/>
      <c r="C471" s="1370"/>
      <c r="D471" s="1308"/>
      <c r="E471" s="1326"/>
      <c r="F471" s="1326"/>
      <c r="G471" s="1326"/>
      <c r="H471" s="1326"/>
      <c r="I471" s="1373"/>
    </row>
    <row r="472" spans="1:9">
      <c r="A472" s="1369"/>
      <c r="B472" s="1369"/>
      <c r="C472" s="1370"/>
      <c r="D472" s="1308"/>
      <c r="E472" s="1326"/>
      <c r="F472" s="1326"/>
      <c r="G472" s="1326"/>
      <c r="H472" s="1326"/>
      <c r="I472" s="1373"/>
    </row>
    <row r="473" spans="1:9">
      <c r="A473" s="1369"/>
      <c r="B473" s="1369"/>
      <c r="C473" s="1370"/>
      <c r="D473" s="1308"/>
      <c r="E473" s="1326"/>
      <c r="F473" s="1326"/>
      <c r="G473" s="1326"/>
      <c r="H473" s="1326"/>
      <c r="I473" s="1373"/>
    </row>
    <row r="474" spans="1:9">
      <c r="A474" s="1369"/>
      <c r="B474" s="1369"/>
      <c r="C474" s="1370"/>
      <c r="D474" s="1308"/>
      <c r="E474" s="1326"/>
      <c r="F474" s="1326"/>
      <c r="G474" s="1326"/>
      <c r="H474" s="1326"/>
      <c r="I474" s="1373"/>
    </row>
    <row r="475" spans="1:9">
      <c r="A475" s="1369"/>
      <c r="B475" s="1369"/>
      <c r="C475" s="1370"/>
      <c r="D475" s="1308"/>
      <c r="E475" s="1326"/>
      <c r="F475" s="1326"/>
      <c r="G475" s="1326"/>
      <c r="H475" s="1326"/>
      <c r="I475" s="1373"/>
    </row>
    <row r="476" spans="1:9">
      <c r="A476" s="1369"/>
      <c r="B476" s="1369"/>
      <c r="C476" s="1370"/>
      <c r="D476" s="1308"/>
      <c r="E476" s="1326"/>
      <c r="F476" s="1326"/>
      <c r="G476" s="1326"/>
      <c r="H476" s="1326"/>
      <c r="I476" s="1373"/>
    </row>
    <row r="477" spans="1:9">
      <c r="A477" s="1369"/>
      <c r="B477" s="1369"/>
      <c r="C477" s="1370"/>
      <c r="D477" s="1308"/>
      <c r="E477" s="1326"/>
      <c r="F477" s="1326"/>
      <c r="G477" s="1326"/>
      <c r="H477" s="1326"/>
      <c r="I477" s="1373"/>
    </row>
    <row r="478" spans="1:9">
      <c r="A478" s="1369"/>
      <c r="B478" s="1369"/>
      <c r="C478" s="1370"/>
      <c r="D478" s="1308"/>
      <c r="E478" s="1326"/>
      <c r="F478" s="1326"/>
      <c r="G478" s="1326"/>
      <c r="H478" s="1326"/>
      <c r="I478" s="1373"/>
    </row>
    <row r="479" spans="1:9">
      <c r="A479" s="1369"/>
      <c r="B479" s="1369"/>
      <c r="C479" s="1370"/>
      <c r="D479" s="1308"/>
      <c r="E479" s="1326"/>
      <c r="F479" s="1326"/>
      <c r="G479" s="1326"/>
      <c r="H479" s="1326"/>
      <c r="I479" s="1373"/>
    </row>
    <row r="480" spans="1:9">
      <c r="A480" s="1369"/>
      <c r="B480" s="1369"/>
      <c r="C480" s="1370"/>
      <c r="D480" s="1308"/>
      <c r="E480" s="1326"/>
      <c r="F480" s="1326"/>
      <c r="G480" s="1326"/>
      <c r="H480" s="1326"/>
      <c r="I480" s="1373"/>
    </row>
    <row r="481" spans="1:9">
      <c r="A481" s="1369"/>
      <c r="B481" s="1369"/>
      <c r="C481" s="1370"/>
      <c r="D481" s="1308"/>
      <c r="E481" s="1326"/>
      <c r="F481" s="1326"/>
      <c r="G481" s="1326"/>
      <c r="H481" s="1326"/>
      <c r="I481" s="1373"/>
    </row>
    <row r="482" spans="1:9">
      <c r="A482" s="1369"/>
      <c r="B482" s="1369"/>
      <c r="C482" s="1370"/>
      <c r="D482" s="1308"/>
      <c r="E482" s="1326"/>
      <c r="F482" s="1326"/>
      <c r="G482" s="1326"/>
      <c r="H482" s="1326"/>
      <c r="I482" s="1373"/>
    </row>
    <row r="483" spans="1:9">
      <c r="A483" s="1369"/>
      <c r="B483" s="1369"/>
      <c r="C483" s="1370"/>
      <c r="D483" s="1308"/>
      <c r="E483" s="1326"/>
      <c r="F483" s="1326"/>
      <c r="G483" s="1326"/>
      <c r="H483" s="1326"/>
      <c r="I483" s="1373"/>
    </row>
    <row r="484" spans="1:9">
      <c r="A484" s="1369"/>
      <c r="B484" s="1369"/>
      <c r="C484" s="1370"/>
      <c r="D484" s="1308"/>
      <c r="E484" s="1326"/>
      <c r="F484" s="1326"/>
      <c r="G484" s="1326"/>
      <c r="H484" s="1326"/>
      <c r="I484" s="1373"/>
    </row>
    <row r="485" spans="1:9">
      <c r="A485" s="1369"/>
      <c r="B485" s="1369"/>
      <c r="C485" s="1370"/>
      <c r="D485" s="1308"/>
      <c r="E485" s="1326"/>
      <c r="F485" s="1326"/>
      <c r="G485" s="1326"/>
      <c r="H485" s="1326"/>
      <c r="I485" s="1373"/>
    </row>
    <row r="486" spans="1:9">
      <c r="A486" s="1369"/>
      <c r="B486" s="1369"/>
      <c r="C486" s="1370"/>
      <c r="D486" s="1308"/>
      <c r="E486" s="1326"/>
      <c r="F486" s="1326"/>
      <c r="G486" s="1326"/>
      <c r="H486" s="1326"/>
      <c r="I486" s="1373"/>
    </row>
    <row r="487" spans="1:9">
      <c r="A487" s="1369"/>
      <c r="B487" s="1369"/>
      <c r="C487" s="1370"/>
      <c r="D487" s="1308"/>
      <c r="E487" s="1326"/>
      <c r="F487" s="1326"/>
      <c r="G487" s="1326"/>
      <c r="H487" s="1326"/>
      <c r="I487" s="1373"/>
    </row>
    <row r="488" spans="1:9">
      <c r="A488" s="1369"/>
      <c r="B488" s="1369"/>
      <c r="C488" s="1370"/>
      <c r="D488" s="1308"/>
      <c r="E488" s="1326"/>
      <c r="F488" s="1326"/>
      <c r="G488" s="1326"/>
      <c r="H488" s="1326"/>
      <c r="I488" s="1373"/>
    </row>
    <row r="489" spans="1:9">
      <c r="A489" s="1369"/>
      <c r="B489" s="1369"/>
      <c r="C489" s="1370"/>
      <c r="D489" s="1308"/>
      <c r="E489" s="1326"/>
      <c r="F489" s="1326"/>
      <c r="G489" s="1326"/>
      <c r="H489" s="1326"/>
      <c r="I489" s="1373"/>
    </row>
    <row r="490" spans="1:9">
      <c r="A490" s="1369"/>
      <c r="B490" s="1369"/>
      <c r="C490" s="1370"/>
      <c r="D490" s="1308"/>
      <c r="E490" s="1326"/>
      <c r="F490" s="1326"/>
      <c r="G490" s="1326"/>
      <c r="H490" s="1326"/>
      <c r="I490" s="1373"/>
    </row>
    <row r="491" spans="1:9">
      <c r="A491" s="1369"/>
      <c r="B491" s="1369"/>
      <c r="C491" s="1370"/>
      <c r="D491" s="1308"/>
      <c r="E491" s="1326"/>
      <c r="F491" s="1326"/>
      <c r="G491" s="1326"/>
      <c r="H491" s="1326"/>
      <c r="I491" s="1373"/>
    </row>
    <row r="492" spans="1:9">
      <c r="A492" s="1369"/>
      <c r="B492" s="1369"/>
      <c r="C492" s="1370"/>
      <c r="D492" s="1308"/>
      <c r="E492" s="1326"/>
      <c r="F492" s="1326"/>
      <c r="G492" s="1326"/>
      <c r="H492" s="1326"/>
      <c r="I492" s="1373"/>
    </row>
    <row r="493" spans="1:9">
      <c r="A493" s="1369"/>
      <c r="B493" s="1369"/>
      <c r="C493" s="1370"/>
      <c r="D493" s="1308"/>
      <c r="E493" s="1326"/>
      <c r="F493" s="1326"/>
      <c r="G493" s="1326"/>
      <c r="H493" s="1326"/>
      <c r="I493" s="1373"/>
    </row>
    <row r="494" spans="1:9">
      <c r="A494" s="1369"/>
      <c r="B494" s="1369"/>
      <c r="C494" s="1370"/>
      <c r="D494" s="1308"/>
      <c r="E494" s="1326"/>
      <c r="F494" s="1326"/>
      <c r="G494" s="1326"/>
      <c r="H494" s="1326"/>
      <c r="I494" s="1373"/>
    </row>
    <row r="495" spans="1:9">
      <c r="A495" s="1369"/>
      <c r="B495" s="1369"/>
      <c r="C495" s="1370"/>
      <c r="D495" s="1308"/>
      <c r="E495" s="1326"/>
      <c r="F495" s="1326"/>
      <c r="G495" s="1326"/>
      <c r="H495" s="1326"/>
      <c r="I495" s="1373"/>
    </row>
    <row r="496" spans="1:9">
      <c r="A496" s="1369"/>
      <c r="B496" s="1369"/>
      <c r="C496" s="1370"/>
      <c r="D496" s="1308"/>
      <c r="E496" s="1326"/>
      <c r="F496" s="1326"/>
      <c r="G496" s="1326"/>
      <c r="H496" s="1326"/>
      <c r="I496" s="1373"/>
    </row>
    <row r="497" spans="1:9">
      <c r="A497" s="1369"/>
      <c r="B497" s="1369"/>
      <c r="C497" s="1370"/>
      <c r="D497" s="1308"/>
      <c r="E497" s="1326"/>
      <c r="F497" s="1326"/>
      <c r="G497" s="1326"/>
      <c r="H497" s="1326"/>
      <c r="I497" s="1373"/>
    </row>
    <row r="498" spans="1:9">
      <c r="A498" s="1369"/>
      <c r="B498" s="1369"/>
      <c r="C498" s="1370"/>
      <c r="D498" s="1308"/>
      <c r="E498" s="1326"/>
      <c r="F498" s="1326"/>
      <c r="G498" s="1326"/>
      <c r="H498" s="1326"/>
      <c r="I498" s="1373"/>
    </row>
    <row r="499" spans="1:9">
      <c r="A499" s="1369"/>
      <c r="B499" s="1369"/>
      <c r="C499" s="1370"/>
      <c r="D499" s="1308"/>
      <c r="E499" s="1326"/>
      <c r="F499" s="1326"/>
      <c r="G499" s="1326"/>
      <c r="H499" s="1326"/>
      <c r="I499" s="1373"/>
    </row>
    <row r="500" spans="1:9">
      <c r="A500" s="1369"/>
      <c r="B500" s="1369"/>
      <c r="C500" s="1370"/>
      <c r="D500" s="1308"/>
      <c r="E500" s="1326"/>
      <c r="F500" s="1326"/>
      <c r="G500" s="1326"/>
      <c r="H500" s="1326"/>
      <c r="I500" s="1373"/>
    </row>
    <row r="501" spans="1:9">
      <c r="A501" s="1369"/>
      <c r="B501" s="1369"/>
      <c r="C501" s="1370"/>
      <c r="D501" s="1308"/>
      <c r="E501" s="1326"/>
      <c r="F501" s="1326"/>
      <c r="G501" s="1326"/>
      <c r="H501" s="1326"/>
      <c r="I501" s="1373"/>
    </row>
    <row r="502" spans="1:9">
      <c r="A502" s="1369"/>
      <c r="B502" s="1369"/>
      <c r="C502" s="1370"/>
      <c r="D502" s="1308"/>
      <c r="E502" s="1326"/>
      <c r="F502" s="1326"/>
      <c r="G502" s="1326"/>
      <c r="H502" s="1326"/>
      <c r="I502" s="1373"/>
    </row>
    <row r="503" spans="1:9">
      <c r="A503" s="1369"/>
      <c r="B503" s="1369"/>
      <c r="C503" s="1370"/>
      <c r="D503" s="1308"/>
      <c r="E503" s="1326"/>
      <c r="F503" s="1326"/>
      <c r="G503" s="1326"/>
      <c r="H503" s="1326"/>
      <c r="I503" s="1373"/>
    </row>
    <row r="504" spans="1:9">
      <c r="A504" s="1369"/>
      <c r="B504" s="1369"/>
      <c r="C504" s="1370"/>
      <c r="D504" s="1308"/>
      <c r="E504" s="1326"/>
      <c r="F504" s="1326"/>
      <c r="G504" s="1326"/>
      <c r="H504" s="1326"/>
      <c r="I504" s="1373"/>
    </row>
    <row r="505" spans="1:9">
      <c r="A505" s="1369"/>
      <c r="B505" s="1369"/>
      <c r="C505" s="1370"/>
      <c r="D505" s="1308"/>
      <c r="E505" s="1326"/>
      <c r="F505" s="1326"/>
      <c r="G505" s="1326"/>
      <c r="H505" s="1326"/>
      <c r="I505" s="1373"/>
    </row>
    <row r="506" spans="1:9">
      <c r="A506" s="1369"/>
      <c r="B506" s="1369"/>
      <c r="C506" s="1370"/>
      <c r="D506" s="1308"/>
      <c r="E506" s="1326"/>
      <c r="F506" s="1326"/>
      <c r="G506" s="1326"/>
      <c r="H506" s="1326"/>
      <c r="I506" s="1373"/>
    </row>
    <row r="507" spans="1:9">
      <c r="A507" s="1369"/>
      <c r="B507" s="1369"/>
      <c r="C507" s="1370"/>
      <c r="D507" s="1308"/>
      <c r="E507" s="1326"/>
      <c r="F507" s="1326"/>
      <c r="G507" s="1326"/>
      <c r="H507" s="1326"/>
      <c r="I507" s="1373"/>
    </row>
    <row r="508" spans="1:9">
      <c r="A508" s="1369"/>
      <c r="B508" s="1369"/>
      <c r="C508" s="1370"/>
      <c r="D508" s="1308"/>
      <c r="E508" s="1326"/>
      <c r="F508" s="1326"/>
      <c r="G508" s="1326"/>
      <c r="H508" s="1326"/>
      <c r="I508" s="1373"/>
    </row>
    <row r="509" spans="1:9">
      <c r="A509" s="1369"/>
      <c r="B509" s="1369"/>
      <c r="C509" s="1370"/>
      <c r="D509" s="1308"/>
      <c r="E509" s="1326"/>
      <c r="F509" s="1326"/>
      <c r="G509" s="1326"/>
      <c r="H509" s="1326"/>
      <c r="I509" s="1373"/>
    </row>
    <row r="510" spans="1:9">
      <c r="A510" s="1369"/>
      <c r="B510" s="1369"/>
      <c r="C510" s="1370"/>
      <c r="D510" s="1308"/>
      <c r="E510" s="1326"/>
      <c r="F510" s="1326"/>
      <c r="G510" s="1326"/>
      <c r="H510" s="1326"/>
      <c r="I510" s="1373"/>
    </row>
    <row r="511" spans="1:9">
      <c r="A511" s="1369"/>
      <c r="B511" s="1369"/>
      <c r="C511" s="1370"/>
      <c r="D511" s="1308"/>
      <c r="E511" s="1326"/>
      <c r="F511" s="1326"/>
      <c r="G511" s="1326"/>
      <c r="H511" s="1326"/>
      <c r="I511" s="1373"/>
    </row>
    <row r="512" spans="1:9">
      <c r="A512" s="1369"/>
      <c r="B512" s="1369"/>
      <c r="C512" s="1370"/>
      <c r="D512" s="1308"/>
      <c r="E512" s="1326"/>
      <c r="F512" s="1326"/>
      <c r="G512" s="1326"/>
      <c r="H512" s="1326"/>
      <c r="I512" s="1373"/>
    </row>
    <row r="513" spans="1:9">
      <c r="A513" s="1369"/>
      <c r="B513" s="1369"/>
      <c r="C513" s="1370"/>
      <c r="D513" s="1308"/>
      <c r="E513" s="1326"/>
      <c r="F513" s="1326"/>
      <c r="G513" s="1326"/>
      <c r="H513" s="1326"/>
      <c r="I513" s="1373"/>
    </row>
    <row r="514" spans="1:9">
      <c r="A514" s="1369"/>
      <c r="B514" s="1369"/>
      <c r="C514" s="1370"/>
      <c r="D514" s="1308"/>
      <c r="E514" s="1326"/>
      <c r="F514" s="1326"/>
      <c r="G514" s="1326"/>
      <c r="H514" s="1326"/>
      <c r="I514" s="1373"/>
    </row>
    <row r="515" spans="1:9">
      <c r="A515" s="1369"/>
      <c r="B515" s="1369"/>
      <c r="C515" s="1370"/>
      <c r="D515" s="1308"/>
      <c r="E515" s="1326"/>
      <c r="F515" s="1326"/>
      <c r="G515" s="1326"/>
      <c r="H515" s="1326"/>
      <c r="I515" s="1373"/>
    </row>
    <row r="516" spans="1:9">
      <c r="A516" s="1369"/>
      <c r="B516" s="1369"/>
      <c r="C516" s="1370"/>
      <c r="D516" s="1308"/>
      <c r="E516" s="1326"/>
      <c r="F516" s="1326"/>
      <c r="G516" s="1326"/>
      <c r="H516" s="1326"/>
      <c r="I516" s="1373"/>
    </row>
    <row r="517" spans="1:9">
      <c r="A517" s="1369"/>
      <c r="B517" s="1369"/>
      <c r="C517" s="1370"/>
      <c r="D517" s="1308"/>
      <c r="E517" s="1326"/>
      <c r="F517" s="1326"/>
      <c r="G517" s="1326"/>
      <c r="H517" s="1326"/>
      <c r="I517" s="1373"/>
    </row>
    <row r="518" spans="1:9">
      <c r="A518" s="1369"/>
      <c r="B518" s="1369"/>
      <c r="C518" s="1370"/>
      <c r="D518" s="1308"/>
      <c r="E518" s="1326"/>
      <c r="F518" s="1326"/>
      <c r="G518" s="1326"/>
      <c r="H518" s="1326"/>
      <c r="I518" s="1373"/>
    </row>
    <row r="519" spans="1:9">
      <c r="A519" s="1369"/>
      <c r="B519" s="1369"/>
      <c r="C519" s="1370"/>
      <c r="D519" s="1308"/>
      <c r="E519" s="1326"/>
      <c r="F519" s="1326"/>
      <c r="G519" s="1326"/>
      <c r="H519" s="1326"/>
      <c r="I519" s="1373"/>
    </row>
    <row r="520" spans="1:9">
      <c r="A520" s="1369"/>
      <c r="B520" s="1369"/>
      <c r="C520" s="1370"/>
      <c r="D520" s="1308"/>
      <c r="E520" s="1326"/>
      <c r="F520" s="1326"/>
      <c r="G520" s="1326"/>
      <c r="H520" s="1326"/>
      <c r="I520" s="1373"/>
    </row>
    <row r="521" spans="1:9">
      <c r="A521" s="1369"/>
      <c r="B521" s="1369"/>
      <c r="C521" s="1370"/>
      <c r="D521" s="1308"/>
      <c r="E521" s="1326"/>
      <c r="F521" s="1326"/>
      <c r="G521" s="1326"/>
      <c r="H521" s="1326"/>
      <c r="I521" s="1373"/>
    </row>
    <row r="522" spans="1:9">
      <c r="A522" s="1369"/>
      <c r="B522" s="1369"/>
      <c r="C522" s="1370"/>
      <c r="D522" s="1308"/>
      <c r="E522" s="1326"/>
      <c r="F522" s="1326"/>
      <c r="G522" s="1326"/>
      <c r="H522" s="1326"/>
      <c r="I522" s="1373"/>
    </row>
    <row r="523" spans="1:9">
      <c r="A523" s="1369"/>
      <c r="B523" s="1369"/>
      <c r="C523" s="1370"/>
      <c r="D523" s="1308"/>
      <c r="E523" s="1326"/>
      <c r="F523" s="1326"/>
      <c r="G523" s="1326"/>
      <c r="H523" s="1326"/>
      <c r="I523" s="1373"/>
    </row>
    <row r="524" spans="1:9">
      <c r="A524" s="1369"/>
      <c r="B524" s="1369"/>
      <c r="C524" s="1370"/>
      <c r="D524" s="1308"/>
      <c r="E524" s="1326"/>
      <c r="F524" s="1326"/>
      <c r="G524" s="1326"/>
      <c r="H524" s="1326"/>
      <c r="I524" s="1373"/>
    </row>
    <row r="525" spans="1:9">
      <c r="A525" s="1369"/>
      <c r="B525" s="1369"/>
      <c r="C525" s="1370"/>
      <c r="D525" s="1308"/>
      <c r="E525" s="1326"/>
      <c r="F525" s="1326"/>
      <c r="G525" s="1326"/>
      <c r="H525" s="1326"/>
      <c r="I525" s="1373"/>
    </row>
    <row r="526" spans="1:9">
      <c r="A526" s="1369"/>
      <c r="B526" s="1369"/>
      <c r="C526" s="1370"/>
      <c r="D526" s="1308"/>
      <c r="E526" s="1326"/>
      <c r="F526" s="1326"/>
      <c r="G526" s="1326"/>
      <c r="H526" s="1326"/>
      <c r="I526" s="1373"/>
    </row>
    <row r="527" spans="1:9">
      <c r="A527" s="1369"/>
      <c r="B527" s="1369"/>
      <c r="C527" s="1370"/>
      <c r="D527" s="1308"/>
      <c r="E527" s="1326"/>
      <c r="F527" s="1326"/>
      <c r="G527" s="1326"/>
      <c r="H527" s="1326"/>
      <c r="I527" s="1373"/>
    </row>
    <row r="528" spans="1:9">
      <c r="A528" s="1369"/>
      <c r="B528" s="1369"/>
      <c r="C528" s="1370"/>
      <c r="D528" s="1308"/>
      <c r="E528" s="1326"/>
      <c r="F528" s="1326"/>
      <c r="G528" s="1326"/>
      <c r="H528" s="1326"/>
      <c r="I528" s="1373"/>
    </row>
    <row r="529" spans="1:9">
      <c r="A529" s="1369"/>
      <c r="B529" s="1369"/>
      <c r="C529" s="1370"/>
      <c r="D529" s="1308"/>
      <c r="E529" s="1326"/>
      <c r="F529" s="1326"/>
      <c r="G529" s="1326"/>
      <c r="H529" s="1326"/>
      <c r="I529" s="1373"/>
    </row>
    <row r="530" spans="1:9">
      <c r="A530" s="1369"/>
      <c r="B530" s="1369"/>
      <c r="C530" s="1370"/>
      <c r="D530" s="1308"/>
      <c r="E530" s="1326"/>
      <c r="F530" s="1326"/>
      <c r="G530" s="1326"/>
      <c r="H530" s="1326"/>
      <c r="I530" s="1373"/>
    </row>
    <row r="531" spans="1:9">
      <c r="A531" s="1369"/>
      <c r="B531" s="1369"/>
      <c r="C531" s="1370"/>
      <c r="D531" s="1308"/>
      <c r="E531" s="1326"/>
      <c r="F531" s="1326"/>
      <c r="G531" s="1326"/>
      <c r="H531" s="1326"/>
      <c r="I531" s="1373"/>
    </row>
    <row r="532" spans="1:9">
      <c r="A532" s="1369"/>
      <c r="B532" s="1369"/>
      <c r="C532" s="1370"/>
      <c r="D532" s="1308"/>
      <c r="E532" s="1326"/>
      <c r="F532" s="1326"/>
      <c r="G532" s="1326"/>
      <c r="H532" s="1326"/>
      <c r="I532" s="1373"/>
    </row>
    <row r="533" spans="1:9">
      <c r="A533" s="1369"/>
      <c r="B533" s="1369"/>
      <c r="C533" s="1370"/>
      <c r="D533" s="1308"/>
      <c r="E533" s="1326"/>
      <c r="F533" s="1326"/>
      <c r="G533" s="1326"/>
      <c r="H533" s="1326"/>
      <c r="I533" s="1373"/>
    </row>
    <row r="534" spans="1:9">
      <c r="A534" s="1369"/>
      <c r="B534" s="1369"/>
      <c r="C534" s="1370"/>
      <c r="D534" s="1308"/>
      <c r="E534" s="1326"/>
      <c r="F534" s="1326"/>
      <c r="G534" s="1326"/>
      <c r="H534" s="1326"/>
      <c r="I534" s="1373"/>
    </row>
    <row r="535" spans="1:9">
      <c r="A535" s="1369"/>
      <c r="B535" s="1369"/>
      <c r="C535" s="1370"/>
      <c r="D535" s="1308"/>
      <c r="E535" s="1326"/>
      <c r="F535" s="1326"/>
      <c r="G535" s="1326"/>
      <c r="H535" s="1326"/>
      <c r="I535" s="1373"/>
    </row>
    <row r="536" spans="1:9">
      <c r="A536" s="1369"/>
      <c r="B536" s="1369"/>
      <c r="C536" s="1370"/>
      <c r="D536" s="1308"/>
      <c r="E536" s="1326"/>
      <c r="F536" s="1326"/>
      <c r="G536" s="1326"/>
      <c r="H536" s="1326"/>
      <c r="I536" s="1373"/>
    </row>
    <row r="537" spans="1:9">
      <c r="A537" s="1369"/>
      <c r="B537" s="1369"/>
      <c r="C537" s="1370"/>
      <c r="D537" s="1308"/>
      <c r="E537" s="1326"/>
      <c r="F537" s="1326"/>
      <c r="G537" s="1326"/>
      <c r="H537" s="1326"/>
      <c r="I537" s="1373"/>
    </row>
    <row r="538" spans="1:9">
      <c r="A538" s="1369"/>
      <c r="B538" s="1369"/>
      <c r="C538" s="1370"/>
      <c r="D538" s="1308"/>
      <c r="E538" s="1326"/>
      <c r="F538" s="1326"/>
      <c r="G538" s="1326"/>
      <c r="H538" s="1326"/>
      <c r="I538" s="1373"/>
    </row>
    <row r="539" spans="1:9">
      <c r="A539" s="1369"/>
      <c r="B539" s="1369"/>
      <c r="C539" s="1370"/>
      <c r="D539" s="1308"/>
      <c r="E539" s="1326"/>
      <c r="F539" s="1326"/>
      <c r="G539" s="1326"/>
      <c r="H539" s="1326"/>
      <c r="I539" s="1373"/>
    </row>
    <row r="540" spans="1:9">
      <c r="A540" s="1369"/>
      <c r="B540" s="1369"/>
      <c r="C540" s="1370"/>
      <c r="D540" s="1308"/>
      <c r="E540" s="1326"/>
      <c r="F540" s="1326"/>
      <c r="G540" s="1326"/>
      <c r="H540" s="1326"/>
      <c r="I540" s="1373"/>
    </row>
    <row r="541" spans="1:9">
      <c r="A541" s="1369"/>
      <c r="B541" s="1369"/>
      <c r="C541" s="1370"/>
      <c r="D541" s="1308"/>
      <c r="E541" s="1326"/>
      <c r="F541" s="1326"/>
      <c r="G541" s="1326"/>
      <c r="H541" s="1326"/>
      <c r="I541" s="1373"/>
    </row>
    <row r="542" spans="1:9">
      <c r="A542" s="1369"/>
      <c r="B542" s="1369"/>
      <c r="C542" s="1370"/>
      <c r="D542" s="1308"/>
      <c r="E542" s="1326"/>
      <c r="F542" s="1326"/>
      <c r="G542" s="1326"/>
      <c r="H542" s="1326"/>
      <c r="I542" s="1373"/>
    </row>
    <row r="543" spans="1:9">
      <c r="A543" s="1369"/>
      <c r="B543" s="1369"/>
      <c r="C543" s="1370"/>
      <c r="D543" s="1308"/>
      <c r="E543" s="1326"/>
      <c r="F543" s="1326"/>
      <c r="G543" s="1326"/>
      <c r="H543" s="1326"/>
      <c r="I543" s="1373"/>
    </row>
    <row r="544" spans="1:9">
      <c r="A544" s="1369"/>
      <c r="B544" s="1369"/>
      <c r="C544" s="1370"/>
      <c r="D544" s="1308"/>
      <c r="E544" s="1326"/>
      <c r="F544" s="1326"/>
      <c r="G544" s="1326"/>
      <c r="H544" s="1326"/>
      <c r="I544" s="1373"/>
    </row>
    <row r="545" spans="1:9">
      <c r="A545" s="1369"/>
      <c r="B545" s="1369"/>
      <c r="C545" s="1370"/>
      <c r="D545" s="1308"/>
      <c r="E545" s="1326"/>
      <c r="F545" s="1326"/>
      <c r="G545" s="1326"/>
      <c r="H545" s="1326"/>
      <c r="I545" s="1373"/>
    </row>
    <row r="546" spans="1:9">
      <c r="A546" s="1369"/>
      <c r="B546" s="1369"/>
      <c r="C546" s="1370"/>
      <c r="D546" s="1308"/>
      <c r="E546" s="1326"/>
      <c r="F546" s="1326"/>
      <c r="G546" s="1326"/>
      <c r="H546" s="1326"/>
      <c r="I546" s="1373"/>
    </row>
    <row r="547" spans="1:9">
      <c r="A547" s="1369"/>
      <c r="B547" s="1369"/>
      <c r="C547" s="1370"/>
      <c r="D547" s="1308"/>
      <c r="E547" s="1326"/>
      <c r="F547" s="1326"/>
      <c r="G547" s="1326"/>
      <c r="H547" s="1326"/>
      <c r="I547" s="1373"/>
    </row>
    <row r="548" spans="1:9">
      <c r="A548" s="1369"/>
      <c r="B548" s="1369"/>
      <c r="C548" s="1370"/>
      <c r="D548" s="1308"/>
      <c r="E548" s="1326"/>
      <c r="F548" s="1326"/>
      <c r="G548" s="1326"/>
      <c r="H548" s="1326"/>
      <c r="I548" s="1373"/>
    </row>
    <row r="549" spans="1:9">
      <c r="A549" s="1369"/>
      <c r="B549" s="1369"/>
      <c r="C549" s="1370"/>
      <c r="D549" s="1308"/>
      <c r="E549" s="1326"/>
      <c r="F549" s="1326"/>
      <c r="G549" s="1326"/>
      <c r="H549" s="1326"/>
      <c r="I549" s="1373"/>
    </row>
    <row r="550" spans="1:9">
      <c r="A550" s="1369"/>
      <c r="B550" s="1369"/>
      <c r="C550" s="1370"/>
      <c r="D550" s="1308"/>
      <c r="E550" s="1326"/>
      <c r="F550" s="1326"/>
      <c r="G550" s="1326"/>
      <c r="H550" s="1326"/>
      <c r="I550" s="1373"/>
    </row>
    <row r="551" spans="1:9">
      <c r="A551" s="1369"/>
      <c r="B551" s="1369"/>
      <c r="C551" s="1370"/>
      <c r="D551" s="1308"/>
      <c r="E551" s="1326"/>
      <c r="F551" s="1326"/>
      <c r="G551" s="1326"/>
      <c r="H551" s="1326"/>
      <c r="I551" s="1373"/>
    </row>
    <row r="552" spans="1:9">
      <c r="A552" s="1369"/>
      <c r="B552" s="1369"/>
      <c r="C552" s="1370"/>
      <c r="D552" s="1308"/>
      <c r="E552" s="1326"/>
      <c r="F552" s="1326"/>
      <c r="G552" s="1326"/>
      <c r="H552" s="1326"/>
      <c r="I552" s="1373"/>
    </row>
    <row r="553" spans="1:9">
      <c r="A553" s="1369"/>
      <c r="B553" s="1369"/>
      <c r="C553" s="1370"/>
      <c r="D553" s="1308"/>
      <c r="E553" s="1326"/>
      <c r="F553" s="1326"/>
      <c r="G553" s="1326"/>
      <c r="H553" s="1326"/>
      <c r="I553" s="1373"/>
    </row>
    <row r="554" spans="1:9">
      <c r="A554" s="1369"/>
      <c r="B554" s="1369"/>
      <c r="C554" s="1370"/>
      <c r="D554" s="1308"/>
      <c r="E554" s="1326"/>
      <c r="F554" s="1326"/>
      <c r="G554" s="1326"/>
      <c r="H554" s="1326"/>
      <c r="I554" s="1373"/>
    </row>
    <row r="555" spans="1:9">
      <c r="A555" s="1369"/>
      <c r="B555" s="1369"/>
      <c r="C555" s="1370"/>
      <c r="D555" s="1308"/>
      <c r="E555" s="1326"/>
      <c r="F555" s="1326"/>
      <c r="G555" s="1326"/>
      <c r="H555" s="1326"/>
      <c r="I555" s="1373"/>
    </row>
    <row r="556" spans="1:9">
      <c r="A556" s="1369"/>
      <c r="B556" s="1369"/>
      <c r="C556" s="1370"/>
      <c r="D556" s="1308"/>
      <c r="E556" s="1326"/>
      <c r="F556" s="1326"/>
      <c r="G556" s="1326"/>
      <c r="H556" s="1326"/>
      <c r="I556" s="1373"/>
    </row>
    <row r="557" spans="1:9">
      <c r="A557" s="1369"/>
      <c r="B557" s="1369"/>
      <c r="C557" s="1370"/>
      <c r="D557" s="1308"/>
      <c r="E557" s="1326"/>
      <c r="F557" s="1326"/>
      <c r="G557" s="1326"/>
      <c r="H557" s="1326"/>
      <c r="I557" s="1373"/>
    </row>
    <row r="558" spans="1:9">
      <c r="A558" s="1369"/>
      <c r="B558" s="1369"/>
      <c r="C558" s="1370"/>
      <c r="D558" s="1308"/>
      <c r="E558" s="1326"/>
      <c r="F558" s="1326"/>
      <c r="G558" s="1326"/>
      <c r="H558" s="1326"/>
      <c r="I558" s="1373"/>
    </row>
    <row r="559" spans="1:9">
      <c r="A559" s="1369"/>
      <c r="B559" s="1369"/>
      <c r="C559" s="1370"/>
      <c r="D559" s="1308"/>
      <c r="E559" s="1326"/>
      <c r="F559" s="1326"/>
      <c r="G559" s="1326"/>
      <c r="H559" s="1326"/>
      <c r="I559" s="1373"/>
    </row>
    <row r="560" spans="1:9">
      <c r="A560" s="1369"/>
      <c r="B560" s="1369"/>
      <c r="C560" s="1370"/>
      <c r="D560" s="1308"/>
      <c r="E560" s="1326"/>
      <c r="F560" s="1326"/>
      <c r="G560" s="1326"/>
      <c r="H560" s="1326"/>
      <c r="I560" s="1373"/>
    </row>
    <row r="561" spans="1:9">
      <c r="A561" s="1369"/>
      <c r="B561" s="1369"/>
      <c r="C561" s="1370"/>
      <c r="D561" s="1308"/>
      <c r="E561" s="1326"/>
      <c r="F561" s="1326"/>
      <c r="G561" s="1326"/>
      <c r="H561" s="1326"/>
      <c r="I561" s="1373"/>
    </row>
    <row r="562" spans="1:9">
      <c r="A562" s="1369"/>
      <c r="B562" s="1369"/>
      <c r="C562" s="1370"/>
      <c r="D562" s="1308"/>
      <c r="E562" s="1326"/>
      <c r="F562" s="1326"/>
      <c r="G562" s="1326"/>
      <c r="H562" s="1326"/>
      <c r="I562" s="1373"/>
    </row>
    <row r="563" spans="1:9">
      <c r="A563" s="1369"/>
      <c r="B563" s="1369"/>
      <c r="C563" s="1370"/>
      <c r="D563" s="1308"/>
      <c r="E563" s="1326"/>
      <c r="F563" s="1326"/>
      <c r="G563" s="1326"/>
      <c r="H563" s="1326"/>
      <c r="I563" s="1373"/>
    </row>
    <row r="564" spans="1:9">
      <c r="A564" s="1369"/>
      <c r="B564" s="1369"/>
      <c r="C564" s="1370"/>
      <c r="D564" s="1308"/>
      <c r="E564" s="1326"/>
      <c r="F564" s="1326"/>
      <c r="G564" s="1326"/>
      <c r="H564" s="1326"/>
      <c r="I564" s="1373"/>
    </row>
    <row r="565" spans="1:9">
      <c r="A565" s="1369"/>
      <c r="B565" s="1369"/>
      <c r="C565" s="1370"/>
      <c r="D565" s="1308"/>
      <c r="E565" s="1326"/>
      <c r="F565" s="1326"/>
      <c r="G565" s="1326"/>
      <c r="H565" s="1326"/>
      <c r="I565" s="1373"/>
    </row>
    <row r="566" spans="1:9">
      <c r="A566" s="1369"/>
      <c r="B566" s="1369"/>
      <c r="C566" s="1370"/>
      <c r="D566" s="1308"/>
      <c r="E566" s="1326"/>
      <c r="F566" s="1326"/>
      <c r="G566" s="1326"/>
      <c r="H566" s="1326"/>
      <c r="I566" s="1373"/>
    </row>
    <row r="567" spans="1:9">
      <c r="A567" s="1369"/>
      <c r="B567" s="1369"/>
      <c r="C567" s="1370"/>
      <c r="D567" s="1308"/>
      <c r="E567" s="1326"/>
      <c r="F567" s="1326"/>
      <c r="G567" s="1326"/>
      <c r="H567" s="1326"/>
      <c r="I567" s="1373"/>
    </row>
    <row r="568" spans="1:9">
      <c r="A568" s="1369"/>
      <c r="B568" s="1369"/>
      <c r="C568" s="1370"/>
      <c r="D568" s="1308"/>
      <c r="E568" s="1326"/>
      <c r="F568" s="1326"/>
      <c r="G568" s="1326"/>
      <c r="H568" s="1326"/>
      <c r="I568" s="1373"/>
    </row>
    <row r="569" spans="1:9">
      <c r="A569" s="1369"/>
      <c r="B569" s="1369"/>
      <c r="C569" s="1370"/>
      <c r="D569" s="1308"/>
      <c r="E569" s="1326"/>
      <c r="F569" s="1326"/>
      <c r="G569" s="1326"/>
      <c r="H569" s="1326"/>
      <c r="I569" s="1373"/>
    </row>
    <row r="570" spans="1:9">
      <c r="A570" s="1369"/>
      <c r="B570" s="1369"/>
      <c r="C570" s="1370"/>
      <c r="D570" s="1308"/>
      <c r="E570" s="1326"/>
      <c r="F570" s="1326"/>
      <c r="G570" s="1326"/>
      <c r="H570" s="1326"/>
      <c r="I570" s="1373"/>
    </row>
    <row r="571" spans="1:9">
      <c r="A571" s="1369"/>
      <c r="B571" s="1369"/>
      <c r="C571" s="1370"/>
      <c r="D571" s="1308"/>
      <c r="E571" s="1326"/>
      <c r="F571" s="1326"/>
      <c r="G571" s="1326"/>
      <c r="H571" s="1326"/>
      <c r="I571" s="1373"/>
    </row>
    <row r="572" spans="1:9">
      <c r="A572" s="1369"/>
      <c r="B572" s="1369"/>
      <c r="C572" s="1370"/>
      <c r="D572" s="1308"/>
      <c r="E572" s="1326"/>
      <c r="F572" s="1326"/>
      <c r="G572" s="1326"/>
      <c r="H572" s="1326"/>
      <c r="I572" s="1373"/>
    </row>
    <row r="573" spans="1:9">
      <c r="A573" s="1369"/>
      <c r="B573" s="1369"/>
      <c r="C573" s="1370"/>
      <c r="D573" s="1308"/>
      <c r="E573" s="1326"/>
      <c r="F573" s="1326"/>
      <c r="G573" s="1326"/>
      <c r="H573" s="1326"/>
      <c r="I573" s="1373"/>
    </row>
    <row r="574" spans="1:9">
      <c r="A574" s="1369"/>
      <c r="B574" s="1369"/>
      <c r="C574" s="1370"/>
      <c r="D574" s="1308"/>
      <c r="E574" s="1326"/>
      <c r="F574" s="1326"/>
      <c r="G574" s="1326"/>
      <c r="H574" s="1326"/>
      <c r="I574" s="1373"/>
    </row>
    <row r="575" spans="1:9">
      <c r="A575" s="1369"/>
      <c r="B575" s="1369"/>
      <c r="C575" s="1370"/>
      <c r="D575" s="1308"/>
      <c r="E575" s="1326"/>
      <c r="F575" s="1326"/>
      <c r="G575" s="1326"/>
      <c r="H575" s="1326"/>
      <c r="I575" s="1373"/>
    </row>
    <row r="576" spans="1:9">
      <c r="A576" s="1369"/>
      <c r="B576" s="1369"/>
      <c r="C576" s="1370"/>
      <c r="D576" s="1308"/>
      <c r="E576" s="1326"/>
      <c r="F576" s="1326"/>
      <c r="G576" s="1326"/>
      <c r="H576" s="1326"/>
      <c r="I576" s="1373"/>
    </row>
    <row r="577" spans="1:9">
      <c r="A577" s="1369"/>
      <c r="B577" s="1369"/>
      <c r="C577" s="1370"/>
      <c r="D577" s="1308"/>
      <c r="E577" s="1326"/>
      <c r="F577" s="1326"/>
      <c r="G577" s="1326"/>
      <c r="H577" s="1326"/>
      <c r="I577" s="1373"/>
    </row>
    <row r="578" spans="1:9">
      <c r="A578" s="1369"/>
      <c r="B578" s="1369"/>
      <c r="C578" s="1370"/>
      <c r="D578" s="1308"/>
      <c r="E578" s="1326"/>
      <c r="F578" s="1326"/>
      <c r="G578" s="1326"/>
      <c r="H578" s="1326"/>
      <c r="I578" s="1373"/>
    </row>
    <row r="579" spans="1:9">
      <c r="A579" s="1369"/>
      <c r="B579" s="1369"/>
      <c r="C579" s="1370"/>
      <c r="D579" s="1308"/>
      <c r="E579" s="1326"/>
      <c r="F579" s="1326"/>
      <c r="G579" s="1326"/>
      <c r="H579" s="1326"/>
      <c r="I579" s="1373"/>
    </row>
    <row r="580" spans="1:9">
      <c r="A580" s="1369"/>
      <c r="B580" s="1369"/>
      <c r="C580" s="1370"/>
      <c r="D580" s="1308"/>
      <c r="E580" s="1326"/>
      <c r="F580" s="1326"/>
      <c r="G580" s="1326"/>
      <c r="H580" s="1326"/>
      <c r="I580" s="1373"/>
    </row>
    <row r="581" spans="1:9">
      <c r="A581" s="1369"/>
      <c r="B581" s="1369"/>
      <c r="C581" s="1370"/>
      <c r="D581" s="1308"/>
      <c r="E581" s="1326"/>
      <c r="F581" s="1326"/>
      <c r="G581" s="1326"/>
      <c r="H581" s="1326"/>
      <c r="I581" s="1373"/>
    </row>
    <row r="582" spans="1:9">
      <c r="A582" s="1369"/>
      <c r="B582" s="1369"/>
      <c r="C582" s="1370"/>
      <c r="D582" s="1308"/>
      <c r="E582" s="1326"/>
      <c r="F582" s="1326"/>
      <c r="G582" s="1326"/>
      <c r="H582" s="1326"/>
      <c r="I582" s="1373"/>
    </row>
    <row r="583" spans="1:9">
      <c r="A583" s="1369"/>
      <c r="B583" s="1369"/>
      <c r="C583" s="1370"/>
      <c r="D583" s="1308"/>
      <c r="E583" s="1326"/>
      <c r="F583" s="1326"/>
      <c r="G583" s="1326"/>
      <c r="H583" s="1326"/>
      <c r="I583" s="1373"/>
    </row>
    <row r="584" spans="1:9">
      <c r="A584" s="1369"/>
      <c r="B584" s="1369"/>
      <c r="C584" s="1370"/>
      <c r="D584" s="1308"/>
      <c r="E584" s="1326"/>
      <c r="F584" s="1326"/>
      <c r="G584" s="1326"/>
      <c r="H584" s="1326"/>
      <c r="I584" s="1373"/>
    </row>
    <row r="585" spans="1:9">
      <c r="A585" s="1369"/>
      <c r="B585" s="1369"/>
      <c r="C585" s="1370"/>
      <c r="D585" s="1308"/>
      <c r="E585" s="1326"/>
      <c r="F585" s="1326"/>
      <c r="G585" s="1326"/>
      <c r="H585" s="1326"/>
      <c r="I585" s="1373"/>
    </row>
    <row r="586" spans="1:9">
      <c r="A586" s="1369"/>
      <c r="B586" s="1369"/>
      <c r="C586" s="1370"/>
      <c r="D586" s="1308"/>
      <c r="E586" s="1326"/>
      <c r="F586" s="1326"/>
      <c r="G586" s="1326"/>
      <c r="H586" s="1326"/>
      <c r="I586" s="1373"/>
    </row>
    <row r="587" spans="1:9">
      <c r="A587" s="1369"/>
      <c r="B587" s="1369"/>
      <c r="C587" s="1370"/>
      <c r="D587" s="1308"/>
      <c r="E587" s="1326"/>
      <c r="F587" s="1326"/>
      <c r="G587" s="1326"/>
      <c r="H587" s="1326"/>
      <c r="I587" s="1373"/>
    </row>
    <row r="588" spans="1:9">
      <c r="A588" s="1369"/>
      <c r="B588" s="1369"/>
      <c r="C588" s="1370"/>
      <c r="D588" s="1308"/>
      <c r="E588" s="1326"/>
      <c r="F588" s="1326"/>
      <c r="G588" s="1326"/>
      <c r="H588" s="1326"/>
      <c r="I588" s="1373"/>
    </row>
    <row r="589" spans="1:9">
      <c r="A589" s="1369"/>
      <c r="B589" s="1369"/>
      <c r="C589" s="1370"/>
      <c r="D589" s="1308"/>
      <c r="E589" s="1326"/>
      <c r="F589" s="1326"/>
      <c r="G589" s="1326"/>
      <c r="H589" s="1326"/>
      <c r="I589" s="1373"/>
    </row>
    <row r="590" spans="1:9">
      <c r="A590" s="1369"/>
      <c r="B590" s="1369"/>
      <c r="C590" s="1370"/>
      <c r="D590" s="1308"/>
      <c r="E590" s="1326"/>
      <c r="F590" s="1326"/>
      <c r="G590" s="1326"/>
      <c r="H590" s="1326"/>
      <c r="I590" s="1373"/>
    </row>
    <row r="591" spans="1:9">
      <c r="A591" s="1369"/>
      <c r="B591" s="1369"/>
      <c r="C591" s="1370"/>
      <c r="D591" s="1308"/>
      <c r="E591" s="1326"/>
      <c r="F591" s="1326"/>
      <c r="G591" s="1326"/>
      <c r="H591" s="1326"/>
      <c r="I591" s="1373"/>
    </row>
    <row r="592" spans="1:9">
      <c r="A592" s="1369"/>
      <c r="B592" s="1369"/>
      <c r="C592" s="1370"/>
      <c r="D592" s="1308"/>
      <c r="E592" s="1326"/>
      <c r="F592" s="1326"/>
      <c r="G592" s="1326"/>
      <c r="H592" s="1326"/>
      <c r="I592" s="1373"/>
    </row>
    <row r="593" spans="1:9">
      <c r="A593" s="1369"/>
      <c r="B593" s="1369"/>
      <c r="C593" s="1370"/>
      <c r="D593" s="1308"/>
      <c r="E593" s="1326"/>
      <c r="F593" s="1326"/>
      <c r="G593" s="1326"/>
      <c r="H593" s="1326"/>
      <c r="I593" s="1373"/>
    </row>
    <row r="594" spans="1:9">
      <c r="A594" s="1369"/>
      <c r="B594" s="1369"/>
      <c r="C594" s="1370"/>
      <c r="D594" s="1308"/>
      <c r="E594" s="1326"/>
      <c r="F594" s="1326"/>
      <c r="G594" s="1326"/>
      <c r="H594" s="1326"/>
      <c r="I594" s="1373"/>
    </row>
    <row r="595" spans="1:9">
      <c r="A595" s="1369"/>
      <c r="B595" s="1369"/>
      <c r="C595" s="1370"/>
      <c r="D595" s="1308"/>
      <c r="E595" s="1326"/>
      <c r="F595" s="1326"/>
      <c r="G595" s="1326"/>
      <c r="H595" s="1326"/>
      <c r="I595" s="1373"/>
    </row>
    <row r="596" spans="1:9">
      <c r="A596" s="1369"/>
      <c r="B596" s="1369"/>
      <c r="C596" s="1370"/>
      <c r="D596" s="1308"/>
      <c r="E596" s="1326"/>
      <c r="F596" s="1326"/>
      <c r="G596" s="1326"/>
      <c r="H596" s="1326"/>
      <c r="I596" s="1373"/>
    </row>
    <row r="597" spans="1:9">
      <c r="A597" s="1369"/>
      <c r="B597" s="1369"/>
      <c r="C597" s="1370"/>
      <c r="D597" s="1308"/>
      <c r="E597" s="1326"/>
      <c r="F597" s="1326"/>
      <c r="G597" s="1326"/>
      <c r="H597" s="1326"/>
      <c r="I597" s="1373"/>
    </row>
    <row r="598" spans="1:9">
      <c r="A598" s="1369"/>
      <c r="B598" s="1369"/>
      <c r="C598" s="1370"/>
      <c r="D598" s="1308"/>
      <c r="E598" s="1326"/>
      <c r="F598" s="1326"/>
      <c r="G598" s="1326"/>
      <c r="H598" s="1326"/>
      <c r="I598" s="1373"/>
    </row>
    <row r="599" spans="1:9">
      <c r="A599" s="1369"/>
      <c r="B599" s="1369"/>
      <c r="C599" s="1370"/>
      <c r="D599" s="1308"/>
      <c r="E599" s="1326"/>
      <c r="F599" s="1326"/>
      <c r="G599" s="1326"/>
      <c r="H599" s="1326"/>
      <c r="I599" s="1373"/>
    </row>
    <row r="600" spans="1:9">
      <c r="A600" s="1369"/>
      <c r="B600" s="1369"/>
      <c r="C600" s="1370"/>
      <c r="D600" s="1308"/>
      <c r="E600" s="1326"/>
      <c r="F600" s="1326"/>
      <c r="G600" s="1326"/>
      <c r="H600" s="1326"/>
      <c r="I600" s="1373"/>
    </row>
    <row r="601" spans="1:9">
      <c r="A601" s="1369"/>
      <c r="B601" s="1369"/>
      <c r="C601" s="1370"/>
      <c r="D601" s="1308"/>
      <c r="E601" s="1326"/>
      <c r="F601" s="1326"/>
      <c r="G601" s="1326"/>
      <c r="H601" s="1326"/>
      <c r="I601" s="1373"/>
    </row>
    <row r="602" spans="1:9">
      <c r="A602" s="1369"/>
      <c r="B602" s="1369"/>
      <c r="C602" s="1370"/>
      <c r="D602" s="1308"/>
      <c r="E602" s="1326"/>
      <c r="F602" s="1326"/>
      <c r="G602" s="1326"/>
      <c r="H602" s="1326"/>
      <c r="I602" s="1373"/>
    </row>
    <row r="603" spans="1:9">
      <c r="A603" s="1369"/>
      <c r="B603" s="1369"/>
      <c r="C603" s="1370"/>
      <c r="D603" s="1308"/>
      <c r="E603" s="1326"/>
      <c r="F603" s="1326"/>
      <c r="G603" s="1326"/>
      <c r="H603" s="1326"/>
      <c r="I603" s="1373"/>
    </row>
    <row r="604" spans="1:9">
      <c r="A604" s="1369"/>
      <c r="B604" s="1369"/>
      <c r="C604" s="1370"/>
      <c r="D604" s="1308"/>
      <c r="E604" s="1326"/>
      <c r="F604" s="1326"/>
      <c r="G604" s="1326"/>
      <c r="H604" s="1326"/>
      <c r="I604" s="1373"/>
    </row>
    <row r="605" spans="1:9">
      <c r="A605" s="1369"/>
      <c r="B605" s="1369"/>
      <c r="C605" s="1370"/>
      <c r="D605" s="1308"/>
      <c r="E605" s="1326"/>
      <c r="F605" s="1326"/>
      <c r="G605" s="1326"/>
      <c r="H605" s="1326"/>
      <c r="I605" s="1373"/>
    </row>
    <row r="606" spans="1:9">
      <c r="A606" s="1369"/>
      <c r="B606" s="1369"/>
      <c r="C606" s="1370"/>
      <c r="D606" s="1308"/>
      <c r="E606" s="1326"/>
      <c r="F606" s="1326"/>
      <c r="G606" s="1326"/>
      <c r="H606" s="1326"/>
      <c r="I606" s="1373"/>
    </row>
    <row r="607" spans="1:9">
      <c r="A607" s="1369"/>
      <c r="B607" s="1369"/>
      <c r="C607" s="1370"/>
      <c r="D607" s="1308"/>
      <c r="E607" s="1326"/>
      <c r="F607" s="1326"/>
      <c r="G607" s="1326"/>
      <c r="H607" s="1326"/>
      <c r="I607" s="1373"/>
    </row>
    <row r="608" spans="1:9">
      <c r="A608" s="1369"/>
      <c r="B608" s="1369"/>
      <c r="C608" s="1370"/>
      <c r="D608" s="1308"/>
      <c r="E608" s="1326"/>
      <c r="F608" s="1326"/>
      <c r="G608" s="1326"/>
      <c r="H608" s="1326"/>
      <c r="I608" s="1373"/>
    </row>
    <row r="609" spans="1:9">
      <c r="A609" s="1369"/>
      <c r="B609" s="1369"/>
      <c r="C609" s="1370"/>
      <c r="D609" s="1308"/>
      <c r="E609" s="1326"/>
      <c r="F609" s="1326"/>
      <c r="G609" s="1326"/>
      <c r="H609" s="1326"/>
      <c r="I609" s="1373"/>
    </row>
    <row r="610" spans="1:9">
      <c r="A610" s="1369"/>
      <c r="B610" s="1369"/>
      <c r="C610" s="1370"/>
      <c r="D610" s="1308"/>
      <c r="E610" s="1326"/>
      <c r="F610" s="1326"/>
      <c r="G610" s="1326"/>
      <c r="H610" s="1326"/>
      <c r="I610" s="1373"/>
    </row>
    <row r="611" spans="1:9">
      <c r="A611" s="1369"/>
      <c r="B611" s="1369"/>
      <c r="C611" s="1370"/>
      <c r="D611" s="1308"/>
      <c r="E611" s="1326"/>
      <c r="F611" s="1326"/>
      <c r="G611" s="1326"/>
      <c r="H611" s="1326"/>
      <c r="I611" s="1373"/>
    </row>
    <row r="612" spans="1:9">
      <c r="A612" s="1369"/>
      <c r="B612" s="1369"/>
      <c r="C612" s="1370"/>
      <c r="D612" s="1308"/>
      <c r="E612" s="1326"/>
      <c r="F612" s="1326"/>
      <c r="G612" s="1326"/>
      <c r="H612" s="1326"/>
      <c r="I612" s="1373"/>
    </row>
    <row r="613" spans="1:9">
      <c r="A613" s="1369"/>
      <c r="B613" s="1369"/>
      <c r="C613" s="1370"/>
      <c r="D613" s="1308"/>
      <c r="E613" s="1326"/>
      <c r="F613" s="1326"/>
      <c r="G613" s="1326"/>
      <c r="H613" s="1326"/>
      <c r="I613" s="1373"/>
    </row>
    <row r="614" spans="1:9">
      <c r="A614" s="1369"/>
      <c r="B614" s="1369"/>
      <c r="C614" s="1370"/>
      <c r="D614" s="1308"/>
      <c r="E614" s="1326"/>
      <c r="F614" s="1326"/>
      <c r="G614" s="1326"/>
      <c r="H614" s="1326"/>
      <c r="I614" s="1373"/>
    </row>
    <row r="615" spans="1:9">
      <c r="A615" s="1369"/>
      <c r="B615" s="1369"/>
      <c r="C615" s="1370"/>
      <c r="D615" s="1308"/>
      <c r="E615" s="1326"/>
      <c r="F615" s="1326"/>
      <c r="G615" s="1326"/>
      <c r="H615" s="1326"/>
      <c r="I615" s="1373"/>
    </row>
    <row r="616" spans="1:9">
      <c r="A616" s="1369"/>
      <c r="B616" s="1369"/>
      <c r="C616" s="1370"/>
      <c r="D616" s="1308"/>
      <c r="E616" s="1326"/>
      <c r="F616" s="1326"/>
      <c r="G616" s="1326"/>
      <c r="H616" s="1326"/>
      <c r="I616" s="1373"/>
    </row>
    <row r="617" spans="1:9">
      <c r="A617" s="1369"/>
      <c r="B617" s="1369"/>
      <c r="C617" s="1370"/>
      <c r="D617" s="1308"/>
      <c r="E617" s="1326"/>
      <c r="F617" s="1326"/>
      <c r="G617" s="1326"/>
      <c r="H617" s="1326"/>
      <c r="I617" s="1373"/>
    </row>
    <row r="618" spans="1:9">
      <c r="A618" s="1369"/>
      <c r="B618" s="1369"/>
      <c r="C618" s="1370"/>
      <c r="D618" s="1308"/>
      <c r="E618" s="1326"/>
      <c r="F618" s="1326"/>
      <c r="G618" s="1326"/>
      <c r="H618" s="1326"/>
      <c r="I618" s="1373"/>
    </row>
    <row r="619" spans="1:9">
      <c r="A619" s="1369"/>
      <c r="B619" s="1369"/>
      <c r="C619" s="1370"/>
      <c r="D619" s="1308"/>
      <c r="E619" s="1326"/>
      <c r="F619" s="1326"/>
      <c r="G619" s="1326"/>
      <c r="H619" s="1326"/>
      <c r="I619" s="1373"/>
    </row>
    <row r="620" spans="1:9">
      <c r="A620" s="1369"/>
      <c r="B620" s="1369"/>
      <c r="C620" s="1370"/>
      <c r="D620" s="1308"/>
      <c r="E620" s="1326"/>
      <c r="F620" s="1326"/>
      <c r="G620" s="1326"/>
      <c r="H620" s="1326"/>
      <c r="I620" s="1373"/>
    </row>
    <row r="621" spans="1:9">
      <c r="A621" s="1369"/>
      <c r="B621" s="1369"/>
      <c r="C621" s="1370"/>
      <c r="D621" s="1308"/>
      <c r="E621" s="1326"/>
      <c r="F621" s="1326"/>
      <c r="G621" s="1326"/>
      <c r="H621" s="1326"/>
      <c r="I621" s="1373"/>
    </row>
    <row r="622" spans="1:9">
      <c r="A622" s="1369"/>
      <c r="B622" s="1369"/>
      <c r="C622" s="1370"/>
      <c r="D622" s="1308"/>
      <c r="E622" s="1326"/>
      <c r="F622" s="1326"/>
      <c r="G622" s="1326"/>
      <c r="H622" s="1326"/>
      <c r="I622" s="1373"/>
    </row>
    <row r="623" spans="1:9">
      <c r="A623" s="1369"/>
      <c r="B623" s="1369"/>
      <c r="C623" s="1370"/>
      <c r="D623" s="1308"/>
      <c r="E623" s="1326"/>
      <c r="F623" s="1326"/>
      <c r="G623" s="1326"/>
      <c r="H623" s="1326"/>
      <c r="I623" s="1373"/>
    </row>
    <row r="624" spans="1:9">
      <c r="A624" s="1369"/>
      <c r="B624" s="1369"/>
      <c r="C624" s="1370"/>
      <c r="D624" s="1308"/>
      <c r="E624" s="1326"/>
      <c r="F624" s="1326"/>
      <c r="G624" s="1326"/>
      <c r="H624" s="1326"/>
      <c r="I624" s="1373"/>
    </row>
    <row r="625" spans="1:9">
      <c r="A625" s="1369"/>
      <c r="B625" s="1369"/>
      <c r="C625" s="1370"/>
      <c r="D625" s="1308"/>
      <c r="E625" s="1326"/>
      <c r="F625" s="1326"/>
      <c r="G625" s="1326"/>
      <c r="H625" s="1326"/>
      <c r="I625" s="1373"/>
    </row>
    <row r="626" spans="1:9">
      <c r="A626" s="1369"/>
      <c r="B626" s="1369"/>
      <c r="C626" s="1370"/>
      <c r="D626" s="1308"/>
      <c r="E626" s="1326"/>
      <c r="F626" s="1326"/>
      <c r="G626" s="1326"/>
      <c r="H626" s="1326"/>
      <c r="I626" s="1373"/>
    </row>
    <row r="627" spans="1:9">
      <c r="A627" s="1369"/>
      <c r="B627" s="1369"/>
      <c r="C627" s="1370"/>
      <c r="D627" s="1308"/>
      <c r="E627" s="1326"/>
      <c r="F627" s="1326"/>
      <c r="G627" s="1326"/>
      <c r="H627" s="1326"/>
      <c r="I627" s="1373"/>
    </row>
    <row r="628" spans="1:9">
      <c r="A628" s="1369"/>
      <c r="B628" s="1369"/>
      <c r="C628" s="1370"/>
      <c r="D628" s="1308"/>
      <c r="E628" s="1326"/>
      <c r="F628" s="1326"/>
      <c r="G628" s="1326"/>
      <c r="H628" s="1326"/>
      <c r="I628" s="1373"/>
    </row>
    <row r="629" spans="1:9">
      <c r="A629" s="1369"/>
      <c r="B629" s="1369"/>
      <c r="C629" s="1370"/>
      <c r="D629" s="1308"/>
      <c r="E629" s="1326"/>
      <c r="F629" s="1326"/>
      <c r="G629" s="1326"/>
      <c r="H629" s="1326"/>
      <c r="I629" s="1373"/>
    </row>
    <row r="630" spans="1:9">
      <c r="A630" s="1369"/>
      <c r="B630" s="1369"/>
      <c r="C630" s="1370"/>
      <c r="D630" s="1308"/>
      <c r="E630" s="1326"/>
      <c r="F630" s="1326"/>
      <c r="G630" s="1326"/>
      <c r="H630" s="1326"/>
      <c r="I630" s="1373"/>
    </row>
    <row r="631" spans="1:9">
      <c r="A631" s="1369"/>
      <c r="B631" s="1369"/>
      <c r="C631" s="1370"/>
      <c r="D631" s="1308"/>
      <c r="E631" s="1326"/>
      <c r="F631" s="1326"/>
      <c r="G631" s="1326"/>
      <c r="H631" s="1326"/>
      <c r="I631" s="1373"/>
    </row>
    <row r="632" spans="1:9">
      <c r="A632" s="1369"/>
      <c r="B632" s="1369"/>
      <c r="C632" s="1370"/>
      <c r="D632" s="1308"/>
      <c r="E632" s="1326"/>
      <c r="F632" s="1326"/>
      <c r="G632" s="1326"/>
      <c r="H632" s="1326"/>
      <c r="I632" s="1373"/>
    </row>
    <row r="633" spans="1:9">
      <c r="A633" s="1369"/>
      <c r="B633" s="1369"/>
      <c r="C633" s="1370"/>
      <c r="D633" s="1308"/>
      <c r="E633" s="1326"/>
      <c r="F633" s="1326"/>
      <c r="G633" s="1326"/>
      <c r="H633" s="1326"/>
      <c r="I633" s="1373"/>
    </row>
    <row r="634" spans="1:9">
      <c r="A634" s="1369"/>
      <c r="B634" s="1369"/>
      <c r="C634" s="1370"/>
      <c r="D634" s="1308"/>
      <c r="E634" s="1326"/>
      <c r="F634" s="1326"/>
      <c r="G634" s="1326"/>
      <c r="H634" s="1326"/>
      <c r="I634" s="1373"/>
    </row>
    <row r="635" spans="1:9">
      <c r="A635" s="1369"/>
      <c r="B635" s="1369"/>
      <c r="C635" s="1370"/>
      <c r="D635" s="1308"/>
      <c r="E635" s="1326"/>
      <c r="F635" s="1326"/>
      <c r="G635" s="1326"/>
      <c r="H635" s="1326"/>
      <c r="I635" s="1373"/>
    </row>
    <row r="636" spans="1:9">
      <c r="A636" s="1369"/>
      <c r="B636" s="1369"/>
      <c r="C636" s="1370"/>
      <c r="D636" s="1308"/>
      <c r="E636" s="1326"/>
      <c r="F636" s="1326"/>
      <c r="G636" s="1326"/>
      <c r="H636" s="1326"/>
      <c r="I636" s="1373"/>
    </row>
    <row r="637" spans="1:9">
      <c r="A637" s="1369"/>
      <c r="B637" s="1369"/>
      <c r="C637" s="1370"/>
      <c r="D637" s="1308"/>
      <c r="E637" s="1326"/>
      <c r="F637" s="1326"/>
      <c r="G637" s="1326"/>
      <c r="H637" s="1326"/>
      <c r="I637" s="1373"/>
    </row>
    <row r="638" spans="1:9">
      <c r="A638" s="1369"/>
      <c r="B638" s="1369"/>
      <c r="C638" s="1370"/>
      <c r="D638" s="1308"/>
      <c r="E638" s="1326"/>
      <c r="F638" s="1326"/>
      <c r="G638" s="1326"/>
      <c r="H638" s="1326"/>
      <c r="I638" s="1373"/>
    </row>
    <row r="639" spans="1:9">
      <c r="A639" s="1369"/>
      <c r="B639" s="1369"/>
      <c r="C639" s="1370"/>
      <c r="D639" s="1308"/>
      <c r="E639" s="1326"/>
      <c r="F639" s="1326"/>
      <c r="G639" s="1326"/>
      <c r="H639" s="1326"/>
      <c r="I639" s="1373"/>
    </row>
    <row r="640" spans="1:9">
      <c r="A640" s="1369"/>
      <c r="B640" s="1369"/>
      <c r="C640" s="1370"/>
      <c r="D640" s="1308"/>
      <c r="E640" s="1326"/>
      <c r="F640" s="1326"/>
      <c r="G640" s="1326"/>
      <c r="H640" s="1326"/>
      <c r="I640" s="1373"/>
    </row>
    <row r="641" spans="1:9">
      <c r="A641" s="1369"/>
      <c r="B641" s="1369"/>
      <c r="C641" s="1370"/>
      <c r="D641" s="1308"/>
      <c r="E641" s="1326"/>
      <c r="F641" s="1326"/>
      <c r="G641" s="1326"/>
      <c r="H641" s="1326"/>
      <c r="I641" s="1373"/>
    </row>
    <row r="642" spans="1:9">
      <c r="A642" s="1369"/>
      <c r="B642" s="1369"/>
      <c r="C642" s="1370"/>
      <c r="D642" s="1308"/>
      <c r="E642" s="1326"/>
      <c r="F642" s="1326"/>
      <c r="G642" s="1326"/>
      <c r="H642" s="1326"/>
      <c r="I642" s="1373"/>
    </row>
    <row r="643" spans="1:9">
      <c r="A643" s="1369"/>
      <c r="B643" s="1369"/>
      <c r="C643" s="1370"/>
      <c r="D643" s="1308"/>
      <c r="E643" s="1326"/>
      <c r="F643" s="1326"/>
      <c r="G643" s="1326"/>
      <c r="H643" s="1326"/>
      <c r="I643" s="1373"/>
    </row>
    <row r="644" spans="1:9">
      <c r="A644" s="1369"/>
      <c r="B644" s="1369"/>
      <c r="C644" s="1370"/>
      <c r="D644" s="1308"/>
      <c r="E644" s="1326"/>
      <c r="F644" s="1326"/>
      <c r="G644" s="1326"/>
      <c r="H644" s="1326"/>
      <c r="I644" s="1373"/>
    </row>
    <row r="645" spans="1:9">
      <c r="A645" s="1369"/>
      <c r="B645" s="1369"/>
      <c r="C645" s="1370"/>
      <c r="D645" s="1308"/>
      <c r="E645" s="1326"/>
      <c r="F645" s="1326"/>
      <c r="G645" s="1326"/>
      <c r="H645" s="1326"/>
      <c r="I645" s="1373"/>
    </row>
    <row r="646" spans="1:9">
      <c r="A646" s="1369"/>
      <c r="B646" s="1369"/>
      <c r="C646" s="1370"/>
      <c r="D646" s="1308"/>
      <c r="E646" s="1326"/>
      <c r="F646" s="1326"/>
      <c r="G646" s="1326"/>
      <c r="H646" s="1326"/>
      <c r="I646" s="1373"/>
    </row>
    <row r="647" spans="1:9">
      <c r="A647" s="1369"/>
      <c r="B647" s="1369"/>
      <c r="C647" s="1370"/>
      <c r="D647" s="1308"/>
      <c r="E647" s="1326"/>
      <c r="F647" s="1326"/>
      <c r="G647" s="1326"/>
      <c r="H647" s="1326"/>
      <c r="I647" s="1373"/>
    </row>
    <row r="648" spans="1:9">
      <c r="A648" s="1369"/>
      <c r="B648" s="1369"/>
      <c r="C648" s="1370"/>
      <c r="D648" s="1308"/>
      <c r="E648" s="1326"/>
      <c r="F648" s="1326"/>
      <c r="G648" s="1326"/>
      <c r="H648" s="1326"/>
      <c r="I648" s="1373"/>
    </row>
    <row r="649" spans="1:9">
      <c r="A649" s="1369"/>
      <c r="B649" s="1369"/>
      <c r="C649" s="1370"/>
      <c r="D649" s="1308"/>
      <c r="E649" s="1326"/>
      <c r="F649" s="1326"/>
      <c r="G649" s="1326"/>
      <c r="H649" s="1326"/>
      <c r="I649" s="1373"/>
    </row>
    <row r="650" spans="1:9">
      <c r="A650" s="1369"/>
      <c r="B650" s="1369"/>
      <c r="C650" s="1370"/>
      <c r="D650" s="1308"/>
      <c r="E650" s="1326"/>
      <c r="F650" s="1326"/>
      <c r="G650" s="1326"/>
      <c r="H650" s="1326"/>
      <c r="I650" s="1373"/>
    </row>
    <row r="651" spans="1:9">
      <c r="A651" s="1369"/>
      <c r="B651" s="1369"/>
      <c r="C651" s="1370"/>
      <c r="D651" s="1308"/>
      <c r="E651" s="1326"/>
      <c r="F651" s="1326"/>
      <c r="G651" s="1326"/>
      <c r="H651" s="1326"/>
      <c r="I651" s="1373"/>
    </row>
    <row r="652" spans="1:9">
      <c r="A652" s="1369"/>
      <c r="B652" s="1369"/>
      <c r="C652" s="1370"/>
      <c r="D652" s="1308"/>
      <c r="E652" s="1326"/>
      <c r="F652" s="1326"/>
      <c r="G652" s="1326"/>
      <c r="H652" s="1326"/>
      <c r="I652" s="1373"/>
    </row>
    <row r="653" spans="1:9">
      <c r="A653" s="1369"/>
      <c r="B653" s="1369"/>
      <c r="C653" s="1370"/>
      <c r="D653" s="1308"/>
      <c r="E653" s="1326"/>
      <c r="F653" s="1326"/>
      <c r="G653" s="1326"/>
      <c r="H653" s="1326"/>
      <c r="I653" s="1373"/>
    </row>
    <row r="654" spans="1:9">
      <c r="A654" s="1369"/>
      <c r="B654" s="1369"/>
      <c r="C654" s="1370"/>
      <c r="D654" s="1308"/>
      <c r="E654" s="1326"/>
      <c r="F654" s="1326"/>
      <c r="G654" s="1326"/>
      <c r="H654" s="1326"/>
      <c r="I654" s="1373"/>
    </row>
    <row r="655" spans="1:9">
      <c r="A655" s="1369"/>
      <c r="B655" s="1369"/>
      <c r="C655" s="1370"/>
      <c r="D655" s="1308"/>
      <c r="E655" s="1326"/>
      <c r="F655" s="1326"/>
      <c r="G655" s="1326"/>
      <c r="H655" s="1326"/>
      <c r="I655" s="1373"/>
    </row>
    <row r="656" spans="1:9">
      <c r="A656" s="1369"/>
      <c r="B656" s="1369"/>
      <c r="C656" s="1370"/>
      <c r="D656" s="1308"/>
      <c r="E656" s="1326"/>
      <c r="F656" s="1326"/>
      <c r="G656" s="1326"/>
      <c r="H656" s="1326"/>
      <c r="I656" s="1373"/>
    </row>
    <row r="657" spans="1:9">
      <c r="A657" s="1369"/>
      <c r="B657" s="1369"/>
      <c r="C657" s="1370"/>
      <c r="D657" s="1308"/>
      <c r="E657" s="1326"/>
      <c r="F657" s="1326"/>
      <c r="G657" s="1326"/>
      <c r="H657" s="1326"/>
      <c r="I657" s="1373"/>
    </row>
    <row r="658" spans="1:9">
      <c r="A658" s="1369"/>
      <c r="B658" s="1369"/>
      <c r="C658" s="1370"/>
      <c r="D658" s="1308"/>
      <c r="E658" s="1326"/>
      <c r="F658" s="1326"/>
      <c r="G658" s="1326"/>
      <c r="H658" s="1326"/>
      <c r="I658" s="1373"/>
    </row>
    <row r="659" spans="1:9">
      <c r="A659" s="1369"/>
      <c r="B659" s="1369"/>
      <c r="C659" s="1370"/>
      <c r="D659" s="1308"/>
      <c r="E659" s="1326"/>
      <c r="F659" s="1326"/>
      <c r="G659" s="1326"/>
      <c r="H659" s="1326"/>
      <c r="I659" s="1373"/>
    </row>
    <row r="660" spans="1:9">
      <c r="A660" s="1369"/>
      <c r="B660" s="1369"/>
      <c r="C660" s="1370"/>
      <c r="D660" s="1308"/>
      <c r="E660" s="1326"/>
      <c r="F660" s="1326"/>
      <c r="G660" s="1326"/>
      <c r="H660" s="1326"/>
      <c r="I660" s="1373"/>
    </row>
    <row r="661" spans="1:9">
      <c r="A661" s="1369"/>
      <c r="B661" s="1369"/>
      <c r="C661" s="1370"/>
      <c r="D661" s="1308"/>
      <c r="E661" s="1326"/>
      <c r="F661" s="1326"/>
      <c r="G661" s="1326"/>
      <c r="H661" s="1326"/>
      <c r="I661" s="1373"/>
    </row>
    <row r="662" spans="1:9">
      <c r="A662" s="1369"/>
      <c r="B662" s="1369"/>
      <c r="C662" s="1370"/>
      <c r="D662" s="1308"/>
      <c r="E662" s="1326"/>
      <c r="F662" s="1326"/>
      <c r="G662" s="1326"/>
      <c r="H662" s="1326"/>
      <c r="I662" s="1373"/>
    </row>
    <row r="663" spans="1:9">
      <c r="A663" s="1369"/>
      <c r="B663" s="1369"/>
      <c r="C663" s="1370"/>
      <c r="D663" s="1308"/>
      <c r="E663" s="1326"/>
      <c r="F663" s="1326"/>
      <c r="G663" s="1326"/>
      <c r="H663" s="1326"/>
      <c r="I663" s="1373"/>
    </row>
    <row r="664" spans="1:9">
      <c r="A664" s="1369"/>
      <c r="B664" s="1369"/>
      <c r="C664" s="1370"/>
      <c r="D664" s="1308"/>
      <c r="E664" s="1326"/>
      <c r="F664" s="1326"/>
      <c r="G664" s="1326"/>
      <c r="H664" s="1326"/>
      <c r="I664" s="1373"/>
    </row>
    <row r="665" spans="1:9">
      <c r="A665" s="1369"/>
      <c r="B665" s="1369"/>
      <c r="C665" s="1370"/>
      <c r="D665" s="1308"/>
      <c r="E665" s="1326"/>
      <c r="F665" s="1326"/>
      <c r="G665" s="1326"/>
      <c r="H665" s="1326"/>
      <c r="I665" s="1373"/>
    </row>
    <row r="666" spans="1:9">
      <c r="A666" s="1369"/>
      <c r="B666" s="1369"/>
      <c r="C666" s="1370"/>
      <c r="D666" s="1308"/>
      <c r="E666" s="1326"/>
      <c r="F666" s="1326"/>
      <c r="G666" s="1326"/>
      <c r="H666" s="1326"/>
      <c r="I666" s="1373"/>
    </row>
    <row r="667" spans="1:9">
      <c r="A667" s="1369"/>
      <c r="B667" s="1369"/>
      <c r="C667" s="1370"/>
      <c r="D667" s="1308"/>
      <c r="E667" s="1326"/>
      <c r="F667" s="1326"/>
      <c r="G667" s="1326"/>
      <c r="H667" s="1326"/>
      <c r="I667" s="1373"/>
    </row>
    <row r="668" spans="1:9">
      <c r="A668" s="1369"/>
      <c r="B668" s="1369"/>
      <c r="C668" s="1370"/>
      <c r="D668" s="1308"/>
      <c r="E668" s="1326"/>
      <c r="F668" s="1326"/>
      <c r="G668" s="1326"/>
      <c r="H668" s="1326"/>
      <c r="I668" s="1373"/>
    </row>
    <row r="669" spans="1:9">
      <c r="A669" s="1369"/>
      <c r="B669" s="1369"/>
      <c r="C669" s="1370"/>
      <c r="D669" s="1308"/>
      <c r="E669" s="1326"/>
      <c r="F669" s="1326"/>
      <c r="G669" s="1326"/>
      <c r="H669" s="1326"/>
      <c r="I669" s="1373"/>
    </row>
    <row r="670" spans="1:9">
      <c r="A670" s="1369"/>
      <c r="B670" s="1369"/>
      <c r="C670" s="1370"/>
      <c r="D670" s="1308"/>
      <c r="E670" s="1326"/>
      <c r="F670" s="1326"/>
      <c r="G670" s="1326"/>
      <c r="H670" s="1326"/>
      <c r="I670" s="1373"/>
    </row>
    <row r="671" spans="1:9">
      <c r="A671" s="1369"/>
      <c r="B671" s="1369"/>
      <c r="C671" s="1370"/>
      <c r="D671" s="1308"/>
      <c r="E671" s="1326"/>
      <c r="F671" s="1326"/>
      <c r="G671" s="1326"/>
      <c r="H671" s="1326"/>
      <c r="I671" s="1373"/>
    </row>
    <row r="672" spans="1:9">
      <c r="A672" s="1369"/>
      <c r="B672" s="1369"/>
      <c r="C672" s="1370"/>
      <c r="D672" s="1308"/>
      <c r="E672" s="1326"/>
      <c r="F672" s="1326"/>
      <c r="G672" s="1326"/>
      <c r="H672" s="1326"/>
      <c r="I672" s="1373"/>
    </row>
    <row r="673" spans="1:9">
      <c r="A673" s="1369"/>
      <c r="B673" s="1369"/>
      <c r="C673" s="1370"/>
      <c r="D673" s="1308"/>
      <c r="E673" s="1326"/>
      <c r="F673" s="1326"/>
      <c r="G673" s="1326"/>
      <c r="H673" s="1326"/>
      <c r="I673" s="1373"/>
    </row>
    <row r="674" spans="1:9">
      <c r="A674" s="1369"/>
      <c r="B674" s="1369"/>
      <c r="C674" s="1370"/>
      <c r="D674" s="1308"/>
      <c r="E674" s="1326"/>
      <c r="F674" s="1326"/>
      <c r="G674" s="1326"/>
      <c r="H674" s="1326"/>
      <c r="I674" s="1373"/>
    </row>
    <row r="675" spans="1:9">
      <c r="A675" s="1369"/>
      <c r="B675" s="1369"/>
      <c r="C675" s="1370"/>
      <c r="D675" s="1308"/>
      <c r="E675" s="1326"/>
      <c r="F675" s="1326"/>
      <c r="G675" s="1326"/>
      <c r="H675" s="1326"/>
      <c r="I675" s="1373"/>
    </row>
    <row r="676" spans="1:9">
      <c r="A676" s="1369"/>
      <c r="B676" s="1369"/>
      <c r="C676" s="1370"/>
      <c r="D676" s="1308"/>
      <c r="E676" s="1326"/>
      <c r="F676" s="1326"/>
      <c r="G676" s="1326"/>
      <c r="H676" s="1326"/>
      <c r="I676" s="1373"/>
    </row>
    <row r="677" spans="1:9">
      <c r="A677" s="1369"/>
      <c r="B677" s="1369"/>
      <c r="C677" s="1370"/>
      <c r="D677" s="1308"/>
      <c r="E677" s="1326"/>
      <c r="F677" s="1326"/>
      <c r="G677" s="1326"/>
      <c r="H677" s="1326"/>
      <c r="I677" s="1373"/>
    </row>
    <row r="678" spans="1:9">
      <c r="A678" s="1369"/>
      <c r="B678" s="1369"/>
      <c r="C678" s="1370"/>
      <c r="D678" s="1308"/>
      <c r="E678" s="1326"/>
      <c r="F678" s="1326"/>
      <c r="G678" s="1326"/>
      <c r="H678" s="1326"/>
      <c r="I678" s="1373"/>
    </row>
    <row r="679" spans="1:9">
      <c r="A679" s="1369"/>
      <c r="B679" s="1369"/>
      <c r="C679" s="1370"/>
      <c r="D679" s="1308"/>
      <c r="E679" s="1326"/>
      <c r="F679" s="1326"/>
      <c r="G679" s="1326"/>
      <c r="H679" s="1326"/>
      <c r="I679" s="1373"/>
    </row>
    <row r="680" spans="1:9">
      <c r="A680" s="1369"/>
      <c r="B680" s="1369"/>
      <c r="C680" s="1370"/>
      <c r="D680" s="1308"/>
      <c r="E680" s="1326"/>
      <c r="F680" s="1326"/>
      <c r="G680" s="1326"/>
      <c r="H680" s="1326"/>
      <c r="I680" s="1373"/>
    </row>
    <row r="681" spans="1:9">
      <c r="A681" s="1369"/>
      <c r="B681" s="1369"/>
      <c r="C681" s="1370"/>
      <c r="D681" s="1308"/>
      <c r="E681" s="1326"/>
      <c r="F681" s="1326"/>
      <c r="G681" s="1326"/>
      <c r="H681" s="1326"/>
      <c r="I681" s="1373"/>
    </row>
    <row r="682" spans="1:9">
      <c r="A682" s="1369"/>
      <c r="B682" s="1369"/>
      <c r="C682" s="1370"/>
      <c r="D682" s="1308"/>
      <c r="E682" s="1326"/>
      <c r="F682" s="1326"/>
      <c r="G682" s="1326"/>
      <c r="H682" s="1326"/>
      <c r="I682" s="1373"/>
    </row>
    <row r="683" spans="1:9">
      <c r="A683" s="1369"/>
      <c r="B683" s="1369"/>
      <c r="C683" s="1370"/>
      <c r="D683" s="1308"/>
      <c r="E683" s="1326"/>
      <c r="F683" s="1326"/>
      <c r="G683" s="1326"/>
      <c r="H683" s="1326"/>
      <c r="I683" s="1373"/>
    </row>
    <row r="684" spans="1:9">
      <c r="A684" s="1369"/>
      <c r="B684" s="1369"/>
      <c r="C684" s="1370"/>
      <c r="D684" s="1308"/>
      <c r="E684" s="1326"/>
      <c r="F684" s="1326"/>
      <c r="G684" s="1326"/>
      <c r="H684" s="1326"/>
      <c r="I684" s="1373"/>
    </row>
    <row r="685" spans="1:9">
      <c r="A685" s="1369"/>
      <c r="B685" s="1369"/>
      <c r="C685" s="1370"/>
      <c r="D685" s="1308"/>
      <c r="E685" s="1326"/>
      <c r="F685" s="1326"/>
      <c r="G685" s="1326"/>
      <c r="H685" s="1326"/>
      <c r="I685" s="1373"/>
    </row>
    <row r="686" spans="1:9">
      <c r="A686" s="1369"/>
      <c r="B686" s="1369"/>
      <c r="C686" s="1370"/>
      <c r="D686" s="1308"/>
      <c r="E686" s="1326"/>
      <c r="F686" s="1326"/>
      <c r="G686" s="1326"/>
      <c r="H686" s="1326"/>
      <c r="I686" s="1373"/>
    </row>
    <row r="687" spans="1:9">
      <c r="A687" s="1369"/>
      <c r="B687" s="1369"/>
      <c r="C687" s="1370"/>
      <c r="D687" s="1308"/>
      <c r="E687" s="1326"/>
      <c r="F687" s="1326"/>
      <c r="G687" s="1326"/>
      <c r="H687" s="1326"/>
      <c r="I687" s="1373"/>
    </row>
    <row r="688" spans="1:9">
      <c r="A688" s="1369"/>
      <c r="B688" s="1369"/>
      <c r="C688" s="1370"/>
      <c r="D688" s="1308"/>
      <c r="E688" s="1326"/>
      <c r="F688" s="1326"/>
      <c r="G688" s="1326"/>
      <c r="H688" s="1326"/>
      <c r="I688" s="1373"/>
    </row>
    <row r="689" spans="1:9">
      <c r="A689" s="1369"/>
      <c r="B689" s="1369"/>
      <c r="C689" s="1370"/>
      <c r="D689" s="1308"/>
      <c r="E689" s="1326"/>
      <c r="F689" s="1326"/>
      <c r="G689" s="1326"/>
      <c r="H689" s="1326"/>
      <c r="I689" s="1373"/>
    </row>
    <row r="690" spans="1:9">
      <c r="A690" s="1369"/>
      <c r="B690" s="1369"/>
      <c r="C690" s="1370"/>
      <c r="D690" s="1308"/>
      <c r="E690" s="1326"/>
      <c r="F690" s="1326"/>
      <c r="G690" s="1326"/>
      <c r="H690" s="1326"/>
      <c r="I690" s="1373"/>
    </row>
    <row r="691" spans="1:9">
      <c r="A691" s="1369"/>
      <c r="B691" s="1369"/>
      <c r="C691" s="1370"/>
      <c r="D691" s="1308"/>
      <c r="E691" s="1326"/>
      <c r="F691" s="1326"/>
      <c r="G691" s="1326"/>
      <c r="H691" s="1326"/>
      <c r="I691" s="1373"/>
    </row>
    <row r="692" spans="1:9">
      <c r="A692" s="1369"/>
      <c r="B692" s="1369"/>
      <c r="C692" s="1370"/>
      <c r="D692" s="1308"/>
      <c r="E692" s="1326"/>
      <c r="F692" s="1326"/>
      <c r="G692" s="1326"/>
      <c r="H692" s="1326"/>
      <c r="I692" s="1373"/>
    </row>
    <row r="693" spans="1:9">
      <c r="A693" s="1369"/>
      <c r="B693" s="1369"/>
      <c r="C693" s="1370"/>
      <c r="D693" s="1308"/>
      <c r="E693" s="1326"/>
      <c r="F693" s="1326"/>
      <c r="G693" s="1326"/>
      <c r="H693" s="1326"/>
      <c r="I693" s="1373"/>
    </row>
    <row r="694" spans="1:9">
      <c r="A694" s="1369"/>
      <c r="B694" s="1369"/>
      <c r="C694" s="1370"/>
      <c r="D694" s="1308"/>
      <c r="E694" s="1326"/>
      <c r="F694" s="1326"/>
      <c r="G694" s="1326"/>
      <c r="H694" s="1326"/>
      <c r="I694" s="1373"/>
    </row>
    <row r="695" spans="1:9">
      <c r="A695" s="1369"/>
      <c r="B695" s="1369"/>
      <c r="C695" s="1370"/>
      <c r="D695" s="1308"/>
      <c r="E695" s="1326"/>
      <c r="F695" s="1326"/>
      <c r="G695" s="1326"/>
      <c r="H695" s="1326"/>
      <c r="I695" s="1373"/>
    </row>
    <row r="696" spans="1:9">
      <c r="A696" s="1369"/>
      <c r="B696" s="1369"/>
      <c r="C696" s="1370"/>
      <c r="D696" s="1308"/>
      <c r="E696" s="1326"/>
      <c r="F696" s="1326"/>
      <c r="G696" s="1326"/>
      <c r="H696" s="1326"/>
      <c r="I696" s="1373"/>
    </row>
    <row r="697" spans="1:9">
      <c r="A697" s="1369"/>
      <c r="B697" s="1369"/>
      <c r="C697" s="1370"/>
      <c r="D697" s="1308"/>
      <c r="E697" s="1326"/>
      <c r="F697" s="1326"/>
      <c r="G697" s="1326"/>
      <c r="H697" s="1326"/>
      <c r="I697" s="1373"/>
    </row>
    <row r="698" spans="1:9">
      <c r="A698" s="1369"/>
      <c r="B698" s="1369"/>
      <c r="C698" s="1370"/>
      <c r="D698" s="1308"/>
      <c r="E698" s="1326"/>
      <c r="F698" s="1326"/>
      <c r="G698" s="1326"/>
      <c r="H698" s="1326"/>
      <c r="I698" s="1373"/>
    </row>
    <row r="699" spans="1:9">
      <c r="A699" s="1369"/>
      <c r="B699" s="1369"/>
      <c r="C699" s="1370"/>
      <c r="D699" s="1308"/>
      <c r="E699" s="1326"/>
      <c r="F699" s="1326"/>
      <c r="G699" s="1326"/>
      <c r="H699" s="1326"/>
      <c r="I699" s="1373"/>
    </row>
    <row r="700" spans="1:9">
      <c r="A700" s="1369"/>
      <c r="B700" s="1369"/>
      <c r="C700" s="1370"/>
      <c r="D700" s="1308"/>
      <c r="E700" s="1326"/>
      <c r="F700" s="1326"/>
      <c r="G700" s="1326"/>
      <c r="H700" s="1326"/>
      <c r="I700" s="1373"/>
    </row>
    <row r="701" spans="1:9">
      <c r="A701" s="1369"/>
      <c r="B701" s="1369"/>
      <c r="C701" s="1370"/>
      <c r="D701" s="1308"/>
      <c r="E701" s="1326"/>
      <c r="F701" s="1326"/>
      <c r="G701" s="1326"/>
      <c r="H701" s="1326"/>
      <c r="I701" s="1373"/>
    </row>
    <row r="702" spans="1:9">
      <c r="A702" s="1369"/>
      <c r="B702" s="1369"/>
      <c r="C702" s="1370"/>
      <c r="D702" s="1308"/>
      <c r="E702" s="1326"/>
      <c r="F702" s="1326"/>
      <c r="G702" s="1326"/>
      <c r="H702" s="1326"/>
      <c r="I702" s="1373"/>
    </row>
    <row r="703" spans="1:9">
      <c r="A703" s="1369"/>
      <c r="B703" s="1369"/>
      <c r="C703" s="1370"/>
      <c r="D703" s="1308"/>
      <c r="E703" s="1326"/>
      <c r="F703" s="1326"/>
      <c r="G703" s="1326"/>
      <c r="H703" s="1326"/>
      <c r="I703" s="1373"/>
    </row>
    <row r="704" spans="1:9">
      <c r="A704" s="1369"/>
      <c r="B704" s="1369"/>
      <c r="C704" s="1370"/>
      <c r="D704" s="1308"/>
      <c r="E704" s="1326"/>
      <c r="F704" s="1326"/>
      <c r="G704" s="1326"/>
      <c r="H704" s="1326"/>
      <c r="I704" s="1373"/>
    </row>
    <row r="705" spans="1:9">
      <c r="A705" s="1369"/>
      <c r="B705" s="1369"/>
      <c r="C705" s="1370"/>
      <c r="D705" s="1308"/>
      <c r="E705" s="1326"/>
      <c r="F705" s="1326"/>
      <c r="G705" s="1326"/>
      <c r="H705" s="1326"/>
      <c r="I705" s="1373"/>
    </row>
    <row r="706" spans="1:9">
      <c r="A706" s="1369"/>
      <c r="B706" s="1369"/>
      <c r="C706" s="1370"/>
      <c r="D706" s="1308"/>
      <c r="E706" s="1326"/>
      <c r="F706" s="1326"/>
      <c r="G706" s="1326"/>
      <c r="H706" s="1326"/>
      <c r="I706" s="1373"/>
    </row>
    <row r="707" spans="1:9">
      <c r="A707" s="1369"/>
      <c r="B707" s="1369"/>
      <c r="C707" s="1370"/>
      <c r="D707" s="1308"/>
      <c r="E707" s="1326"/>
      <c r="F707" s="1326"/>
      <c r="G707" s="1326"/>
      <c r="H707" s="1326"/>
      <c r="I707" s="1373"/>
    </row>
    <row r="708" spans="1:9">
      <c r="A708" s="1369"/>
      <c r="B708" s="1369"/>
      <c r="C708" s="1370"/>
      <c r="D708" s="1308"/>
      <c r="E708" s="1326"/>
      <c r="F708" s="1326"/>
      <c r="G708" s="1326"/>
      <c r="H708" s="1326"/>
      <c r="I708" s="1373"/>
    </row>
    <row r="709" spans="1:9">
      <c r="A709" s="1369"/>
      <c r="B709" s="1369"/>
      <c r="C709" s="1370"/>
      <c r="D709" s="1308"/>
      <c r="E709" s="1326"/>
      <c r="F709" s="1326"/>
      <c r="G709" s="1326"/>
      <c r="H709" s="1326"/>
      <c r="I709" s="1373"/>
    </row>
    <row r="710" spans="1:9">
      <c r="A710" s="1369"/>
      <c r="B710" s="1369"/>
      <c r="C710" s="1370"/>
      <c r="D710" s="1308"/>
      <c r="E710" s="1326"/>
      <c r="F710" s="1326"/>
      <c r="G710" s="1326"/>
      <c r="H710" s="1326"/>
      <c r="I710" s="1373"/>
    </row>
    <row r="711" spans="1:9">
      <c r="A711" s="1369"/>
      <c r="B711" s="1369"/>
      <c r="C711" s="1370"/>
      <c r="D711" s="1308"/>
      <c r="E711" s="1326"/>
      <c r="F711" s="1326"/>
      <c r="G711" s="1326"/>
      <c r="H711" s="1326"/>
      <c r="I711" s="1373"/>
    </row>
    <row r="712" spans="1:9">
      <c r="A712" s="1369"/>
      <c r="B712" s="1369"/>
      <c r="C712" s="1370"/>
      <c r="D712" s="1308"/>
      <c r="E712" s="1326"/>
      <c r="F712" s="1326"/>
      <c r="G712" s="1326"/>
      <c r="H712" s="1326"/>
      <c r="I712" s="1373"/>
    </row>
    <row r="713" spans="1:9">
      <c r="A713" s="1369"/>
      <c r="B713" s="1369"/>
      <c r="C713" s="1370"/>
      <c r="D713" s="1308"/>
      <c r="E713" s="1326"/>
      <c r="F713" s="1326"/>
      <c r="G713" s="1326"/>
      <c r="H713" s="1326"/>
      <c r="I713" s="1373"/>
    </row>
    <row r="714" spans="1:9">
      <c r="A714" s="1369"/>
      <c r="B714" s="1369"/>
      <c r="C714" s="1370"/>
      <c r="D714" s="1308"/>
      <c r="E714" s="1326"/>
      <c r="F714" s="1326"/>
      <c r="G714" s="1326"/>
      <c r="H714" s="1326"/>
      <c r="I714" s="1373"/>
    </row>
    <row r="715" spans="1:9">
      <c r="A715" s="1369"/>
      <c r="B715" s="1369"/>
      <c r="C715" s="1370"/>
      <c r="D715" s="1308"/>
      <c r="E715" s="1326"/>
      <c r="F715" s="1326"/>
      <c r="G715" s="1326"/>
      <c r="H715" s="1326"/>
      <c r="I715" s="1373"/>
    </row>
    <row r="716" spans="1:9">
      <c r="A716" s="1369"/>
      <c r="B716" s="1369"/>
      <c r="C716" s="1370"/>
      <c r="D716" s="1308"/>
      <c r="E716" s="1326"/>
      <c r="F716" s="1326"/>
      <c r="G716" s="1326"/>
      <c r="H716" s="1326"/>
      <c r="I716" s="1373"/>
    </row>
    <row r="717" spans="1:9">
      <c r="A717" s="1369"/>
      <c r="B717" s="1369"/>
      <c r="C717" s="1370"/>
      <c r="D717" s="1308"/>
      <c r="E717" s="1326"/>
      <c r="F717" s="1326"/>
      <c r="G717" s="1326"/>
      <c r="H717" s="1326"/>
      <c r="I717" s="1373"/>
    </row>
    <row r="718" spans="1:9">
      <c r="A718" s="1369"/>
      <c r="B718" s="1369"/>
      <c r="C718" s="1370"/>
      <c r="D718" s="1308"/>
      <c r="E718" s="1326"/>
      <c r="F718" s="1326"/>
      <c r="G718" s="1326"/>
      <c r="H718" s="1326"/>
      <c r="I718" s="1373"/>
    </row>
    <row r="719" spans="1:9">
      <c r="A719" s="1369"/>
      <c r="B719" s="1369"/>
      <c r="C719" s="1370"/>
      <c r="D719" s="1308"/>
      <c r="E719" s="1326"/>
      <c r="F719" s="1326"/>
      <c r="G719" s="1326"/>
      <c r="H719" s="1326"/>
      <c r="I719" s="1373"/>
    </row>
    <row r="720" spans="1:9">
      <c r="A720" s="1369"/>
      <c r="B720" s="1369"/>
      <c r="C720" s="1370"/>
      <c r="D720" s="1308"/>
      <c r="E720" s="1326"/>
      <c r="F720" s="1326"/>
      <c r="G720" s="1326"/>
      <c r="H720" s="1326"/>
      <c r="I720" s="1373"/>
    </row>
    <row r="721" spans="1:9">
      <c r="A721" s="1369"/>
      <c r="B721" s="1369"/>
      <c r="C721" s="1370"/>
      <c r="D721" s="1308"/>
      <c r="E721" s="1326"/>
      <c r="F721" s="1326"/>
      <c r="G721" s="1326"/>
      <c r="H721" s="1326"/>
      <c r="I721" s="1373"/>
    </row>
    <row r="722" spans="1:9">
      <c r="A722" s="1369"/>
      <c r="B722" s="1369"/>
      <c r="C722" s="1370"/>
      <c r="D722" s="1308"/>
      <c r="E722" s="1326"/>
      <c r="F722" s="1326"/>
      <c r="G722" s="1326"/>
      <c r="H722" s="1326"/>
      <c r="I722" s="1373"/>
    </row>
    <row r="723" spans="1:9">
      <c r="A723" s="1369"/>
      <c r="B723" s="1369"/>
      <c r="C723" s="1370"/>
      <c r="D723" s="1308"/>
      <c r="E723" s="1326"/>
      <c r="F723" s="1326"/>
      <c r="G723" s="1326"/>
      <c r="H723" s="1326"/>
      <c r="I723" s="1373"/>
    </row>
    <row r="724" spans="1:9">
      <c r="A724" s="1369"/>
      <c r="B724" s="1369"/>
      <c r="C724" s="1370"/>
      <c r="D724" s="1308"/>
      <c r="E724" s="1326"/>
      <c r="F724" s="1326"/>
      <c r="G724" s="1326"/>
      <c r="H724" s="1326"/>
      <c r="I724" s="1373"/>
    </row>
    <row r="725" spans="1:9">
      <c r="A725" s="1369"/>
      <c r="B725" s="1369"/>
      <c r="C725" s="1370"/>
      <c r="D725" s="1308"/>
      <c r="E725" s="1326"/>
      <c r="F725" s="1326"/>
      <c r="G725" s="1326"/>
      <c r="H725" s="1326"/>
      <c r="I725" s="1373"/>
    </row>
    <row r="726" spans="1:9">
      <c r="A726" s="1369"/>
      <c r="B726" s="1369"/>
      <c r="C726" s="1370"/>
      <c r="D726" s="1308"/>
      <c r="E726" s="1326"/>
      <c r="F726" s="1326"/>
      <c r="G726" s="1326"/>
      <c r="H726" s="1326"/>
      <c r="I726" s="1373"/>
    </row>
    <row r="727" spans="1:9">
      <c r="A727" s="1369"/>
      <c r="B727" s="1369"/>
      <c r="C727" s="1370"/>
      <c r="D727" s="1308"/>
      <c r="E727" s="1326"/>
      <c r="F727" s="1326"/>
      <c r="G727" s="1326"/>
      <c r="H727" s="1326"/>
      <c r="I727" s="1373"/>
    </row>
    <row r="728" spans="1:9">
      <c r="A728" s="1369"/>
      <c r="B728" s="1369"/>
      <c r="C728" s="1370"/>
      <c r="D728" s="1308"/>
      <c r="E728" s="1326"/>
      <c r="F728" s="1326"/>
      <c r="G728" s="1326"/>
      <c r="H728" s="1326"/>
      <c r="I728" s="1373"/>
    </row>
    <row r="729" spans="1:9">
      <c r="A729" s="1369"/>
      <c r="B729" s="1369"/>
      <c r="C729" s="1370"/>
      <c r="D729" s="1308"/>
      <c r="E729" s="1326"/>
      <c r="F729" s="1326"/>
      <c r="G729" s="1326"/>
      <c r="H729" s="1326"/>
      <c r="I729" s="1373"/>
    </row>
    <row r="730" spans="1:9">
      <c r="A730" s="1369"/>
      <c r="B730" s="1369"/>
      <c r="C730" s="1370"/>
      <c r="D730" s="1308"/>
      <c r="E730" s="1326"/>
      <c r="F730" s="1326"/>
      <c r="G730" s="1326"/>
      <c r="H730" s="1326"/>
      <c r="I730" s="1373"/>
    </row>
    <row r="731" spans="1:9">
      <c r="A731" s="1369"/>
      <c r="B731" s="1369"/>
      <c r="C731" s="1370"/>
      <c r="D731" s="1308"/>
      <c r="E731" s="1326"/>
      <c r="F731" s="1326"/>
      <c r="G731" s="1326"/>
      <c r="H731" s="1326"/>
      <c r="I731" s="1373"/>
    </row>
    <row r="732" spans="1:9">
      <c r="A732" s="1369"/>
      <c r="B732" s="1369"/>
      <c r="C732" s="1370"/>
      <c r="D732" s="1308"/>
      <c r="E732" s="1326"/>
      <c r="F732" s="1326"/>
      <c r="G732" s="1326"/>
      <c r="H732" s="1326"/>
      <c r="I732" s="1373"/>
    </row>
    <row r="733" spans="1:9">
      <c r="A733" s="1369"/>
      <c r="B733" s="1369"/>
      <c r="C733" s="1370"/>
      <c r="D733" s="1308"/>
      <c r="E733" s="1326"/>
      <c r="F733" s="1326"/>
      <c r="G733" s="1326"/>
      <c r="H733" s="1326"/>
      <c r="I733" s="1373"/>
    </row>
    <row r="734" spans="1:9">
      <c r="A734" s="1369"/>
      <c r="B734" s="1369"/>
      <c r="C734" s="1370"/>
      <c r="D734" s="1308"/>
      <c r="E734" s="1326"/>
      <c r="F734" s="1326"/>
      <c r="G734" s="1326"/>
      <c r="H734" s="1326"/>
      <c r="I734" s="1373"/>
    </row>
    <row r="735" spans="1:9">
      <c r="A735" s="1369"/>
      <c r="B735" s="1369"/>
      <c r="C735" s="1370"/>
      <c r="D735" s="1308"/>
      <c r="E735" s="1326"/>
      <c r="F735" s="1326"/>
      <c r="G735" s="1326"/>
      <c r="H735" s="1326"/>
      <c r="I735" s="1373"/>
    </row>
    <row r="736" spans="1:9">
      <c r="A736" s="1369"/>
      <c r="B736" s="1369"/>
      <c r="C736" s="1370"/>
      <c r="D736" s="1308"/>
      <c r="E736" s="1326"/>
      <c r="F736" s="1326"/>
      <c r="G736" s="1326"/>
      <c r="H736" s="1326"/>
      <c r="I736" s="1373"/>
    </row>
    <row r="737" spans="1:9">
      <c r="A737" s="1369"/>
      <c r="B737" s="1369"/>
      <c r="C737" s="1370"/>
      <c r="D737" s="1308"/>
      <c r="E737" s="1326"/>
      <c r="F737" s="1326"/>
      <c r="G737" s="1326"/>
      <c r="H737" s="1326"/>
      <c r="I737" s="1373"/>
    </row>
    <row r="738" spans="1:9">
      <c r="A738" s="1369"/>
      <c r="B738" s="1369"/>
      <c r="C738" s="1370"/>
      <c r="D738" s="1308"/>
      <c r="E738" s="1326"/>
      <c r="F738" s="1326"/>
      <c r="G738" s="1326"/>
      <c r="H738" s="1326"/>
      <c r="I738" s="1373"/>
    </row>
    <row r="739" spans="1:9">
      <c r="A739" s="1369"/>
      <c r="B739" s="1369"/>
      <c r="C739" s="1370"/>
      <c r="D739" s="1308"/>
      <c r="E739" s="1326"/>
      <c r="F739" s="1326"/>
      <c r="G739" s="1326"/>
      <c r="H739" s="1326"/>
      <c r="I739" s="1373"/>
    </row>
    <row r="740" spans="1:9">
      <c r="A740" s="1369"/>
      <c r="B740" s="1369"/>
      <c r="C740" s="1370"/>
      <c r="D740" s="1308"/>
      <c r="E740" s="1326"/>
      <c r="F740" s="1326"/>
      <c r="G740" s="1326"/>
      <c r="H740" s="1326"/>
      <c r="I740" s="1373"/>
    </row>
    <row r="741" spans="1:9">
      <c r="A741" s="1369"/>
      <c r="B741" s="1369"/>
      <c r="C741" s="1370"/>
      <c r="D741" s="1308"/>
      <c r="E741" s="1326"/>
      <c r="F741" s="1326"/>
      <c r="G741" s="1326"/>
      <c r="H741" s="1326"/>
      <c r="I741" s="1373"/>
    </row>
    <row r="742" spans="1:9">
      <c r="A742" s="1369"/>
      <c r="B742" s="1369"/>
      <c r="C742" s="1370"/>
      <c r="D742" s="1308"/>
      <c r="E742" s="1326"/>
      <c r="F742" s="1326"/>
      <c r="G742" s="1326"/>
      <c r="H742" s="1326"/>
      <c r="I742" s="1373"/>
    </row>
    <row r="743" spans="1:9">
      <c r="A743" s="1369"/>
      <c r="B743" s="1369"/>
      <c r="C743" s="1370"/>
      <c r="D743" s="1308"/>
      <c r="E743" s="1326"/>
      <c r="F743" s="1326"/>
      <c r="G743" s="1326"/>
      <c r="H743" s="1326"/>
      <c r="I743" s="1373"/>
    </row>
    <row r="744" spans="1:9">
      <c r="A744" s="1369"/>
      <c r="B744" s="1369"/>
      <c r="C744" s="1370"/>
      <c r="D744" s="1308"/>
      <c r="E744" s="1326"/>
      <c r="F744" s="1326"/>
      <c r="G744" s="1326"/>
      <c r="H744" s="1326"/>
      <c r="I744" s="1373"/>
    </row>
    <row r="745" spans="1:9">
      <c r="A745" s="1369"/>
      <c r="B745" s="1369"/>
      <c r="C745" s="1370"/>
      <c r="D745" s="1308"/>
      <c r="E745" s="1326"/>
      <c r="F745" s="1326"/>
      <c r="G745" s="1326"/>
      <c r="H745" s="1326"/>
      <c r="I745" s="1373"/>
    </row>
    <row r="746" spans="1:9">
      <c r="A746" s="1369"/>
      <c r="B746" s="1369"/>
      <c r="C746" s="1370"/>
      <c r="D746" s="1308"/>
      <c r="E746" s="1326"/>
      <c r="F746" s="1326"/>
      <c r="G746" s="1326"/>
      <c r="H746" s="1326"/>
      <c r="I746" s="1373"/>
    </row>
    <row r="747" spans="1:9">
      <c r="A747" s="1369"/>
      <c r="B747" s="1369"/>
      <c r="C747" s="1370"/>
      <c r="D747" s="1308"/>
      <c r="E747" s="1326"/>
      <c r="F747" s="1326"/>
      <c r="G747" s="1326"/>
      <c r="H747" s="1326"/>
      <c r="I747" s="1373"/>
    </row>
    <row r="748" spans="1:9">
      <c r="A748" s="1369"/>
      <c r="B748" s="1369"/>
      <c r="C748" s="1370"/>
      <c r="D748" s="1308"/>
      <c r="E748" s="1326"/>
      <c r="F748" s="1326"/>
      <c r="G748" s="1326"/>
      <c r="H748" s="1326"/>
      <c r="I748" s="1373"/>
    </row>
    <row r="749" spans="1:9">
      <c r="A749" s="1369"/>
      <c r="B749" s="1369"/>
      <c r="C749" s="1370"/>
      <c r="D749" s="1308"/>
      <c r="E749" s="1326"/>
      <c r="F749" s="1326"/>
      <c r="G749" s="1326"/>
      <c r="H749" s="1326"/>
      <c r="I749" s="1373"/>
    </row>
    <row r="750" spans="1:9">
      <c r="A750" s="1369"/>
      <c r="B750" s="1369"/>
      <c r="C750" s="1370"/>
      <c r="D750" s="1308"/>
      <c r="E750" s="1326"/>
      <c r="F750" s="1326"/>
      <c r="G750" s="1326"/>
      <c r="H750" s="1326"/>
      <c r="I750" s="1373"/>
    </row>
    <row r="751" spans="1:9">
      <c r="A751" s="1369"/>
      <c r="B751" s="1369"/>
      <c r="C751" s="1370"/>
      <c r="D751" s="1308"/>
      <c r="E751" s="1326"/>
      <c r="F751" s="1326"/>
      <c r="G751" s="1326"/>
      <c r="H751" s="1326"/>
      <c r="I751" s="1373"/>
    </row>
    <row r="752" spans="1:9">
      <c r="A752" s="1369"/>
      <c r="B752" s="1369"/>
      <c r="C752" s="1370"/>
      <c r="D752" s="1308"/>
      <c r="E752" s="1326"/>
      <c r="F752" s="1326"/>
      <c r="G752" s="1326"/>
      <c r="H752" s="1326"/>
      <c r="I752" s="1373"/>
    </row>
    <row r="753" spans="1:9">
      <c r="A753" s="1369"/>
      <c r="B753" s="1369"/>
      <c r="C753" s="1370"/>
      <c r="D753" s="1308"/>
      <c r="E753" s="1326"/>
      <c r="F753" s="1326"/>
      <c r="G753" s="1326"/>
      <c r="H753" s="1326"/>
      <c r="I753" s="1373"/>
    </row>
    <row r="754" spans="1:9">
      <c r="A754" s="1369"/>
      <c r="B754" s="1369"/>
      <c r="C754" s="1370"/>
      <c r="D754" s="1308"/>
      <c r="E754" s="1326"/>
      <c r="F754" s="1326"/>
      <c r="G754" s="1326"/>
      <c r="H754" s="1326"/>
      <c r="I754" s="1373"/>
    </row>
    <row r="755" spans="1:9">
      <c r="A755" s="1369"/>
      <c r="B755" s="1369"/>
      <c r="C755" s="1370"/>
      <c r="D755" s="1308"/>
      <c r="E755" s="1326"/>
      <c r="F755" s="1326"/>
      <c r="G755" s="1326"/>
      <c r="H755" s="1326"/>
      <c r="I755" s="1373"/>
    </row>
    <row r="756" spans="1:9">
      <c r="A756" s="1369"/>
      <c r="B756" s="1369"/>
      <c r="C756" s="1370"/>
      <c r="D756" s="1308"/>
      <c r="E756" s="1326"/>
      <c r="F756" s="1326"/>
      <c r="G756" s="1326"/>
      <c r="H756" s="1326"/>
      <c r="I756" s="1373"/>
    </row>
    <row r="757" spans="1:9">
      <c r="A757" s="1369"/>
      <c r="B757" s="1369"/>
      <c r="C757" s="1370"/>
      <c r="D757" s="1308"/>
      <c r="E757" s="1326"/>
      <c r="F757" s="1326"/>
      <c r="G757" s="1326"/>
      <c r="H757" s="1326"/>
      <c r="I757" s="1373"/>
    </row>
    <row r="758" spans="1:9">
      <c r="A758" s="1369"/>
      <c r="B758" s="1369"/>
      <c r="C758" s="1370"/>
      <c r="D758" s="1308"/>
      <c r="E758" s="1326"/>
      <c r="F758" s="1326"/>
      <c r="G758" s="1326"/>
      <c r="H758" s="1326"/>
      <c r="I758" s="1373"/>
    </row>
    <row r="759" spans="1:9">
      <c r="A759" s="1369"/>
      <c r="B759" s="1369"/>
      <c r="C759" s="1370"/>
      <c r="D759" s="1308"/>
      <c r="E759" s="1326"/>
      <c r="F759" s="1326"/>
      <c r="G759" s="1326"/>
      <c r="H759" s="1326"/>
      <c r="I759" s="1373"/>
    </row>
    <row r="760" spans="1:9">
      <c r="A760" s="1369"/>
      <c r="B760" s="1369"/>
      <c r="C760" s="1370"/>
      <c r="D760" s="1308"/>
      <c r="E760" s="1326"/>
      <c r="F760" s="1326"/>
      <c r="G760" s="1326"/>
      <c r="H760" s="1326"/>
      <c r="I760" s="1373"/>
    </row>
    <row r="761" spans="1:9">
      <c r="A761" s="1369"/>
      <c r="B761" s="1369"/>
      <c r="C761" s="1370"/>
      <c r="D761" s="1308"/>
      <c r="E761" s="1326"/>
      <c r="F761" s="1326"/>
      <c r="G761" s="1326"/>
      <c r="H761" s="1326"/>
      <c r="I761" s="1373"/>
    </row>
    <row r="762" spans="1:9">
      <c r="A762" s="1369"/>
      <c r="B762" s="1369"/>
      <c r="C762" s="1370"/>
      <c r="D762" s="1308"/>
      <c r="E762" s="1326"/>
      <c r="F762" s="1326"/>
      <c r="G762" s="1326"/>
      <c r="H762" s="1326"/>
      <c r="I762" s="1373"/>
    </row>
    <row r="763" spans="1:9">
      <c r="A763" s="1369"/>
      <c r="B763" s="1369"/>
      <c r="C763" s="1370"/>
      <c r="D763" s="1308"/>
      <c r="E763" s="1326"/>
      <c r="F763" s="1326"/>
      <c r="G763" s="1326"/>
      <c r="H763" s="1326"/>
      <c r="I763" s="1373"/>
    </row>
    <row r="764" spans="1:9">
      <c r="A764" s="1369"/>
      <c r="B764" s="1369"/>
      <c r="C764" s="1370"/>
      <c r="D764" s="1308"/>
      <c r="E764" s="1326"/>
      <c r="F764" s="1326"/>
      <c r="G764" s="1326"/>
      <c r="H764" s="1326"/>
      <c r="I764" s="1373"/>
    </row>
    <row r="765" spans="1:9">
      <c r="A765" s="1369"/>
      <c r="B765" s="1369"/>
      <c r="C765" s="1370"/>
      <c r="D765" s="1308"/>
      <c r="E765" s="1326"/>
      <c r="F765" s="1326"/>
      <c r="G765" s="1326"/>
      <c r="H765" s="1326"/>
      <c r="I765" s="1373"/>
    </row>
    <row r="766" spans="1:9">
      <c r="A766" s="1369"/>
      <c r="B766" s="1369"/>
      <c r="C766" s="1370"/>
      <c r="D766" s="1308"/>
      <c r="E766" s="1326"/>
      <c r="F766" s="1326"/>
      <c r="G766" s="1326"/>
      <c r="H766" s="1326"/>
      <c r="I766" s="1373"/>
    </row>
    <row r="767" spans="1:9">
      <c r="A767" s="1369"/>
      <c r="B767" s="1369"/>
      <c r="C767" s="1370"/>
      <c r="D767" s="1308"/>
      <c r="E767" s="1326"/>
      <c r="F767" s="1326"/>
      <c r="G767" s="1326"/>
      <c r="H767" s="1326"/>
      <c r="I767" s="1373"/>
    </row>
    <row r="768" spans="1:9">
      <c r="A768" s="1369"/>
      <c r="B768" s="1369"/>
      <c r="C768" s="1370"/>
      <c r="D768" s="1308"/>
      <c r="E768" s="1326"/>
      <c r="F768" s="1326"/>
      <c r="G768" s="1326"/>
      <c r="H768" s="1326"/>
      <c r="I768" s="1373"/>
    </row>
    <row r="769" spans="1:9">
      <c r="A769" s="1369"/>
      <c r="B769" s="1369"/>
      <c r="C769" s="1370"/>
      <c r="D769" s="1308"/>
      <c r="E769" s="1326"/>
      <c r="F769" s="1326"/>
      <c r="G769" s="1326"/>
      <c r="H769" s="1326"/>
      <c r="I769" s="1373"/>
    </row>
    <row r="770" spans="1:9">
      <c r="A770" s="1369"/>
      <c r="B770" s="1369"/>
      <c r="C770" s="1370"/>
      <c r="D770" s="1308"/>
      <c r="E770" s="1326"/>
      <c r="F770" s="1326"/>
      <c r="G770" s="1326"/>
      <c r="H770" s="1326"/>
      <c r="I770" s="1373"/>
    </row>
    <row r="771" spans="1:9">
      <c r="A771" s="1369"/>
      <c r="B771" s="1369"/>
      <c r="C771" s="1370"/>
      <c r="D771" s="1308"/>
      <c r="E771" s="1326"/>
      <c r="F771" s="1326"/>
      <c r="G771" s="1326"/>
      <c r="H771" s="1326"/>
      <c r="I771" s="1373"/>
    </row>
    <row r="772" spans="1:9">
      <c r="A772" s="1369"/>
      <c r="B772" s="1369"/>
      <c r="C772" s="1370"/>
      <c r="D772" s="1308"/>
      <c r="E772" s="1326"/>
      <c r="F772" s="1326"/>
      <c r="G772" s="1326"/>
      <c r="H772" s="1326"/>
      <c r="I772" s="1373"/>
    </row>
    <row r="773" spans="1:9">
      <c r="A773" s="1369"/>
      <c r="B773" s="1369"/>
      <c r="C773" s="1370"/>
      <c r="D773" s="1308"/>
      <c r="E773" s="1326"/>
      <c r="F773" s="1326"/>
      <c r="G773" s="1326"/>
      <c r="H773" s="1326"/>
      <c r="I773" s="1373"/>
    </row>
    <row r="774" spans="1:9">
      <c r="A774" s="1369"/>
      <c r="B774" s="1369"/>
      <c r="C774" s="1370"/>
      <c r="D774" s="1308"/>
      <c r="E774" s="1326"/>
      <c r="F774" s="1326"/>
      <c r="G774" s="1326"/>
      <c r="H774" s="1326"/>
      <c r="I774" s="1373"/>
    </row>
    <row r="775" spans="1:9">
      <c r="A775" s="1369"/>
      <c r="B775" s="1369"/>
      <c r="C775" s="1370"/>
      <c r="D775" s="1308"/>
      <c r="E775" s="1326"/>
      <c r="F775" s="1326"/>
      <c r="G775" s="1326"/>
      <c r="H775" s="1326"/>
      <c r="I775" s="1373"/>
    </row>
    <row r="776" spans="1:9">
      <c r="A776" s="1369"/>
      <c r="B776" s="1369"/>
      <c r="C776" s="1370"/>
      <c r="D776" s="1308"/>
      <c r="E776" s="1326"/>
      <c r="F776" s="1326"/>
      <c r="G776" s="1326"/>
      <c r="H776" s="1326"/>
      <c r="I776" s="1373"/>
    </row>
    <row r="777" spans="1:9">
      <c r="A777" s="1369"/>
      <c r="B777" s="1369"/>
      <c r="C777" s="1370"/>
      <c r="D777" s="1308"/>
      <c r="E777" s="1326"/>
      <c r="F777" s="1326"/>
      <c r="G777" s="1326"/>
      <c r="H777" s="1326"/>
      <c r="I777" s="1373"/>
    </row>
    <row r="778" spans="1:9">
      <c r="A778" s="1369"/>
      <c r="B778" s="1369"/>
      <c r="C778" s="1370"/>
      <c r="D778" s="1308"/>
      <c r="E778" s="1326"/>
      <c r="F778" s="1326"/>
      <c r="G778" s="1326"/>
      <c r="H778" s="1326"/>
      <c r="I778" s="1373"/>
    </row>
    <row r="779" spans="1:9">
      <c r="A779" s="1369"/>
      <c r="B779" s="1369"/>
      <c r="C779" s="1370"/>
      <c r="D779" s="1308"/>
      <c r="E779" s="1326"/>
      <c r="F779" s="1326"/>
      <c r="G779" s="1326"/>
      <c r="H779" s="1326"/>
      <c r="I779" s="1373"/>
    </row>
    <row r="780" spans="1:9">
      <c r="A780" s="1369"/>
      <c r="B780" s="1369"/>
      <c r="C780" s="1370"/>
      <c r="D780" s="1308"/>
      <c r="E780" s="1326"/>
      <c r="F780" s="1326"/>
      <c r="G780" s="1326"/>
      <c r="H780" s="1326"/>
      <c r="I780" s="1373"/>
    </row>
    <row r="781" spans="1:9">
      <c r="A781" s="1369"/>
      <c r="B781" s="1369"/>
      <c r="C781" s="1370"/>
      <c r="D781" s="1308"/>
      <c r="E781" s="1326"/>
      <c r="F781" s="1326"/>
      <c r="G781" s="1326"/>
      <c r="H781" s="1326"/>
      <c r="I781" s="1373"/>
    </row>
    <row r="782" spans="1:9">
      <c r="A782" s="1369"/>
      <c r="B782" s="1369"/>
      <c r="C782" s="1370"/>
      <c r="D782" s="1308"/>
      <c r="E782" s="1326"/>
      <c r="F782" s="1326"/>
      <c r="G782" s="1326"/>
      <c r="H782" s="1326"/>
      <c r="I782" s="1373"/>
    </row>
    <row r="783" spans="1:9">
      <c r="A783" s="1369"/>
      <c r="B783" s="1369"/>
      <c r="C783" s="1370"/>
      <c r="D783" s="1308"/>
      <c r="E783" s="1326"/>
      <c r="F783" s="1326"/>
      <c r="G783" s="1326"/>
      <c r="H783" s="1326"/>
      <c r="I783" s="1373"/>
    </row>
    <row r="784" spans="1:9">
      <c r="A784" s="1369"/>
      <c r="B784" s="1369"/>
      <c r="C784" s="1370"/>
      <c r="D784" s="1308"/>
      <c r="E784" s="1326"/>
      <c r="F784" s="1326"/>
      <c r="G784" s="1326"/>
      <c r="H784" s="1326"/>
      <c r="I784" s="1373"/>
    </row>
    <row r="785" spans="1:9">
      <c r="A785" s="1369"/>
      <c r="B785" s="1369"/>
      <c r="C785" s="1370"/>
      <c r="D785" s="1308"/>
      <c r="E785" s="1326"/>
      <c r="F785" s="1326"/>
      <c r="G785" s="1326"/>
      <c r="H785" s="1326"/>
      <c r="I785" s="1373"/>
    </row>
    <row r="786" spans="1:9">
      <c r="A786" s="1369"/>
      <c r="B786" s="1369"/>
      <c r="C786" s="1370"/>
      <c r="D786" s="1308"/>
      <c r="E786" s="1326"/>
      <c r="F786" s="1326"/>
      <c r="G786" s="1326"/>
      <c r="H786" s="1326"/>
      <c r="I786" s="1373"/>
    </row>
    <row r="787" spans="1:9">
      <c r="A787" s="1369"/>
      <c r="B787" s="1369"/>
      <c r="C787" s="1370"/>
      <c r="D787" s="1308"/>
      <c r="E787" s="1326"/>
      <c r="F787" s="1326"/>
      <c r="G787" s="1326"/>
      <c r="H787" s="1326"/>
      <c r="I787" s="1373"/>
    </row>
    <row r="788" spans="1:9">
      <c r="A788" s="1369"/>
      <c r="B788" s="1369"/>
      <c r="C788" s="1370"/>
      <c r="D788" s="1308"/>
      <c r="E788" s="1326"/>
      <c r="F788" s="1326"/>
      <c r="G788" s="1326"/>
      <c r="H788" s="1326"/>
      <c r="I788" s="1373"/>
    </row>
    <row r="789" spans="1:9">
      <c r="A789" s="1369"/>
      <c r="B789" s="1369"/>
      <c r="C789" s="1370"/>
      <c r="D789" s="1308"/>
      <c r="E789" s="1326"/>
      <c r="F789" s="1326"/>
      <c r="G789" s="1326"/>
      <c r="H789" s="1326"/>
      <c r="I789" s="1373"/>
    </row>
    <row r="790" spans="1:9">
      <c r="A790" s="1369"/>
      <c r="B790" s="1369"/>
      <c r="C790" s="1370"/>
      <c r="D790" s="1308"/>
      <c r="E790" s="1326"/>
      <c r="F790" s="1326"/>
      <c r="G790" s="1326"/>
      <c r="H790" s="1326"/>
      <c r="I790" s="1373"/>
    </row>
    <row r="791" spans="1:9">
      <c r="A791" s="1369"/>
      <c r="B791" s="1369"/>
      <c r="C791" s="1370"/>
      <c r="D791" s="1308"/>
      <c r="E791" s="1326"/>
      <c r="F791" s="1326"/>
      <c r="G791" s="1326"/>
      <c r="H791" s="1326"/>
      <c r="I791" s="1373"/>
    </row>
    <row r="792" spans="1:9">
      <c r="A792" s="1369"/>
      <c r="B792" s="1369"/>
      <c r="C792" s="1370"/>
      <c r="D792" s="1308"/>
      <c r="E792" s="1326"/>
      <c r="F792" s="1326"/>
      <c r="G792" s="1326"/>
      <c r="H792" s="1326"/>
      <c r="I792" s="1373"/>
    </row>
    <row r="793" spans="1:9">
      <c r="A793" s="1369"/>
      <c r="B793" s="1369"/>
      <c r="C793" s="1370"/>
      <c r="D793" s="1308"/>
      <c r="E793" s="1326"/>
      <c r="F793" s="1326"/>
      <c r="G793" s="1326"/>
      <c r="H793" s="1326"/>
      <c r="I793" s="1373"/>
    </row>
    <row r="794" spans="1:9">
      <c r="A794" s="1369"/>
      <c r="B794" s="1369"/>
      <c r="C794" s="1370"/>
      <c r="D794" s="1308"/>
      <c r="E794" s="1326"/>
      <c r="F794" s="1326"/>
      <c r="G794" s="1326"/>
      <c r="H794" s="1326"/>
      <c r="I794" s="1373"/>
    </row>
    <row r="795" spans="1:9">
      <c r="A795" s="1369"/>
      <c r="B795" s="1369"/>
      <c r="C795" s="1370"/>
      <c r="D795" s="1308"/>
      <c r="E795" s="1326"/>
      <c r="F795" s="1326"/>
      <c r="G795" s="1326"/>
      <c r="H795" s="1326"/>
      <c r="I795" s="1373"/>
    </row>
    <row r="796" spans="1:9">
      <c r="A796" s="1369"/>
      <c r="B796" s="1369"/>
      <c r="C796" s="1370"/>
      <c r="D796" s="1308"/>
      <c r="E796" s="1326"/>
      <c r="F796" s="1326"/>
      <c r="G796" s="1326"/>
      <c r="H796" s="1326"/>
      <c r="I796" s="1373"/>
    </row>
    <row r="797" spans="1:9">
      <c r="A797" s="1369"/>
      <c r="B797" s="1369"/>
      <c r="C797" s="1370"/>
      <c r="D797" s="1308"/>
      <c r="E797" s="1326"/>
      <c r="F797" s="1326"/>
      <c r="G797" s="1326"/>
      <c r="H797" s="1326"/>
      <c r="I797" s="1373"/>
    </row>
    <row r="798" spans="1:9">
      <c r="A798" s="1369"/>
      <c r="B798" s="1369"/>
      <c r="C798" s="1370"/>
      <c r="D798" s="1308"/>
      <c r="E798" s="1326"/>
      <c r="F798" s="1326"/>
      <c r="G798" s="1326"/>
      <c r="H798" s="1326"/>
      <c r="I798" s="1373"/>
    </row>
    <row r="799" spans="1:9">
      <c r="A799" s="1369"/>
      <c r="B799" s="1369"/>
      <c r="C799" s="1370"/>
      <c r="D799" s="1308"/>
      <c r="E799" s="1326"/>
      <c r="F799" s="1326"/>
      <c r="G799" s="1326"/>
      <c r="H799" s="1326"/>
      <c r="I799" s="1373"/>
    </row>
    <row r="800" spans="1:9">
      <c r="A800" s="1369"/>
      <c r="B800" s="1369"/>
      <c r="C800" s="1370"/>
      <c r="D800" s="1308"/>
      <c r="E800" s="1326"/>
      <c r="F800" s="1326"/>
      <c r="G800" s="1326"/>
      <c r="H800" s="1326"/>
      <c r="I800" s="1373"/>
    </row>
    <row r="801" spans="1:9">
      <c r="A801" s="1369"/>
      <c r="B801" s="1369"/>
      <c r="C801" s="1370"/>
      <c r="D801" s="1308"/>
      <c r="E801" s="1326"/>
      <c r="F801" s="1326"/>
      <c r="G801" s="1326"/>
      <c r="H801" s="1326"/>
      <c r="I801" s="1373"/>
    </row>
    <row r="802" spans="1:9">
      <c r="A802" s="1369"/>
      <c r="B802" s="1369"/>
      <c r="C802" s="1370"/>
      <c r="D802" s="1308"/>
      <c r="E802" s="1326"/>
      <c r="F802" s="1326"/>
      <c r="G802" s="1326"/>
      <c r="H802" s="1326"/>
      <c r="I802" s="1373"/>
    </row>
    <row r="803" spans="1:9">
      <c r="A803" s="1369"/>
      <c r="B803" s="1369"/>
      <c r="C803" s="1370"/>
      <c r="D803" s="1308"/>
      <c r="E803" s="1326"/>
      <c r="F803" s="1326"/>
      <c r="G803" s="1326"/>
      <c r="H803" s="1326"/>
      <c r="I803" s="1373"/>
    </row>
    <row r="804" spans="1:9">
      <c r="A804" s="1369"/>
      <c r="B804" s="1369"/>
      <c r="C804" s="1370"/>
      <c r="D804" s="1308"/>
      <c r="E804" s="1326"/>
      <c r="F804" s="1326"/>
      <c r="G804" s="1326"/>
      <c r="H804" s="1326"/>
      <c r="I804" s="1373"/>
    </row>
    <row r="805" spans="1:9">
      <c r="A805" s="1369"/>
      <c r="B805" s="1369"/>
      <c r="C805" s="1370"/>
      <c r="D805" s="1308"/>
      <c r="E805" s="1326"/>
      <c r="F805" s="1326"/>
      <c r="G805" s="1326"/>
      <c r="H805" s="1326"/>
      <c r="I805" s="1373"/>
    </row>
    <row r="806" spans="1:9">
      <c r="A806" s="1369"/>
      <c r="B806" s="1369"/>
      <c r="C806" s="1370"/>
      <c r="D806" s="1308"/>
      <c r="E806" s="1326"/>
      <c r="F806" s="1326"/>
      <c r="G806" s="1326"/>
      <c r="H806" s="1326"/>
      <c r="I806" s="1373"/>
    </row>
    <row r="807" spans="1:9">
      <c r="A807" s="1369"/>
      <c r="B807" s="1369"/>
      <c r="C807" s="1370"/>
      <c r="D807" s="1308"/>
      <c r="E807" s="1326"/>
      <c r="F807" s="1326"/>
      <c r="G807" s="1326"/>
      <c r="H807" s="1326"/>
      <c r="I807" s="1373"/>
    </row>
    <row r="808" spans="1:9">
      <c r="A808" s="1369"/>
      <c r="B808" s="1369"/>
      <c r="C808" s="1370"/>
      <c r="D808" s="1308"/>
      <c r="E808" s="1326"/>
      <c r="F808" s="1326"/>
      <c r="G808" s="1326"/>
      <c r="H808" s="1326"/>
      <c r="I808" s="1373"/>
    </row>
    <row r="809" spans="1:9">
      <c r="A809" s="1369"/>
      <c r="B809" s="1369"/>
      <c r="C809" s="1370"/>
      <c r="D809" s="1308"/>
      <c r="E809" s="1326"/>
      <c r="F809" s="1326"/>
      <c r="G809" s="1326"/>
      <c r="H809" s="1326"/>
      <c r="I809" s="1373"/>
    </row>
    <row r="810" spans="1:9">
      <c r="A810" s="1369"/>
      <c r="B810" s="1369"/>
      <c r="C810" s="1370"/>
      <c r="D810" s="1308"/>
      <c r="E810" s="1326"/>
      <c r="F810" s="1326"/>
      <c r="G810" s="1326"/>
      <c r="H810" s="1326"/>
      <c r="I810" s="1373"/>
    </row>
    <row r="811" spans="1:9">
      <c r="A811" s="1369"/>
      <c r="B811" s="1369"/>
      <c r="C811" s="1370"/>
      <c r="D811" s="1308"/>
      <c r="E811" s="1326"/>
      <c r="F811" s="1326"/>
      <c r="G811" s="1326"/>
      <c r="H811" s="1326"/>
      <c r="I811" s="1373"/>
    </row>
    <row r="812" spans="1:9">
      <c r="A812" s="1369"/>
      <c r="B812" s="1369"/>
      <c r="C812" s="1370"/>
      <c r="D812" s="1308"/>
      <c r="E812" s="1326"/>
      <c r="F812" s="1326"/>
      <c r="G812" s="1326"/>
      <c r="H812" s="1326"/>
      <c r="I812" s="1373"/>
    </row>
    <row r="813" spans="1:9">
      <c r="A813" s="1369"/>
      <c r="B813" s="1369"/>
      <c r="C813" s="1370"/>
      <c r="D813" s="1308"/>
      <c r="E813" s="1326"/>
      <c r="F813" s="1326"/>
      <c r="G813" s="1326"/>
      <c r="H813" s="1326"/>
      <c r="I813" s="1373"/>
    </row>
    <row r="814" spans="1:9">
      <c r="A814" s="1369"/>
      <c r="B814" s="1369"/>
      <c r="C814" s="1370"/>
      <c r="D814" s="1308"/>
      <c r="E814" s="1326"/>
      <c r="F814" s="1326"/>
      <c r="G814" s="1326"/>
      <c r="H814" s="1326"/>
      <c r="I814" s="1373"/>
    </row>
    <row r="815" spans="1:9">
      <c r="A815" s="1369"/>
      <c r="B815" s="1369"/>
      <c r="C815" s="1370"/>
      <c r="D815" s="1308"/>
      <c r="E815" s="1326"/>
      <c r="F815" s="1326"/>
      <c r="G815" s="1326"/>
      <c r="H815" s="1326"/>
      <c r="I815" s="1373"/>
    </row>
    <row r="816" spans="1:9">
      <c r="A816" s="1369"/>
      <c r="B816" s="1369"/>
      <c r="C816" s="1370"/>
      <c r="D816" s="1308"/>
      <c r="E816" s="1326"/>
      <c r="F816" s="1326"/>
      <c r="G816" s="1326"/>
      <c r="H816" s="1326"/>
      <c r="I816" s="1373"/>
    </row>
    <row r="817" spans="1:9">
      <c r="A817" s="1369"/>
      <c r="B817" s="1369"/>
      <c r="C817" s="1370"/>
      <c r="D817" s="1308"/>
      <c r="E817" s="1326"/>
      <c r="F817" s="1326"/>
      <c r="G817" s="1326"/>
      <c r="H817" s="1326"/>
      <c r="I817" s="1373"/>
    </row>
    <row r="818" spans="1:9">
      <c r="A818" s="1369"/>
      <c r="B818" s="1369"/>
      <c r="C818" s="1370"/>
      <c r="D818" s="1308"/>
      <c r="E818" s="1326"/>
      <c r="F818" s="1326"/>
      <c r="G818" s="1326"/>
      <c r="H818" s="1326"/>
      <c r="I818" s="1373"/>
    </row>
    <row r="819" spans="1:9">
      <c r="A819" s="1369"/>
      <c r="B819" s="1369"/>
      <c r="C819" s="1370"/>
      <c r="D819" s="1308"/>
      <c r="E819" s="1326"/>
      <c r="F819" s="1326"/>
      <c r="G819" s="1326"/>
      <c r="H819" s="1326"/>
      <c r="I819" s="1373"/>
    </row>
    <row r="820" spans="1:9">
      <c r="A820" s="1369"/>
      <c r="B820" s="1369"/>
      <c r="C820" s="1370"/>
      <c r="D820" s="1308"/>
      <c r="E820" s="1326"/>
      <c r="F820" s="1326"/>
      <c r="G820" s="1326"/>
      <c r="H820" s="1326"/>
      <c r="I820" s="1373"/>
    </row>
    <row r="821" spans="1:9">
      <c r="A821" s="1369"/>
      <c r="B821" s="1369"/>
      <c r="C821" s="1370"/>
      <c r="D821" s="1308"/>
      <c r="E821" s="1326"/>
      <c r="F821" s="1326"/>
      <c r="G821" s="1326"/>
      <c r="H821" s="1326"/>
      <c r="I821" s="1373"/>
    </row>
    <row r="822" spans="1:9">
      <c r="A822" s="1369"/>
      <c r="B822" s="1369"/>
      <c r="C822" s="1370"/>
      <c r="D822" s="1308"/>
      <c r="E822" s="1326"/>
      <c r="F822" s="1326"/>
      <c r="G822" s="1326"/>
      <c r="H822" s="1326"/>
      <c r="I822" s="1373"/>
    </row>
    <row r="823" spans="1:9">
      <c r="A823" s="1369"/>
      <c r="B823" s="1369"/>
      <c r="C823" s="1370"/>
      <c r="D823" s="1308"/>
      <c r="E823" s="1326"/>
      <c r="F823" s="1326"/>
      <c r="G823" s="1326"/>
      <c r="H823" s="1326"/>
      <c r="I823" s="1373"/>
    </row>
    <row r="824" spans="1:9">
      <c r="A824" s="1369"/>
      <c r="B824" s="1369"/>
      <c r="C824" s="1370"/>
      <c r="D824" s="1308"/>
      <c r="E824" s="1326"/>
      <c r="F824" s="1326"/>
      <c r="G824" s="1326"/>
      <c r="H824" s="1326"/>
      <c r="I824" s="1373"/>
    </row>
    <row r="825" spans="1:9">
      <c r="A825" s="1369"/>
      <c r="B825" s="1369"/>
      <c r="C825" s="1370"/>
      <c r="D825" s="1308"/>
      <c r="E825" s="1326"/>
      <c r="F825" s="1326"/>
      <c r="G825" s="1326"/>
      <c r="H825" s="1326"/>
      <c r="I825" s="1373"/>
    </row>
    <row r="826" spans="1:9">
      <c r="A826" s="1369"/>
      <c r="B826" s="1369"/>
      <c r="C826" s="1370"/>
      <c r="D826" s="1308"/>
      <c r="E826" s="1326"/>
      <c r="F826" s="1326"/>
      <c r="G826" s="1326"/>
      <c r="H826" s="1326"/>
      <c r="I826" s="1373"/>
    </row>
    <row r="827" spans="1:9">
      <c r="A827" s="1369"/>
      <c r="B827" s="1369"/>
      <c r="C827" s="1370"/>
      <c r="D827" s="1308"/>
      <c r="E827" s="1326"/>
      <c r="F827" s="1326"/>
      <c r="G827" s="1326"/>
      <c r="H827" s="1326"/>
      <c r="I827" s="1373"/>
    </row>
    <row r="828" spans="1:9">
      <c r="A828" s="1369"/>
      <c r="B828" s="1369"/>
      <c r="C828" s="1370"/>
      <c r="D828" s="1308"/>
      <c r="E828" s="1326"/>
      <c r="F828" s="1326"/>
      <c r="G828" s="1326"/>
      <c r="H828" s="1326"/>
      <c r="I828" s="1373"/>
    </row>
    <row r="829" spans="1:9">
      <c r="A829" s="1369"/>
      <c r="B829" s="1369"/>
      <c r="C829" s="1370"/>
      <c r="D829" s="1308"/>
      <c r="E829" s="1326"/>
      <c r="F829" s="1326"/>
      <c r="G829" s="1326"/>
      <c r="H829" s="1326"/>
      <c r="I829" s="1373"/>
    </row>
    <row r="830" spans="1:9">
      <c r="A830" s="1369"/>
      <c r="B830" s="1369"/>
      <c r="C830" s="1370"/>
      <c r="D830" s="1308"/>
      <c r="E830" s="1326"/>
      <c r="F830" s="1326"/>
      <c r="G830" s="1326"/>
      <c r="H830" s="1326"/>
      <c r="I830" s="1373"/>
    </row>
    <row r="831" spans="1:9">
      <c r="A831" s="1369"/>
      <c r="B831" s="1369"/>
      <c r="C831" s="1370"/>
      <c r="D831" s="1308"/>
      <c r="E831" s="1326"/>
      <c r="F831" s="1326"/>
      <c r="G831" s="1326"/>
      <c r="H831" s="1326"/>
      <c r="I831" s="1373"/>
    </row>
    <row r="832" spans="1:9">
      <c r="A832" s="1369"/>
      <c r="B832" s="1369"/>
      <c r="C832" s="1370"/>
      <c r="D832" s="1308"/>
      <c r="E832" s="1326"/>
      <c r="F832" s="1326"/>
      <c r="G832" s="1326"/>
      <c r="H832" s="1326"/>
      <c r="I832" s="1373"/>
    </row>
    <row r="833" spans="1:9">
      <c r="A833" s="1369"/>
      <c r="B833" s="1369"/>
      <c r="C833" s="1370"/>
      <c r="D833" s="1308"/>
      <c r="E833" s="1326"/>
      <c r="F833" s="1326"/>
      <c r="G833" s="1326"/>
      <c r="H833" s="1326"/>
      <c r="I833" s="1373"/>
    </row>
    <row r="834" spans="1:9">
      <c r="A834" s="1369"/>
      <c r="B834" s="1369"/>
      <c r="C834" s="1370"/>
      <c r="D834" s="1308"/>
      <c r="E834" s="1326"/>
      <c r="F834" s="1326"/>
      <c r="G834" s="1326"/>
      <c r="H834" s="1326"/>
      <c r="I834" s="1373"/>
    </row>
    <row r="835" spans="1:9">
      <c r="A835" s="1369"/>
      <c r="B835" s="1369"/>
      <c r="C835" s="1370"/>
      <c r="D835" s="1308"/>
      <c r="E835" s="1326"/>
      <c r="F835" s="1326"/>
      <c r="G835" s="1326"/>
      <c r="H835" s="1326"/>
      <c r="I835" s="1373"/>
    </row>
    <row r="836" spans="1:9">
      <c r="A836" s="1369"/>
      <c r="B836" s="1369"/>
      <c r="C836" s="1370"/>
      <c r="D836" s="1308"/>
      <c r="E836" s="1326"/>
      <c r="F836" s="1326"/>
      <c r="G836" s="1326"/>
      <c r="H836" s="1326"/>
      <c r="I836" s="1373"/>
    </row>
    <row r="837" spans="1:9">
      <c r="A837" s="1369"/>
      <c r="B837" s="1369"/>
      <c r="C837" s="1370"/>
      <c r="D837" s="1308"/>
      <c r="E837" s="1326"/>
      <c r="F837" s="1326"/>
      <c r="G837" s="1326"/>
      <c r="H837" s="1326"/>
      <c r="I837" s="1373"/>
    </row>
    <row r="838" spans="1:9">
      <c r="A838" s="1369"/>
      <c r="B838" s="1369"/>
      <c r="C838" s="1370"/>
      <c r="D838" s="1308"/>
      <c r="E838" s="1326"/>
      <c r="F838" s="1326"/>
      <c r="G838" s="1326"/>
      <c r="H838" s="1326"/>
      <c r="I838" s="1373"/>
    </row>
    <row r="839" spans="1:9">
      <c r="A839" s="1369"/>
      <c r="B839" s="1369"/>
      <c r="C839" s="1370"/>
      <c r="D839" s="1308"/>
      <c r="E839" s="1326"/>
      <c r="F839" s="1326"/>
      <c r="G839" s="1326"/>
      <c r="H839" s="1326"/>
      <c r="I839" s="1373"/>
    </row>
    <row r="840" spans="1:9">
      <c r="A840" s="1369"/>
      <c r="B840" s="1369"/>
      <c r="C840" s="1370"/>
      <c r="D840" s="1308"/>
      <c r="E840" s="1326"/>
      <c r="F840" s="1326"/>
      <c r="G840" s="1326"/>
      <c r="H840" s="1326"/>
      <c r="I840" s="1373"/>
    </row>
    <row r="841" spans="1:9">
      <c r="A841" s="1369"/>
      <c r="B841" s="1369"/>
      <c r="C841" s="1370"/>
      <c r="D841" s="1308"/>
      <c r="E841" s="1326"/>
      <c r="F841" s="1326"/>
      <c r="G841" s="1326"/>
      <c r="H841" s="1326"/>
      <c r="I841" s="1373"/>
    </row>
    <row r="842" spans="1:9">
      <c r="A842" s="1369"/>
      <c r="B842" s="1369"/>
      <c r="C842" s="1370"/>
      <c r="D842" s="1308"/>
      <c r="E842" s="1326"/>
      <c r="F842" s="1326"/>
      <c r="G842" s="1326"/>
      <c r="H842" s="1326"/>
      <c r="I842" s="1373"/>
    </row>
    <row r="843" spans="1:9">
      <c r="A843" s="1369"/>
      <c r="B843" s="1369"/>
      <c r="C843" s="1370"/>
      <c r="D843" s="1308"/>
      <c r="E843" s="1326"/>
      <c r="F843" s="1326"/>
      <c r="G843" s="1326"/>
      <c r="H843" s="1326"/>
      <c r="I843" s="1373"/>
    </row>
    <row r="844" spans="1:9">
      <c r="A844" s="1369"/>
      <c r="B844" s="1369"/>
      <c r="C844" s="1370"/>
      <c r="D844" s="1308"/>
      <c r="E844" s="1326"/>
      <c r="F844" s="1326"/>
      <c r="G844" s="1326"/>
      <c r="H844" s="1326"/>
      <c r="I844" s="1373"/>
    </row>
    <row r="845" spans="1:9">
      <c r="A845" s="1369"/>
      <c r="B845" s="1369"/>
      <c r="C845" s="1370"/>
      <c r="D845" s="1308"/>
      <c r="E845" s="1326"/>
      <c r="F845" s="1326"/>
      <c r="G845" s="1326"/>
      <c r="H845" s="1326"/>
      <c r="I845" s="1373"/>
    </row>
    <row r="846" spans="1:9">
      <c r="A846" s="1369"/>
      <c r="B846" s="1369"/>
      <c r="C846" s="1370"/>
      <c r="D846" s="1308"/>
      <c r="E846" s="1326"/>
      <c r="F846" s="1326"/>
      <c r="G846" s="1326"/>
      <c r="H846" s="1326"/>
      <c r="I846" s="1373"/>
    </row>
    <row r="847" spans="1:9">
      <c r="A847" s="1369"/>
      <c r="B847" s="1369"/>
      <c r="C847" s="1370"/>
      <c r="D847" s="1308"/>
      <c r="E847" s="1326"/>
      <c r="F847" s="1326"/>
      <c r="G847" s="1326"/>
      <c r="H847" s="1326"/>
      <c r="I847" s="1373"/>
    </row>
    <row r="848" spans="1:9">
      <c r="A848" s="1369"/>
      <c r="B848" s="1369"/>
      <c r="C848" s="1370"/>
      <c r="D848" s="1308"/>
      <c r="E848" s="1326"/>
      <c r="F848" s="1326"/>
      <c r="G848" s="1326"/>
      <c r="H848" s="1326"/>
      <c r="I848" s="1373"/>
    </row>
    <row r="849" spans="1:9">
      <c r="A849" s="1369"/>
      <c r="B849" s="1369"/>
      <c r="C849" s="1370"/>
      <c r="D849" s="1308"/>
      <c r="E849" s="1326"/>
      <c r="F849" s="1326"/>
      <c r="G849" s="1326"/>
      <c r="H849" s="1326"/>
      <c r="I849" s="1373"/>
    </row>
    <row r="850" spans="1:9">
      <c r="A850" s="1369"/>
      <c r="B850" s="1369"/>
      <c r="C850" s="1370"/>
      <c r="D850" s="1308"/>
      <c r="E850" s="1326"/>
      <c r="F850" s="1326"/>
      <c r="G850" s="1326"/>
      <c r="H850" s="1326"/>
      <c r="I850" s="1373"/>
    </row>
    <row r="851" spans="1:9">
      <c r="A851" s="1369"/>
      <c r="B851" s="1369"/>
      <c r="C851" s="1370"/>
      <c r="D851" s="1308"/>
      <c r="E851" s="1326"/>
      <c r="F851" s="1326"/>
      <c r="G851" s="1326"/>
      <c r="H851" s="1326"/>
      <c r="I851" s="1373"/>
    </row>
    <row r="852" spans="1:9">
      <c r="A852" s="1369"/>
      <c r="B852" s="1369"/>
      <c r="C852" s="1370"/>
      <c r="D852" s="1308"/>
      <c r="E852" s="1326"/>
      <c r="F852" s="1326"/>
      <c r="G852" s="1326"/>
      <c r="H852" s="1326"/>
      <c r="I852" s="1373"/>
    </row>
  </sheetData>
  <mergeCells count="6">
    <mergeCell ref="C433:H433"/>
    <mergeCell ref="C172:H172"/>
    <mergeCell ref="C194:H194"/>
    <mergeCell ref="C198:H198"/>
    <mergeCell ref="C276:H276"/>
    <mergeCell ref="A422:C422"/>
  </mergeCells>
  <pageMargins left="0.25" right="0.28000000000000003" top="0.63" bottom="0.18" header="0.37" footer="0.18"/>
  <pageSetup scale="49" fitToHeight="0" orientation="landscape" r:id="rId1"/>
  <headerFooter alignWithMargins="0"/>
  <rowBreaks count="9" manualBreakCount="9">
    <brk id="55" max="9" man="1"/>
    <brk id="87" max="9" man="1"/>
    <brk id="117" max="9" man="1"/>
    <brk id="200" max="10" man="1"/>
    <brk id="239" max="9" man="1"/>
    <brk id="277" max="16383" man="1"/>
    <brk id="316" max="9" man="1"/>
    <brk id="347" max="9" man="1"/>
    <brk id="37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7"/>
  <sheetViews>
    <sheetView workbookViewId="0"/>
  </sheetViews>
  <sheetFormatPr defaultRowHeight="14.25"/>
  <cols>
    <col min="1" max="2" width="10.85546875" style="1342" customWidth="1"/>
    <col min="3" max="3" width="70.5703125" style="1837" customWidth="1"/>
    <col min="4" max="4" width="18.5703125" style="436" customWidth="1"/>
    <col min="5" max="8" width="18.5703125" style="1836" customWidth="1"/>
    <col min="9" max="9" width="18.5703125" style="1837" customWidth="1"/>
    <col min="10" max="10" width="60.7109375" style="436" customWidth="1"/>
    <col min="11" max="16384" width="9.140625" style="436"/>
  </cols>
  <sheetData>
    <row r="1" spans="1:10" ht="18">
      <c r="A1" s="1329" t="s">
        <v>365</v>
      </c>
      <c r="B1" s="1329"/>
      <c r="C1" s="1288"/>
      <c r="D1" s="1330"/>
      <c r="E1" s="1330"/>
      <c r="F1" s="1330"/>
      <c r="G1" s="1330"/>
      <c r="H1" s="1330"/>
      <c r="I1" s="1330"/>
      <c r="J1" s="1330"/>
    </row>
    <row r="2" spans="1:10" ht="15.75">
      <c r="A2" s="1331" t="s">
        <v>661</v>
      </c>
      <c r="B2" s="1331"/>
      <c r="C2" s="1289"/>
      <c r="D2" s="1332"/>
      <c r="E2" s="1332"/>
      <c r="F2" s="1332"/>
      <c r="G2" s="1332"/>
      <c r="H2" s="1332"/>
      <c r="I2" s="1332"/>
      <c r="J2" s="1332"/>
    </row>
    <row r="3" spans="1:10">
      <c r="A3" s="1290" t="s">
        <v>984</v>
      </c>
      <c r="B3" s="1333"/>
      <c r="C3" s="1287"/>
      <c r="D3" s="827"/>
      <c r="E3" s="827"/>
      <c r="F3" s="827"/>
      <c r="G3" s="827"/>
      <c r="H3" s="827"/>
      <c r="I3" s="1287"/>
      <c r="J3" s="1290"/>
    </row>
    <row r="4" spans="1:10" s="437" customFormat="1" ht="15">
      <c r="A4" s="1291"/>
      <c r="B4" s="1291"/>
      <c r="C4" s="1776"/>
      <c r="D4" s="1293"/>
      <c r="E4" s="1770"/>
      <c r="F4" s="1770"/>
      <c r="G4" s="1770"/>
      <c r="H4" s="1334"/>
      <c r="I4" s="1770"/>
      <c r="J4" s="1334"/>
    </row>
    <row r="5" spans="1:10" s="437" customFormat="1" ht="15">
      <c r="A5" s="1291"/>
      <c r="B5" s="1291"/>
      <c r="C5" s="1776"/>
      <c r="D5" s="1293"/>
      <c r="E5" s="1334"/>
      <c r="F5" s="1334"/>
      <c r="G5" s="1334"/>
      <c r="H5" s="1334"/>
      <c r="I5" s="1334"/>
      <c r="J5" s="1334"/>
    </row>
    <row r="6" spans="1:10" s="437" customFormat="1" ht="32.25" thickBot="1">
      <c r="A6" s="2070" t="s">
        <v>8</v>
      </c>
      <c r="B6" s="2070"/>
      <c r="C6" s="2070" t="s">
        <v>24</v>
      </c>
      <c r="D6" s="2071" t="s">
        <v>525</v>
      </c>
      <c r="E6" s="2072" t="s">
        <v>964</v>
      </c>
      <c r="F6" s="2072" t="s">
        <v>965</v>
      </c>
      <c r="G6" s="2072" t="s">
        <v>103</v>
      </c>
      <c r="H6" s="2071" t="s">
        <v>72</v>
      </c>
      <c r="I6" s="2071" t="s">
        <v>73</v>
      </c>
      <c r="J6" s="2072" t="s">
        <v>541</v>
      </c>
    </row>
    <row r="7" spans="1:10" s="437" customFormat="1" ht="15.75">
      <c r="A7" s="1286"/>
      <c r="B7" s="1286"/>
      <c r="C7" s="1286" t="s">
        <v>200</v>
      </c>
      <c r="D7" s="1294" t="s">
        <v>201</v>
      </c>
      <c r="E7" s="1294"/>
      <c r="F7" s="1294"/>
      <c r="G7" s="1294" t="s">
        <v>532</v>
      </c>
      <c r="H7" s="1294" t="s">
        <v>114</v>
      </c>
      <c r="I7" s="1294" t="s">
        <v>115</v>
      </c>
      <c r="J7" s="1294" t="s">
        <v>116</v>
      </c>
    </row>
    <row r="8" spans="1:10">
      <c r="A8" s="1291"/>
      <c r="B8" s="1291"/>
      <c r="C8" s="1776"/>
      <c r="D8" s="832"/>
      <c r="E8" s="1771"/>
      <c r="F8" s="1771"/>
      <c r="G8" s="1771"/>
      <c r="H8" s="1771"/>
      <c r="I8" s="1771"/>
      <c r="J8" s="832"/>
    </row>
    <row r="9" spans="1:10">
      <c r="A9" s="1291"/>
      <c r="B9" s="1291"/>
      <c r="C9" s="1776"/>
      <c r="D9" s="832"/>
      <c r="E9" s="1771"/>
      <c r="F9" s="1771"/>
      <c r="G9" s="1771"/>
      <c r="H9" s="1771"/>
      <c r="I9" s="1771"/>
      <c r="J9" s="832"/>
    </row>
    <row r="10" spans="1:10">
      <c r="A10" s="1298">
        <v>1</v>
      </c>
      <c r="B10" s="1301"/>
      <c r="C10" s="1776" t="s">
        <v>531</v>
      </c>
      <c r="D10" s="1299" t="s">
        <v>533</v>
      </c>
      <c r="E10" s="1335">
        <f>E287</f>
        <v>-4401312256</v>
      </c>
      <c r="F10" s="1335">
        <f>F287</f>
        <v>-3048176466</v>
      </c>
      <c r="G10" s="1335">
        <f>+G287</f>
        <v>-1126053513</v>
      </c>
      <c r="H10" s="1335">
        <f>+H287</f>
        <v>19603379</v>
      </c>
      <c r="I10" s="1335">
        <f>+I287</f>
        <v>-246685656</v>
      </c>
      <c r="J10" s="1300"/>
    </row>
    <row r="11" spans="1:10">
      <c r="A11" s="1301">
        <f t="shared" ref="A11:A19" si="0">A10+1</f>
        <v>2</v>
      </c>
      <c r="B11" s="1301"/>
      <c r="C11" s="1776" t="s">
        <v>600</v>
      </c>
      <c r="D11" s="1299" t="s">
        <v>601</v>
      </c>
      <c r="E11" s="1335">
        <f>E205</f>
        <v>-185416334</v>
      </c>
      <c r="F11" s="1335">
        <f>F205</f>
        <v>-185416334</v>
      </c>
      <c r="G11" s="1335">
        <v>0</v>
      </c>
      <c r="H11" s="1335">
        <f>H205</f>
        <v>0</v>
      </c>
      <c r="I11" s="1335">
        <v>0</v>
      </c>
      <c r="J11" s="1300"/>
    </row>
    <row r="12" spans="1:10">
      <c r="A12" s="1301">
        <f t="shared" si="0"/>
        <v>3</v>
      </c>
      <c r="B12" s="1301"/>
      <c r="C12" s="1776" t="s">
        <v>59</v>
      </c>
      <c r="D12" s="1299" t="s">
        <v>534</v>
      </c>
      <c r="E12" s="1335">
        <f>E451</f>
        <v>-272905545</v>
      </c>
      <c r="F12" s="1335">
        <f>F451</f>
        <v>-264989859</v>
      </c>
      <c r="G12" s="1335">
        <f>+G451</f>
        <v>0</v>
      </c>
      <c r="H12" s="1335">
        <f>+H451</f>
        <v>-6732823</v>
      </c>
      <c r="I12" s="1335">
        <f>+I451</f>
        <v>-1182863</v>
      </c>
      <c r="J12" s="1300"/>
    </row>
    <row r="13" spans="1:10">
      <c r="A13" s="1301">
        <f t="shared" si="0"/>
        <v>4</v>
      </c>
      <c r="B13" s="1301"/>
      <c r="C13" s="1776" t="s">
        <v>58</v>
      </c>
      <c r="D13" s="1299" t="s">
        <v>535</v>
      </c>
      <c r="E13" s="1772">
        <f>E179</f>
        <v>349679175</v>
      </c>
      <c r="F13" s="1772">
        <f>F179</f>
        <v>328390069</v>
      </c>
      <c r="G13" s="1772">
        <f>+G179</f>
        <v>125199</v>
      </c>
      <c r="H13" s="1772">
        <f>+H179</f>
        <v>0</v>
      </c>
      <c r="I13" s="1772">
        <f>+I179</f>
        <v>21163907</v>
      </c>
      <c r="J13" s="1300"/>
    </row>
    <row r="14" spans="1:10">
      <c r="A14" s="1301">
        <f t="shared" si="0"/>
        <v>5</v>
      </c>
      <c r="B14" s="1301"/>
      <c r="C14" s="1776" t="s">
        <v>539</v>
      </c>
      <c r="D14" s="1300" t="s">
        <v>606</v>
      </c>
      <c r="E14" s="1335">
        <f>SUM(E10:E13)</f>
        <v>-4509954960</v>
      </c>
      <c r="F14" s="1335">
        <f>SUM(F10:F13)</f>
        <v>-3170192590</v>
      </c>
      <c r="G14" s="1335">
        <f>SUM(G10:G13)</f>
        <v>-1125928314</v>
      </c>
      <c r="H14" s="1335">
        <f>SUM(H10:H13)</f>
        <v>12870556</v>
      </c>
      <c r="I14" s="1335">
        <f>SUM(I10:I13)</f>
        <v>-226704612</v>
      </c>
      <c r="J14" s="1300"/>
    </row>
    <row r="15" spans="1:10">
      <c r="A15" s="1301">
        <f t="shared" si="0"/>
        <v>6</v>
      </c>
      <c r="B15" s="1301"/>
      <c r="C15" s="1776" t="s">
        <v>1001</v>
      </c>
      <c r="D15" s="1299" t="s">
        <v>335</v>
      </c>
      <c r="E15" s="1771"/>
      <c r="F15" s="1771"/>
      <c r="G15" s="1773">
        <v>1</v>
      </c>
      <c r="H15" s="1773">
        <f>Allocator.net.plant</f>
        <v>0.26207536255640557</v>
      </c>
      <c r="I15" s="1773">
        <f>Allocator.wages.salary</f>
        <v>8.4851850814689656E-2</v>
      </c>
      <c r="J15" s="832"/>
    </row>
    <row r="16" spans="1:10">
      <c r="A16" s="1301">
        <f t="shared" si="0"/>
        <v>7</v>
      </c>
      <c r="B16" s="1301"/>
      <c r="C16" s="1776" t="s">
        <v>540</v>
      </c>
      <c r="D16" s="1299" t="str">
        <f>"Line "&amp;A14&amp;" * Allocator"</f>
        <v>Line 5 * Allocator</v>
      </c>
      <c r="E16" s="1774"/>
      <c r="F16" s="1774"/>
      <c r="G16" s="1335">
        <f>G14</f>
        <v>-1125928314</v>
      </c>
      <c r="H16" s="1335">
        <f>H15*H14</f>
        <v>3373055.630002521</v>
      </c>
      <c r="I16" s="1335">
        <f>I15*I14</f>
        <v>-19236305.916426104</v>
      </c>
      <c r="J16" s="1336"/>
    </row>
    <row r="17" spans="1:10">
      <c r="A17" s="1301">
        <f t="shared" si="0"/>
        <v>8</v>
      </c>
      <c r="B17" s="1301"/>
      <c r="C17" s="1296" t="s">
        <v>667</v>
      </c>
      <c r="D17" s="1299" t="s">
        <v>1003</v>
      </c>
      <c r="E17" s="1299"/>
      <c r="F17" s="1299"/>
      <c r="G17" s="1335"/>
      <c r="H17" s="1335"/>
      <c r="I17" s="1335"/>
      <c r="J17" s="1775">
        <f>SUM(G16:I16)</f>
        <v>-1141791564.2864237</v>
      </c>
    </row>
    <row r="18" spans="1:10">
      <c r="A18" s="1301">
        <f t="shared" si="0"/>
        <v>9</v>
      </c>
      <c r="B18" s="1291"/>
      <c r="C18" s="1296" t="s">
        <v>666</v>
      </c>
      <c r="D18" s="832"/>
      <c r="E18" s="1771"/>
      <c r="F18" s="1771"/>
      <c r="G18" s="1054">
        <f>'Att 1 - ADIT'!G16</f>
        <v>-1074808636</v>
      </c>
      <c r="H18" s="1054">
        <f>'Att 1 - ADIT'!H16</f>
        <v>1858488.564142646</v>
      </c>
      <c r="I18" s="1054">
        <f>'Att 1 - ADIT'!I16</f>
        <v>-17838738.913064416</v>
      </c>
      <c r="J18" s="1054">
        <f>'Att 1 - ADIT'!J19</f>
        <v>-1090788886.3489218</v>
      </c>
    </row>
    <row r="19" spans="1:10" ht="15">
      <c r="A19" s="1301">
        <f t="shared" si="0"/>
        <v>10</v>
      </c>
      <c r="B19" s="1296"/>
      <c r="C19" s="1292" t="s">
        <v>1402</v>
      </c>
      <c r="D19" s="832" t="str">
        <f>"Line "&amp;A17&amp;" for Projection and average of Lines "&amp;A17&amp;" &amp; "&amp;A18&amp;" for True-Up"</f>
        <v>Line 8 for Projection and average of Lines 8 &amp; 9 for True-Up</v>
      </c>
      <c r="E19" s="1771"/>
      <c r="F19" s="1771"/>
      <c r="G19" s="1335"/>
      <c r="H19" s="1335"/>
      <c r="I19" s="1335"/>
      <c r="J19" s="1337">
        <f>IF(Toggle=Projection,J17,IF(Toggle=True_up,AVERAGE(J17:J18),"Set Toggle!"))</f>
        <v>-1116290225.3176727</v>
      </c>
    </row>
    <row r="20" spans="1:10">
      <c r="A20" s="1291"/>
      <c r="B20" s="1291"/>
      <c r="D20" s="832"/>
      <c r="E20" s="1771"/>
      <c r="F20" s="1771"/>
      <c r="G20" s="1771"/>
      <c r="H20" s="1771"/>
      <c r="I20" s="1771"/>
      <c r="J20" s="437"/>
    </row>
    <row r="21" spans="1:10" ht="12.75">
      <c r="A21" s="1387"/>
      <c r="B21" s="1387"/>
      <c r="C21" s="1387"/>
      <c r="D21" s="437"/>
      <c r="E21" s="1387"/>
      <c r="F21" s="1387"/>
      <c r="G21" s="1387"/>
      <c r="H21" s="1387"/>
      <c r="I21" s="1387"/>
      <c r="J21" s="437"/>
    </row>
    <row r="22" spans="1:10" ht="15">
      <c r="A22" s="1306" t="s">
        <v>14</v>
      </c>
      <c r="B22" s="1306"/>
      <c r="C22" s="1776"/>
      <c r="D22" s="832"/>
      <c r="E22" s="1771"/>
      <c r="F22" s="1771"/>
      <c r="G22" s="1771"/>
      <c r="H22" s="1771"/>
      <c r="I22" s="1776"/>
      <c r="J22" s="437"/>
    </row>
    <row r="23" spans="1:10" ht="15">
      <c r="A23" s="1306" t="s">
        <v>15</v>
      </c>
      <c r="B23" s="1306"/>
      <c r="C23" s="1776"/>
      <c r="D23" s="832"/>
      <c r="E23" s="1771"/>
      <c r="F23" s="1771"/>
      <c r="G23" s="1771"/>
      <c r="H23" s="1771"/>
      <c r="I23" s="1776"/>
      <c r="J23" s="437"/>
    </row>
    <row r="24" spans="1:10" ht="15">
      <c r="A24" s="1291"/>
      <c r="B24" s="1291"/>
      <c r="C24" s="1338"/>
      <c r="D24" s="1305"/>
      <c r="E24" s="1305"/>
      <c r="F24" s="1305"/>
      <c r="G24" s="1305"/>
      <c r="H24" s="1305"/>
      <c r="I24" s="1776"/>
      <c r="J24" s="437"/>
    </row>
    <row r="25" spans="1:10" ht="15">
      <c r="A25" s="1306" t="s">
        <v>537</v>
      </c>
      <c r="B25" s="1306"/>
      <c r="C25" s="1776"/>
      <c r="D25" s="832"/>
      <c r="E25" s="1771"/>
      <c r="F25" s="1771"/>
      <c r="G25" s="1771"/>
      <c r="H25" s="1777"/>
      <c r="I25" s="1776"/>
      <c r="J25" s="437"/>
    </row>
    <row r="26" spans="1:10" ht="15">
      <c r="A26" s="1286"/>
      <c r="B26" s="1286"/>
      <c r="C26" s="1339" t="s">
        <v>227</v>
      </c>
      <c r="D26" s="1340"/>
      <c r="E26" s="1339" t="s">
        <v>283</v>
      </c>
      <c r="F26" s="1339" t="s">
        <v>215</v>
      </c>
      <c r="G26" s="1339" t="s">
        <v>228</v>
      </c>
      <c r="H26" s="1339" t="s">
        <v>226</v>
      </c>
      <c r="I26" s="1339" t="s">
        <v>107</v>
      </c>
      <c r="J26" s="1339" t="s">
        <v>229</v>
      </c>
    </row>
    <row r="27" spans="1:10" s="437" customFormat="1">
      <c r="A27" s="1291"/>
      <c r="B27" s="1291"/>
      <c r="C27" s="1837"/>
      <c r="D27" s="1303"/>
      <c r="E27" s="1387"/>
      <c r="F27" s="829" t="s">
        <v>257</v>
      </c>
      <c r="G27" s="1387"/>
      <c r="H27" s="829"/>
      <c r="I27" s="829"/>
      <c r="J27" s="1303"/>
    </row>
    <row r="28" spans="1:10" s="437" customFormat="1">
      <c r="A28" s="1837"/>
      <c r="B28" s="1837"/>
      <c r="C28" s="1837"/>
      <c r="D28" s="1303"/>
      <c r="E28" s="829" t="s">
        <v>282</v>
      </c>
      <c r="F28" s="829" t="s">
        <v>258</v>
      </c>
      <c r="G28" s="829" t="s">
        <v>57</v>
      </c>
      <c r="H28" s="829" t="s">
        <v>61</v>
      </c>
      <c r="I28" s="829" t="s">
        <v>63</v>
      </c>
      <c r="J28" s="1303"/>
    </row>
    <row r="29" spans="1:10" s="437" customFormat="1" ht="15">
      <c r="A29" s="1306" t="s">
        <v>24</v>
      </c>
      <c r="B29" s="1306"/>
      <c r="C29" s="1297" t="s">
        <v>538</v>
      </c>
      <c r="D29" s="1297"/>
      <c r="E29" s="829" t="s">
        <v>536</v>
      </c>
      <c r="F29" s="829" t="s">
        <v>62</v>
      </c>
      <c r="G29" s="829" t="s">
        <v>62</v>
      </c>
      <c r="H29" s="829" t="s">
        <v>62</v>
      </c>
      <c r="I29" s="829" t="s">
        <v>62</v>
      </c>
      <c r="J29" s="1341" t="s">
        <v>208</v>
      </c>
    </row>
    <row r="30" spans="1:10">
      <c r="D30" s="1303"/>
      <c r="E30" s="1387"/>
      <c r="F30" s="1387"/>
      <c r="G30" s="1387"/>
      <c r="H30" s="1387"/>
      <c r="I30" s="1387"/>
      <c r="J30" s="1303"/>
    </row>
    <row r="31" spans="1:10" ht="15">
      <c r="A31" s="2457" t="s">
        <v>254</v>
      </c>
      <c r="B31" s="2458"/>
      <c r="C31" s="2458"/>
      <c r="D31" s="2459"/>
      <c r="E31" s="1778"/>
      <c r="F31" s="1778"/>
      <c r="G31" s="1778"/>
      <c r="H31" s="1778"/>
      <c r="I31" s="1778"/>
      <c r="J31" s="2460"/>
    </row>
    <row r="32" spans="1:10" ht="12.75">
      <c r="A32" s="1779" t="s">
        <v>347</v>
      </c>
      <c r="B32" s="2461"/>
      <c r="C32" s="2462"/>
      <c r="D32" s="2463"/>
      <c r="E32" s="1781"/>
      <c r="F32" s="1781"/>
      <c r="G32" s="1781"/>
      <c r="H32" s="1781"/>
      <c r="I32" s="1781"/>
      <c r="J32" s="2464"/>
    </row>
    <row r="33" spans="1:10" ht="25.5">
      <c r="A33" s="1782">
        <v>287414</v>
      </c>
      <c r="B33" s="2626">
        <v>505.41399999999999</v>
      </c>
      <c r="C33" s="2627" t="s">
        <v>2034</v>
      </c>
      <c r="D33" s="2291"/>
      <c r="E33" s="2471">
        <v>393386</v>
      </c>
      <c r="F33" s="2471">
        <v>0</v>
      </c>
      <c r="G33" s="2471">
        <v>0</v>
      </c>
      <c r="H33" s="2471">
        <v>0</v>
      </c>
      <c r="I33" s="2471">
        <v>393386</v>
      </c>
      <c r="J33" s="1785" t="s">
        <v>2049</v>
      </c>
    </row>
    <row r="34" spans="1:10" ht="25.5">
      <c r="A34" s="1782">
        <v>287220</v>
      </c>
      <c r="B34" s="2626">
        <v>720.56</v>
      </c>
      <c r="C34" s="2627" t="s">
        <v>1654</v>
      </c>
      <c r="D34" s="2291"/>
      <c r="E34" s="2471">
        <v>28303872</v>
      </c>
      <c r="F34" s="2471">
        <v>28303872</v>
      </c>
      <c r="G34" s="2471">
        <v>0</v>
      </c>
      <c r="H34" s="2471">
        <v>0</v>
      </c>
      <c r="I34" s="2471">
        <v>0</v>
      </c>
      <c r="J34" s="1785" t="s">
        <v>1655</v>
      </c>
    </row>
    <row r="35" spans="1:10" ht="25.5">
      <c r="A35" s="1782">
        <v>287300</v>
      </c>
      <c r="B35" s="2626">
        <v>920.18200000000002</v>
      </c>
      <c r="C35" s="2627" t="s">
        <v>1656</v>
      </c>
      <c r="D35" s="2291"/>
      <c r="E35" s="2471">
        <v>3961171</v>
      </c>
      <c r="F35" s="2471">
        <v>0</v>
      </c>
      <c r="G35" s="2471">
        <v>0</v>
      </c>
      <c r="H35" s="2471">
        <v>0</v>
      </c>
      <c r="I35" s="2471">
        <v>3961171</v>
      </c>
      <c r="J35" s="1785" t="s">
        <v>1657</v>
      </c>
    </row>
    <row r="36" spans="1:10" ht="38.25">
      <c r="A36" s="1782">
        <v>287323</v>
      </c>
      <c r="B36" s="2626">
        <v>505.4</v>
      </c>
      <c r="C36" s="2627" t="s">
        <v>1839</v>
      </c>
      <c r="D36" s="2291"/>
      <c r="E36" s="2471">
        <v>367324</v>
      </c>
      <c r="F36" s="2471">
        <v>0</v>
      </c>
      <c r="G36" s="2471">
        <v>0</v>
      </c>
      <c r="H36" s="2471">
        <v>0</v>
      </c>
      <c r="I36" s="2471">
        <v>367324</v>
      </c>
      <c r="J36" s="2465" t="s">
        <v>1838</v>
      </c>
    </row>
    <row r="37" spans="1:10" ht="15.75" customHeight="1">
      <c r="A37" s="1782">
        <v>287324</v>
      </c>
      <c r="B37" s="2626">
        <v>720.2</v>
      </c>
      <c r="C37" s="2627" t="s">
        <v>1403</v>
      </c>
      <c r="D37" s="2291"/>
      <c r="E37" s="2471">
        <v>2314080</v>
      </c>
      <c r="F37" s="2471">
        <v>0</v>
      </c>
      <c r="G37" s="2471">
        <v>0</v>
      </c>
      <c r="H37" s="2471">
        <v>0</v>
      </c>
      <c r="I37" s="2471">
        <v>2314080</v>
      </c>
      <c r="J37" s="1785" t="s">
        <v>1153</v>
      </c>
    </row>
    <row r="38" spans="1:10" ht="37.5" customHeight="1">
      <c r="A38" s="1782">
        <v>287326</v>
      </c>
      <c r="B38" s="2626">
        <v>720.5</v>
      </c>
      <c r="C38" s="2627" t="s">
        <v>1837</v>
      </c>
      <c r="D38" s="2291"/>
      <c r="E38" s="2471">
        <v>308679</v>
      </c>
      <c r="F38" s="2471">
        <v>0</v>
      </c>
      <c r="G38" s="2471">
        <v>0</v>
      </c>
      <c r="H38" s="2471">
        <v>0</v>
      </c>
      <c r="I38" s="2471">
        <v>308679</v>
      </c>
      <c r="J38" s="2465" t="s">
        <v>1836</v>
      </c>
    </row>
    <row r="39" spans="1:10" ht="27" customHeight="1">
      <c r="A39" s="1782">
        <v>287327</v>
      </c>
      <c r="B39" s="2626">
        <v>720.3</v>
      </c>
      <c r="C39" s="2627" t="s">
        <v>1404</v>
      </c>
      <c r="D39" s="2291"/>
      <c r="E39" s="2471">
        <v>453758</v>
      </c>
      <c r="F39" s="2471">
        <v>453758</v>
      </c>
      <c r="G39" s="2471">
        <v>0</v>
      </c>
      <c r="H39" s="2471">
        <v>0</v>
      </c>
      <c r="I39" s="2471">
        <v>0</v>
      </c>
      <c r="J39" s="1785" t="s">
        <v>1154</v>
      </c>
    </row>
    <row r="40" spans="1:10" ht="25.5">
      <c r="A40" s="1782">
        <v>287332</v>
      </c>
      <c r="B40" s="2626">
        <v>505.6</v>
      </c>
      <c r="C40" s="2627" t="s">
        <v>1835</v>
      </c>
      <c r="D40" s="2291"/>
      <c r="E40" s="2471">
        <v>6397824</v>
      </c>
      <c r="F40" s="2471">
        <v>0</v>
      </c>
      <c r="G40" s="2471">
        <v>0</v>
      </c>
      <c r="H40" s="2471">
        <v>0</v>
      </c>
      <c r="I40" s="2471">
        <v>6397824</v>
      </c>
      <c r="J40" s="2465" t="s">
        <v>1834</v>
      </c>
    </row>
    <row r="41" spans="1:10" ht="24.75" customHeight="1">
      <c r="A41" s="1782">
        <v>287373</v>
      </c>
      <c r="B41" s="2626">
        <v>910.58</v>
      </c>
      <c r="C41" s="2627" t="s">
        <v>1405</v>
      </c>
      <c r="D41" s="2291"/>
      <c r="E41" s="2471">
        <v>702502</v>
      </c>
      <c r="F41" s="2471">
        <v>0</v>
      </c>
      <c r="G41" s="2471">
        <v>0</v>
      </c>
      <c r="H41" s="2471">
        <v>0</v>
      </c>
      <c r="I41" s="2471">
        <v>702502</v>
      </c>
      <c r="J41" s="1785" t="s">
        <v>1198</v>
      </c>
    </row>
    <row r="42" spans="1:10" ht="26.25" customHeight="1">
      <c r="A42" s="1782">
        <v>287399</v>
      </c>
      <c r="B42" s="2626">
        <v>920.15</v>
      </c>
      <c r="C42" s="2627" t="s">
        <v>1406</v>
      </c>
      <c r="D42" s="2291"/>
      <c r="E42" s="2471">
        <v>6718941</v>
      </c>
      <c r="F42" s="2471">
        <v>0</v>
      </c>
      <c r="G42" s="2471">
        <v>0</v>
      </c>
      <c r="H42" s="2471">
        <v>0</v>
      </c>
      <c r="I42" s="2471">
        <v>6718941</v>
      </c>
      <c r="J42" s="1785" t="s">
        <v>1200</v>
      </c>
    </row>
    <row r="43" spans="1:10" ht="25.5">
      <c r="A43" s="1782">
        <v>287413</v>
      </c>
      <c r="B43" s="2626">
        <v>720.55</v>
      </c>
      <c r="C43" s="2627" t="s">
        <v>556</v>
      </c>
      <c r="D43" s="2291"/>
      <c r="E43" s="2471">
        <v>0</v>
      </c>
      <c r="F43" s="2471">
        <v>0</v>
      </c>
      <c r="G43" s="2471">
        <v>0</v>
      </c>
      <c r="H43" s="2471">
        <v>0</v>
      </c>
      <c r="I43" s="2471">
        <v>0</v>
      </c>
      <c r="J43" s="1785" t="s">
        <v>1155</v>
      </c>
    </row>
    <row r="44" spans="1:10" ht="51">
      <c r="A44" s="1782">
        <v>287447</v>
      </c>
      <c r="B44" s="2626">
        <v>720.83</v>
      </c>
      <c r="C44" s="2627" t="s">
        <v>1407</v>
      </c>
      <c r="D44" s="2291"/>
      <c r="E44" s="2471">
        <v>2601508</v>
      </c>
      <c r="F44" s="2471">
        <v>0</v>
      </c>
      <c r="G44" s="2471">
        <v>0</v>
      </c>
      <c r="H44" s="2471">
        <v>0</v>
      </c>
      <c r="I44" s="2471">
        <v>2601508</v>
      </c>
      <c r="J44" s="1785" t="s">
        <v>2050</v>
      </c>
    </row>
    <row r="45" spans="1:10" ht="12.75">
      <c r="A45" s="1782">
        <v>287460</v>
      </c>
      <c r="B45" s="2626">
        <v>720.8</v>
      </c>
      <c r="C45" s="2628" t="s">
        <v>557</v>
      </c>
      <c r="D45" s="2291"/>
      <c r="E45" s="2471">
        <v>20233243</v>
      </c>
      <c r="F45" s="2471">
        <v>20233243</v>
      </c>
      <c r="G45" s="2471">
        <v>0</v>
      </c>
      <c r="H45" s="2471">
        <v>0</v>
      </c>
      <c r="I45" s="2471">
        <v>0</v>
      </c>
      <c r="J45" s="1785" t="s">
        <v>1156</v>
      </c>
    </row>
    <row r="46" spans="1:10" ht="24.75" customHeight="1">
      <c r="A46" s="1782">
        <v>287461</v>
      </c>
      <c r="B46" s="2626">
        <v>720.81</v>
      </c>
      <c r="C46" s="2627" t="s">
        <v>558</v>
      </c>
      <c r="D46" s="2291"/>
      <c r="E46" s="2471">
        <v>0</v>
      </c>
      <c r="F46" s="2471">
        <v>0</v>
      </c>
      <c r="G46" s="2471">
        <v>0</v>
      </c>
      <c r="H46" s="2471">
        <v>0</v>
      </c>
      <c r="I46" s="2471">
        <v>0</v>
      </c>
      <c r="J46" s="1785" t="s">
        <v>1157</v>
      </c>
    </row>
    <row r="47" spans="1:10" ht="25.5">
      <c r="A47" s="1782">
        <v>287462</v>
      </c>
      <c r="B47" s="2626">
        <v>720.82</v>
      </c>
      <c r="C47" s="2627" t="s">
        <v>559</v>
      </c>
      <c r="D47" s="2291"/>
      <c r="E47" s="2472">
        <v>14177325</v>
      </c>
      <c r="F47" s="2472">
        <v>14177325</v>
      </c>
      <c r="G47" s="2472">
        <v>0</v>
      </c>
      <c r="H47" s="2166">
        <v>0</v>
      </c>
      <c r="I47" s="2472">
        <v>0</v>
      </c>
      <c r="J47" s="1785" t="s">
        <v>1158</v>
      </c>
    </row>
    <row r="48" spans="1:10" ht="12.75">
      <c r="A48" s="1779" t="s">
        <v>437</v>
      </c>
      <c r="B48" s="2461"/>
      <c r="C48" s="2462"/>
      <c r="D48" s="2291"/>
      <c r="E48" s="2167">
        <v>0</v>
      </c>
      <c r="F48" s="2167">
        <v>0</v>
      </c>
      <c r="G48" s="2167">
        <v>0</v>
      </c>
      <c r="H48" s="2167">
        <v>0</v>
      </c>
      <c r="I48" s="2167">
        <v>0</v>
      </c>
      <c r="J48" s="1785"/>
    </row>
    <row r="49" spans="1:10" ht="38.25" customHeight="1">
      <c r="A49" s="1782">
        <v>287336</v>
      </c>
      <c r="B49" s="2626">
        <v>730.12</v>
      </c>
      <c r="C49" s="2462" t="s">
        <v>1408</v>
      </c>
      <c r="D49" s="2291"/>
      <c r="E49" s="2167">
        <v>25620787</v>
      </c>
      <c r="F49" s="2471">
        <v>25620787</v>
      </c>
      <c r="G49" s="2471">
        <v>0</v>
      </c>
      <c r="H49" s="2471">
        <v>0</v>
      </c>
      <c r="I49" s="2471">
        <v>0</v>
      </c>
      <c r="J49" s="1785" t="s">
        <v>1159</v>
      </c>
    </row>
    <row r="50" spans="1:10" ht="25.5">
      <c r="A50" s="1782">
        <v>287249</v>
      </c>
      <c r="B50" s="2626">
        <v>415.839</v>
      </c>
      <c r="C50" s="2462" t="s">
        <v>1409</v>
      </c>
      <c r="D50" s="2291"/>
      <c r="E50" s="2167">
        <v>22730808</v>
      </c>
      <c r="F50" s="2471">
        <v>22730808</v>
      </c>
      <c r="G50" s="2471">
        <v>0</v>
      </c>
      <c r="H50" s="2471">
        <v>0</v>
      </c>
      <c r="I50" s="2471">
        <v>0</v>
      </c>
      <c r="J50" s="1785" t="s">
        <v>1181</v>
      </c>
    </row>
    <row r="51" spans="1:10" ht="12.75">
      <c r="A51" s="1779" t="s">
        <v>560</v>
      </c>
      <c r="B51" s="2461"/>
      <c r="C51" s="2462"/>
      <c r="D51" s="2291"/>
      <c r="E51" s="2167">
        <v>0</v>
      </c>
      <c r="F51" s="2167">
        <v>0</v>
      </c>
      <c r="G51" s="2167">
        <v>0</v>
      </c>
      <c r="H51" s="2167">
        <v>0</v>
      </c>
      <c r="I51" s="2167">
        <v>0</v>
      </c>
      <c r="J51" s="1785"/>
    </row>
    <row r="52" spans="1:10" ht="53.25" customHeight="1">
      <c r="A52" s="1782">
        <v>287188</v>
      </c>
      <c r="B52" s="2626" t="s">
        <v>2035</v>
      </c>
      <c r="C52" s="2462" t="s">
        <v>2036</v>
      </c>
      <c r="D52" s="2291"/>
      <c r="E52" s="2167">
        <v>462646929</v>
      </c>
      <c r="F52" s="2471">
        <v>462646929</v>
      </c>
      <c r="G52" s="2471">
        <v>0</v>
      </c>
      <c r="H52" s="2471">
        <v>0</v>
      </c>
      <c r="I52" s="2471">
        <v>0</v>
      </c>
      <c r="J52" s="1785" t="s">
        <v>2051</v>
      </c>
    </row>
    <row r="53" spans="1:10" ht="51" customHeight="1">
      <c r="A53" s="1782">
        <v>287190</v>
      </c>
      <c r="B53" s="2626">
        <v>100.122</v>
      </c>
      <c r="C53" s="2629" t="s">
        <v>2037</v>
      </c>
      <c r="D53" s="2291"/>
      <c r="E53" s="2167">
        <v>3103210</v>
      </c>
      <c r="F53" s="2471">
        <v>3103210</v>
      </c>
      <c r="G53" s="2471">
        <v>0</v>
      </c>
      <c r="H53" s="2471">
        <v>0</v>
      </c>
      <c r="I53" s="2471">
        <v>0</v>
      </c>
      <c r="J53" s="1785" t="s">
        <v>2051</v>
      </c>
    </row>
    <row r="54" spans="1:10" ht="52.5" customHeight="1">
      <c r="A54" s="1782">
        <v>287191</v>
      </c>
      <c r="B54" s="2626">
        <v>705.28</v>
      </c>
      <c r="C54" s="2629" t="s">
        <v>2038</v>
      </c>
      <c r="D54" s="2291"/>
      <c r="E54" s="2167">
        <v>273573</v>
      </c>
      <c r="F54" s="2471">
        <v>273573</v>
      </c>
      <c r="G54" s="2471">
        <v>0</v>
      </c>
      <c r="H54" s="2471">
        <v>0</v>
      </c>
      <c r="I54" s="2471">
        <v>0</v>
      </c>
      <c r="J54" s="2465" t="s">
        <v>2052</v>
      </c>
    </row>
    <row r="55" spans="1:10" ht="54" customHeight="1">
      <c r="A55" s="1782">
        <v>287192</v>
      </c>
      <c r="B55" s="2626">
        <v>705.28099999999995</v>
      </c>
      <c r="C55" s="2629" t="s">
        <v>2039</v>
      </c>
      <c r="D55" s="2291"/>
      <c r="E55" s="2167">
        <v>410336</v>
      </c>
      <c r="F55" s="2471">
        <v>410336</v>
      </c>
      <c r="G55" s="2167">
        <v>0</v>
      </c>
      <c r="H55" s="2167">
        <v>0</v>
      </c>
      <c r="I55" s="2167">
        <v>0</v>
      </c>
      <c r="J55" s="2465" t="s">
        <v>2053</v>
      </c>
    </row>
    <row r="56" spans="1:10" ht="51">
      <c r="A56" s="1782">
        <v>287193</v>
      </c>
      <c r="B56" s="2626">
        <v>705.28200000000004</v>
      </c>
      <c r="C56" s="2629" t="s">
        <v>2040</v>
      </c>
      <c r="D56" s="2291"/>
      <c r="E56" s="2167">
        <v>3929552</v>
      </c>
      <c r="F56" s="2471">
        <v>3929552</v>
      </c>
      <c r="G56" s="2167">
        <v>0</v>
      </c>
      <c r="H56" s="2167">
        <v>0</v>
      </c>
      <c r="I56" s="2167">
        <v>0</v>
      </c>
      <c r="J56" s="2465" t="s">
        <v>2054</v>
      </c>
    </row>
    <row r="57" spans="1:10" ht="51">
      <c r="A57" s="1782">
        <v>287194</v>
      </c>
      <c r="B57" s="2626">
        <v>705.28300000000002</v>
      </c>
      <c r="C57" s="2629" t="s">
        <v>2041</v>
      </c>
      <c r="D57" s="2291"/>
      <c r="E57" s="2167">
        <v>7367645</v>
      </c>
      <c r="F57" s="2471">
        <v>7367645</v>
      </c>
      <c r="G57" s="2167">
        <v>0</v>
      </c>
      <c r="H57" s="2167">
        <v>0</v>
      </c>
      <c r="I57" s="2167">
        <v>0</v>
      </c>
      <c r="J57" s="2465" t="s">
        <v>2055</v>
      </c>
    </row>
    <row r="58" spans="1:10" ht="51">
      <c r="A58" s="1782">
        <v>287195</v>
      </c>
      <c r="B58" s="2626">
        <v>705.28399999999999</v>
      </c>
      <c r="C58" s="2629" t="s">
        <v>2042</v>
      </c>
      <c r="D58" s="2291"/>
      <c r="E58" s="2167">
        <v>369175</v>
      </c>
      <c r="F58" s="2471">
        <v>369175</v>
      </c>
      <c r="G58" s="2167">
        <v>0</v>
      </c>
      <c r="H58" s="2167">
        <v>0</v>
      </c>
      <c r="I58" s="2167">
        <v>0</v>
      </c>
      <c r="J58" s="2465" t="s">
        <v>2056</v>
      </c>
    </row>
    <row r="59" spans="1:10" ht="51" customHeight="1">
      <c r="A59" s="1782">
        <v>287196</v>
      </c>
      <c r="B59" s="2626">
        <v>705.28499999999997</v>
      </c>
      <c r="C59" s="2629" t="s">
        <v>2043</v>
      </c>
      <c r="D59" s="2291"/>
      <c r="E59" s="2167">
        <v>2960707</v>
      </c>
      <c r="F59" s="2471">
        <v>2960707</v>
      </c>
      <c r="G59" s="2167">
        <v>0</v>
      </c>
      <c r="H59" s="2167">
        <v>0</v>
      </c>
      <c r="I59" s="2167">
        <v>0</v>
      </c>
      <c r="J59" s="2465" t="s">
        <v>2057</v>
      </c>
    </row>
    <row r="60" spans="1:10" ht="38.25">
      <c r="A60" s="1782">
        <v>287197</v>
      </c>
      <c r="B60" s="2626">
        <v>705.28599999999994</v>
      </c>
      <c r="C60" s="2629" t="s">
        <v>2044</v>
      </c>
      <c r="D60" s="2291"/>
      <c r="E60" s="2167">
        <v>4279</v>
      </c>
      <c r="F60" s="2471">
        <v>4279</v>
      </c>
      <c r="G60" s="2167">
        <v>0</v>
      </c>
      <c r="H60" s="2167">
        <v>0</v>
      </c>
      <c r="I60" s="2167">
        <v>0</v>
      </c>
      <c r="J60" s="2465" t="s">
        <v>2058</v>
      </c>
    </row>
    <row r="61" spans="1:10" ht="25.5">
      <c r="A61" s="1782">
        <v>287198</v>
      </c>
      <c r="B61" s="2626">
        <v>320.279</v>
      </c>
      <c r="C61" s="2629" t="s">
        <v>2045</v>
      </c>
      <c r="D61" s="2291"/>
      <c r="E61" s="2167">
        <v>4531566</v>
      </c>
      <c r="F61" s="2471">
        <v>4531566</v>
      </c>
      <c r="G61" s="2167">
        <v>0</v>
      </c>
      <c r="H61" s="2167">
        <v>0</v>
      </c>
      <c r="I61" s="2167">
        <v>0</v>
      </c>
      <c r="J61" s="2465" t="s">
        <v>2059</v>
      </c>
    </row>
    <row r="62" spans="1:10" ht="26.25" customHeight="1">
      <c r="A62" s="1782">
        <v>287200</v>
      </c>
      <c r="B62" s="2626">
        <v>705.26700000000005</v>
      </c>
      <c r="C62" s="2629" t="s">
        <v>2046</v>
      </c>
      <c r="D62" s="2291"/>
      <c r="E62" s="2167">
        <v>308560</v>
      </c>
      <c r="F62" s="2471">
        <v>308560</v>
      </c>
      <c r="G62" s="2167">
        <v>0</v>
      </c>
      <c r="H62" s="2167">
        <v>0</v>
      </c>
      <c r="I62" s="2167">
        <v>0</v>
      </c>
      <c r="J62" s="1785" t="s">
        <v>2060</v>
      </c>
    </row>
    <row r="63" spans="1:10" ht="55.5" customHeight="1">
      <c r="A63" s="1782">
        <v>287206</v>
      </c>
      <c r="B63" s="2626" t="s">
        <v>1961</v>
      </c>
      <c r="C63" s="2462" t="s">
        <v>1962</v>
      </c>
      <c r="D63" s="2291"/>
      <c r="E63" s="2167">
        <v>3546078</v>
      </c>
      <c r="F63" s="2471">
        <v>3546078</v>
      </c>
      <c r="G63" s="2167">
        <v>0</v>
      </c>
      <c r="H63" s="2167">
        <v>0</v>
      </c>
      <c r="I63" s="2167">
        <v>0</v>
      </c>
      <c r="J63" s="1785" t="s">
        <v>1963</v>
      </c>
    </row>
    <row r="64" spans="1:10" ht="51">
      <c r="A64" s="1782">
        <v>287209</v>
      </c>
      <c r="B64" s="2626">
        <v>705.26599999999996</v>
      </c>
      <c r="C64" s="2462" t="s">
        <v>1964</v>
      </c>
      <c r="D64" s="2291"/>
      <c r="E64" s="2167">
        <v>134451</v>
      </c>
      <c r="F64" s="2471">
        <v>134451</v>
      </c>
      <c r="G64" s="2167">
        <v>0</v>
      </c>
      <c r="H64" s="2167">
        <v>0</v>
      </c>
      <c r="I64" s="2167">
        <v>0</v>
      </c>
      <c r="J64" s="1785" t="s">
        <v>1965</v>
      </c>
    </row>
    <row r="65" spans="1:10" ht="26.25" customHeight="1">
      <c r="A65" s="1782">
        <v>287212</v>
      </c>
      <c r="B65" s="2626">
        <v>705.245</v>
      </c>
      <c r="C65" s="2462" t="s">
        <v>1966</v>
      </c>
      <c r="D65" s="2291"/>
      <c r="E65" s="2167">
        <v>477812</v>
      </c>
      <c r="F65" s="2471">
        <v>477812</v>
      </c>
      <c r="G65" s="2167">
        <v>0</v>
      </c>
      <c r="H65" s="2167">
        <v>0</v>
      </c>
      <c r="I65" s="2167">
        <v>0</v>
      </c>
      <c r="J65" s="1785" t="s">
        <v>1967</v>
      </c>
    </row>
    <row r="66" spans="1:10" ht="51">
      <c r="A66" s="1782">
        <v>287213</v>
      </c>
      <c r="B66" s="2626">
        <v>425.38099999999997</v>
      </c>
      <c r="C66" s="2627" t="s">
        <v>1833</v>
      </c>
      <c r="D66" s="2291"/>
      <c r="E66" s="2167">
        <v>881089</v>
      </c>
      <c r="F66" s="2471">
        <v>881089</v>
      </c>
      <c r="G66" s="2167">
        <v>0</v>
      </c>
      <c r="H66" s="2167">
        <v>0</v>
      </c>
      <c r="I66" s="2167">
        <v>0</v>
      </c>
      <c r="J66" s="2466" t="s">
        <v>1711</v>
      </c>
    </row>
    <row r="67" spans="1:10" ht="25.5" customHeight="1">
      <c r="A67" s="1782">
        <v>287225</v>
      </c>
      <c r="B67" s="2626">
        <v>605.10299999999995</v>
      </c>
      <c r="C67" s="2627" t="s">
        <v>1413</v>
      </c>
      <c r="D67" s="2291"/>
      <c r="E67" s="2167">
        <v>-63596</v>
      </c>
      <c r="F67" s="2471">
        <v>-63596</v>
      </c>
      <c r="G67" s="2167">
        <v>0</v>
      </c>
      <c r="H67" s="2167">
        <v>0</v>
      </c>
      <c r="I67" s="2167">
        <v>0</v>
      </c>
      <c r="J67" s="2466" t="s">
        <v>1414</v>
      </c>
    </row>
    <row r="68" spans="1:10" ht="12.75">
      <c r="A68" s="1782">
        <v>287227</v>
      </c>
      <c r="B68" s="2626">
        <v>705.53099999999995</v>
      </c>
      <c r="C68" s="2627" t="s">
        <v>1832</v>
      </c>
      <c r="D68" s="2291"/>
      <c r="E68" s="2167">
        <v>4889497</v>
      </c>
      <c r="F68" s="2471">
        <v>4889497</v>
      </c>
      <c r="G68" s="2167">
        <v>0</v>
      </c>
      <c r="H68" s="2167">
        <v>0</v>
      </c>
      <c r="I68" s="2167">
        <v>0</v>
      </c>
      <c r="J68" s="2466" t="s">
        <v>2061</v>
      </c>
    </row>
    <row r="69" spans="1:10" ht="12.75">
      <c r="A69" s="1782">
        <v>287229</v>
      </c>
      <c r="B69" s="2626">
        <v>705.52700000000004</v>
      </c>
      <c r="C69" s="2627" t="s">
        <v>1831</v>
      </c>
      <c r="D69" s="2291"/>
      <c r="E69" s="2167">
        <v>267361</v>
      </c>
      <c r="F69" s="2471">
        <v>267361</v>
      </c>
      <c r="G69" s="2167">
        <v>0</v>
      </c>
      <c r="H69" s="2167">
        <v>0</v>
      </c>
      <c r="I69" s="2167">
        <v>0</v>
      </c>
      <c r="J69" s="2466" t="s">
        <v>2062</v>
      </c>
    </row>
    <row r="70" spans="1:10" ht="53.25" customHeight="1">
      <c r="A70" s="1782">
        <v>287230</v>
      </c>
      <c r="B70" s="2626">
        <v>705.52099999999996</v>
      </c>
      <c r="C70" s="2627" t="s">
        <v>1968</v>
      </c>
      <c r="D70" s="2291"/>
      <c r="E70" s="2167">
        <v>1942110</v>
      </c>
      <c r="F70" s="2471">
        <v>1942110</v>
      </c>
      <c r="G70" s="2167">
        <v>0</v>
      </c>
      <c r="H70" s="2167">
        <v>0</v>
      </c>
      <c r="I70" s="2167">
        <v>0</v>
      </c>
      <c r="J70" s="2466" t="s">
        <v>1969</v>
      </c>
    </row>
    <row r="71" spans="1:10" ht="12.75">
      <c r="A71" s="1782">
        <v>287231</v>
      </c>
      <c r="B71" s="2626">
        <v>705.51900000000001</v>
      </c>
      <c r="C71" s="2627" t="s">
        <v>1830</v>
      </c>
      <c r="D71" s="2291"/>
      <c r="E71" s="2167">
        <v>4528803</v>
      </c>
      <c r="F71" s="2471">
        <v>4528803</v>
      </c>
      <c r="G71" s="2167">
        <v>0</v>
      </c>
      <c r="H71" s="2167">
        <v>0</v>
      </c>
      <c r="I71" s="2167">
        <v>0</v>
      </c>
      <c r="J71" s="2466" t="s">
        <v>1829</v>
      </c>
    </row>
    <row r="72" spans="1:10" ht="51">
      <c r="A72" s="1782">
        <v>287232</v>
      </c>
      <c r="B72" s="2626">
        <v>705.51700000000005</v>
      </c>
      <c r="C72" s="2627" t="s">
        <v>1970</v>
      </c>
      <c r="D72" s="2291"/>
      <c r="E72" s="2167">
        <v>983312</v>
      </c>
      <c r="F72" s="2471">
        <v>983312</v>
      </c>
      <c r="G72" s="2167">
        <v>0</v>
      </c>
      <c r="H72" s="2167">
        <v>0</v>
      </c>
      <c r="I72" s="2167">
        <v>0</v>
      </c>
      <c r="J72" s="2466" t="s">
        <v>1971</v>
      </c>
    </row>
    <row r="73" spans="1:10" ht="40.5" customHeight="1">
      <c r="A73" s="1782">
        <v>287233</v>
      </c>
      <c r="B73" s="2626">
        <v>705.51499999999999</v>
      </c>
      <c r="C73" s="2627" t="s">
        <v>1658</v>
      </c>
      <c r="D73" s="2291"/>
      <c r="E73" s="2167">
        <v>6096788</v>
      </c>
      <c r="F73" s="2471">
        <v>6096788</v>
      </c>
      <c r="G73" s="2167">
        <v>0</v>
      </c>
      <c r="H73" s="2167">
        <v>0</v>
      </c>
      <c r="I73" s="2167">
        <v>0</v>
      </c>
      <c r="J73" s="2466" t="s">
        <v>1659</v>
      </c>
    </row>
    <row r="74" spans="1:10" ht="51" customHeight="1">
      <c r="A74" s="1782">
        <v>287237</v>
      </c>
      <c r="B74" s="2626">
        <v>705.755</v>
      </c>
      <c r="C74" s="2627" t="s">
        <v>1415</v>
      </c>
      <c r="D74" s="2291"/>
      <c r="E74" s="2167">
        <v>60836</v>
      </c>
      <c r="F74" s="2471">
        <v>60836</v>
      </c>
      <c r="G74" s="2167">
        <v>0</v>
      </c>
      <c r="H74" s="2167">
        <v>0</v>
      </c>
      <c r="I74" s="2167">
        <v>0</v>
      </c>
      <c r="J74" s="2466" t="s">
        <v>2063</v>
      </c>
    </row>
    <row r="75" spans="1:10" ht="28.5" customHeight="1">
      <c r="A75" s="1782">
        <v>287238</v>
      </c>
      <c r="B75" s="2626">
        <v>705.42</v>
      </c>
      <c r="C75" s="2627" t="s">
        <v>1828</v>
      </c>
      <c r="D75" s="2291"/>
      <c r="E75" s="2167">
        <v>575018</v>
      </c>
      <c r="F75" s="2471">
        <v>575018</v>
      </c>
      <c r="G75" s="2167">
        <v>0</v>
      </c>
      <c r="H75" s="2167">
        <v>0</v>
      </c>
      <c r="I75" s="2167">
        <v>0</v>
      </c>
      <c r="J75" s="2466" t="s">
        <v>1840</v>
      </c>
    </row>
    <row r="76" spans="1:10" ht="25.5">
      <c r="A76" s="1782">
        <v>287239</v>
      </c>
      <c r="B76" s="2626">
        <v>705.6</v>
      </c>
      <c r="C76" s="2627" t="s">
        <v>1412</v>
      </c>
      <c r="D76" s="2291"/>
      <c r="E76" s="2167">
        <v>0</v>
      </c>
      <c r="F76" s="2471">
        <v>0</v>
      </c>
      <c r="G76" s="2167">
        <v>0</v>
      </c>
      <c r="H76" s="2167">
        <v>0</v>
      </c>
      <c r="I76" s="2167">
        <v>0</v>
      </c>
      <c r="J76" s="1785" t="s">
        <v>1160</v>
      </c>
    </row>
    <row r="77" spans="1:10" ht="25.5">
      <c r="A77" s="1782">
        <v>287253</v>
      </c>
      <c r="B77" s="2626">
        <v>705.4</v>
      </c>
      <c r="C77" s="2627" t="s">
        <v>1660</v>
      </c>
      <c r="D77" s="2291"/>
      <c r="E77" s="2167">
        <v>1855152</v>
      </c>
      <c r="F77" s="2471">
        <v>1855152</v>
      </c>
      <c r="G77" s="2167">
        <v>0</v>
      </c>
      <c r="H77" s="2167">
        <v>0</v>
      </c>
      <c r="I77" s="2167">
        <v>0</v>
      </c>
      <c r="J77" s="1785" t="s">
        <v>1161</v>
      </c>
    </row>
    <row r="78" spans="1:10" ht="39" customHeight="1">
      <c r="A78" s="1782">
        <v>287255</v>
      </c>
      <c r="B78" s="2626">
        <v>705.45100000000002</v>
      </c>
      <c r="C78" s="2462" t="s">
        <v>1416</v>
      </c>
      <c r="D78" s="2291"/>
      <c r="E78" s="2167">
        <v>0</v>
      </c>
      <c r="F78" s="2471">
        <v>0</v>
      </c>
      <c r="G78" s="2167">
        <v>0</v>
      </c>
      <c r="H78" s="2167">
        <v>0</v>
      </c>
      <c r="I78" s="2167">
        <v>0</v>
      </c>
      <c r="J78" s="1785" t="s">
        <v>1162</v>
      </c>
    </row>
    <row r="79" spans="1:10" ht="25.5">
      <c r="A79" s="1782">
        <v>287257</v>
      </c>
      <c r="B79" s="2626">
        <v>705.45299999999997</v>
      </c>
      <c r="C79" s="2462" t="s">
        <v>1417</v>
      </c>
      <c r="D79" s="2291"/>
      <c r="E79" s="2167">
        <v>162916</v>
      </c>
      <c r="F79" s="2471">
        <v>162916</v>
      </c>
      <c r="G79" s="2167">
        <v>0</v>
      </c>
      <c r="H79" s="2167">
        <v>0</v>
      </c>
      <c r="I79" s="2167">
        <v>0</v>
      </c>
      <c r="J79" s="1785" t="s">
        <v>1163</v>
      </c>
    </row>
    <row r="80" spans="1:10" ht="25.5">
      <c r="A80" s="1782">
        <v>287258</v>
      </c>
      <c r="B80" s="2626">
        <v>705.45399999999995</v>
      </c>
      <c r="C80" s="2462" t="s">
        <v>1418</v>
      </c>
      <c r="D80" s="2291"/>
      <c r="E80" s="2167">
        <v>1232060</v>
      </c>
      <c r="F80" s="2471">
        <v>1232060</v>
      </c>
      <c r="G80" s="2167">
        <v>0</v>
      </c>
      <c r="H80" s="2167">
        <v>0</v>
      </c>
      <c r="I80" s="2167">
        <v>0</v>
      </c>
      <c r="J80" s="1785" t="s">
        <v>1164</v>
      </c>
    </row>
    <row r="81" spans="1:10" ht="27" customHeight="1">
      <c r="A81" s="1782">
        <v>287259</v>
      </c>
      <c r="B81" s="2626">
        <v>705.45500000000004</v>
      </c>
      <c r="C81" s="2462" t="s">
        <v>1558</v>
      </c>
      <c r="D81" s="2291"/>
      <c r="E81" s="2167">
        <v>103587</v>
      </c>
      <c r="F81" s="2471">
        <v>103587</v>
      </c>
      <c r="G81" s="2167">
        <v>0</v>
      </c>
      <c r="H81" s="2167">
        <v>0</v>
      </c>
      <c r="I81" s="2167">
        <v>0</v>
      </c>
      <c r="J81" s="1785" t="s">
        <v>1165</v>
      </c>
    </row>
    <row r="82" spans="1:10" ht="25.5">
      <c r="A82" s="1782">
        <v>287262</v>
      </c>
      <c r="B82" s="2626">
        <v>100.1</v>
      </c>
      <c r="C82" s="2462" t="s">
        <v>1419</v>
      </c>
      <c r="D82" s="2291"/>
      <c r="E82" s="2167">
        <v>671331</v>
      </c>
      <c r="F82" s="2471">
        <v>671331</v>
      </c>
      <c r="G82" s="2167">
        <v>0</v>
      </c>
      <c r="H82" s="2167">
        <v>0</v>
      </c>
      <c r="I82" s="2167">
        <v>0</v>
      </c>
      <c r="J82" s="1785" t="s">
        <v>1166</v>
      </c>
    </row>
    <row r="83" spans="1:10" ht="25.5">
      <c r="A83" s="1782">
        <v>287268</v>
      </c>
      <c r="B83" s="2626">
        <v>415.70600000000002</v>
      </c>
      <c r="C83" s="2462" t="s">
        <v>1827</v>
      </c>
      <c r="D83" s="2291"/>
      <c r="E83" s="2167">
        <v>359577</v>
      </c>
      <c r="F83" s="2471">
        <v>359577</v>
      </c>
      <c r="G83" s="2167">
        <v>0</v>
      </c>
      <c r="H83" s="2167">
        <v>0</v>
      </c>
      <c r="I83" s="2167">
        <v>0</v>
      </c>
      <c r="J83" s="1785" t="s">
        <v>1826</v>
      </c>
    </row>
    <row r="84" spans="1:10" ht="51">
      <c r="A84" s="1782">
        <v>287271</v>
      </c>
      <c r="B84" s="2626">
        <v>705.33600000000001</v>
      </c>
      <c r="C84" s="2462" t="s">
        <v>1972</v>
      </c>
      <c r="D84" s="2291"/>
      <c r="E84" s="2167">
        <v>0</v>
      </c>
      <c r="F84" s="2471">
        <v>0</v>
      </c>
      <c r="G84" s="2167">
        <v>0</v>
      </c>
      <c r="H84" s="2167">
        <v>0</v>
      </c>
      <c r="I84" s="2167">
        <v>0</v>
      </c>
      <c r="J84" s="1785" t="s">
        <v>1973</v>
      </c>
    </row>
    <row r="85" spans="1:10" ht="36.75" customHeight="1">
      <c r="A85" s="1782">
        <v>287272</v>
      </c>
      <c r="B85" s="2626">
        <v>705.33699999999999</v>
      </c>
      <c r="C85" s="2462" t="s">
        <v>1974</v>
      </c>
      <c r="D85" s="2291"/>
      <c r="E85" s="2167">
        <v>0</v>
      </c>
      <c r="F85" s="2471">
        <v>0</v>
      </c>
      <c r="G85" s="2167">
        <v>0</v>
      </c>
      <c r="H85" s="2167">
        <v>0</v>
      </c>
      <c r="I85" s="2167">
        <v>0</v>
      </c>
      <c r="J85" s="1785" t="s">
        <v>1975</v>
      </c>
    </row>
    <row r="86" spans="1:10" ht="12.75">
      <c r="A86" s="1782">
        <v>287274</v>
      </c>
      <c r="B86" s="2626">
        <v>705.26099999999997</v>
      </c>
      <c r="C86" s="2627" t="s">
        <v>1825</v>
      </c>
      <c r="D86" s="2291"/>
      <c r="E86" s="2167">
        <v>0</v>
      </c>
      <c r="F86" s="2471">
        <v>0</v>
      </c>
      <c r="G86" s="2167">
        <v>0</v>
      </c>
      <c r="H86" s="2167">
        <v>0</v>
      </c>
      <c r="I86" s="2167">
        <v>0</v>
      </c>
      <c r="J86" s="2465" t="s">
        <v>1824</v>
      </c>
    </row>
    <row r="87" spans="1:10" ht="25.5">
      <c r="A87" s="1782">
        <v>287284</v>
      </c>
      <c r="B87" s="2626">
        <v>610.14700000000005</v>
      </c>
      <c r="C87" s="2462" t="s">
        <v>1420</v>
      </c>
      <c r="D87" s="2291"/>
      <c r="E87" s="2167">
        <v>67774</v>
      </c>
      <c r="F87" s="2471">
        <v>67774</v>
      </c>
      <c r="G87" s="2167">
        <v>0</v>
      </c>
      <c r="H87" s="2167">
        <v>0</v>
      </c>
      <c r="I87" s="2167">
        <v>0</v>
      </c>
      <c r="J87" s="1785" t="s">
        <v>2065</v>
      </c>
    </row>
    <row r="88" spans="1:10" ht="25.5">
      <c r="A88" s="1782">
        <v>287288</v>
      </c>
      <c r="B88" s="2626">
        <v>415.80399999999997</v>
      </c>
      <c r="C88" s="2462" t="s">
        <v>1421</v>
      </c>
      <c r="D88" s="2291"/>
      <c r="E88" s="2167">
        <v>0</v>
      </c>
      <c r="F88" s="2471">
        <v>0</v>
      </c>
      <c r="G88" s="2167">
        <v>0</v>
      </c>
      <c r="H88" s="2167">
        <v>0</v>
      </c>
      <c r="I88" s="2167">
        <v>0</v>
      </c>
      <c r="J88" s="1785" t="s">
        <v>1167</v>
      </c>
    </row>
    <row r="89" spans="1:10" ht="39.75" customHeight="1">
      <c r="A89" s="1782">
        <v>287299</v>
      </c>
      <c r="B89" s="2626">
        <v>705.26499999999999</v>
      </c>
      <c r="C89" s="2627" t="s">
        <v>1411</v>
      </c>
      <c r="D89" s="2291"/>
      <c r="E89" s="2167">
        <v>927424</v>
      </c>
      <c r="F89" s="2471">
        <v>927424</v>
      </c>
      <c r="G89" s="2167">
        <v>0</v>
      </c>
      <c r="H89" s="2167">
        <v>0</v>
      </c>
      <c r="I89" s="2167">
        <v>0</v>
      </c>
      <c r="J89" s="2465" t="s">
        <v>1823</v>
      </c>
    </row>
    <row r="90" spans="1:10" ht="38.25">
      <c r="A90" s="1782">
        <v>287304</v>
      </c>
      <c r="B90" s="2626">
        <v>610.14599999999996</v>
      </c>
      <c r="C90" s="2462" t="s">
        <v>1422</v>
      </c>
      <c r="D90" s="2291"/>
      <c r="E90" s="2167">
        <v>-65295</v>
      </c>
      <c r="F90" s="2471">
        <v>-65295</v>
      </c>
      <c r="G90" s="2167">
        <v>0</v>
      </c>
      <c r="H90" s="2167">
        <v>0</v>
      </c>
      <c r="I90" s="2167">
        <v>0</v>
      </c>
      <c r="J90" s="1785" t="s">
        <v>1168</v>
      </c>
    </row>
    <row r="91" spans="1:10" ht="25.5">
      <c r="A91" s="1782">
        <v>287312</v>
      </c>
      <c r="B91" s="2626">
        <v>105.402</v>
      </c>
      <c r="C91" s="2462" t="s">
        <v>1423</v>
      </c>
      <c r="D91" s="2291"/>
      <c r="E91" s="2167">
        <v>396735</v>
      </c>
      <c r="F91" s="2471">
        <v>396735</v>
      </c>
      <c r="G91" s="2167">
        <v>0</v>
      </c>
      <c r="H91" s="2167">
        <v>0</v>
      </c>
      <c r="I91" s="2167">
        <v>0</v>
      </c>
      <c r="J91" s="1785" t="s">
        <v>1169</v>
      </c>
    </row>
    <row r="92" spans="1:10" ht="37.5" customHeight="1">
      <c r="A92" s="1782">
        <v>287316</v>
      </c>
      <c r="B92" s="2626">
        <v>715.72</v>
      </c>
      <c r="C92" s="2627" t="s">
        <v>1822</v>
      </c>
      <c r="D92" s="2291"/>
      <c r="E92" s="2167">
        <v>158111</v>
      </c>
      <c r="F92" s="2471">
        <v>158111</v>
      </c>
      <c r="G92" s="2167">
        <v>0</v>
      </c>
      <c r="H92" s="2167">
        <v>0</v>
      </c>
      <c r="I92" s="2167">
        <v>0</v>
      </c>
      <c r="J92" s="2465" t="s">
        <v>1821</v>
      </c>
    </row>
    <row r="93" spans="1:10" ht="37.5" customHeight="1">
      <c r="A93" s="1782">
        <v>287320</v>
      </c>
      <c r="B93" s="2626">
        <v>910.56</v>
      </c>
      <c r="C93" s="2462" t="s">
        <v>1424</v>
      </c>
      <c r="D93" s="2291"/>
      <c r="E93" s="2167">
        <v>0</v>
      </c>
      <c r="F93" s="2471">
        <v>0</v>
      </c>
      <c r="G93" s="2167">
        <v>0</v>
      </c>
      <c r="H93" s="2167">
        <v>0</v>
      </c>
      <c r="I93" s="2167">
        <v>0</v>
      </c>
      <c r="J93" s="1785" t="s">
        <v>1170</v>
      </c>
    </row>
    <row r="94" spans="1:10" ht="39" customHeight="1">
      <c r="A94" s="1782">
        <v>287374</v>
      </c>
      <c r="B94" s="2626">
        <v>100.105</v>
      </c>
      <c r="C94" s="2462" t="s">
        <v>1171</v>
      </c>
      <c r="D94" s="2291"/>
      <c r="E94" s="2167">
        <v>47527</v>
      </c>
      <c r="F94" s="2471">
        <v>47527</v>
      </c>
      <c r="G94" s="2167">
        <v>0</v>
      </c>
      <c r="H94" s="2167">
        <v>0</v>
      </c>
      <c r="I94" s="2167">
        <v>0</v>
      </c>
      <c r="J94" s="1785" t="s">
        <v>1172</v>
      </c>
    </row>
    <row r="95" spans="1:10" ht="25.5">
      <c r="A95" s="1782">
        <v>287389</v>
      </c>
      <c r="B95" s="2626">
        <v>610.14499999999998</v>
      </c>
      <c r="C95" s="2627" t="s">
        <v>1976</v>
      </c>
      <c r="D95" s="2291"/>
      <c r="E95" s="2167">
        <v>566167</v>
      </c>
      <c r="F95" s="2471">
        <v>566167</v>
      </c>
      <c r="G95" s="2167">
        <v>0</v>
      </c>
      <c r="H95" s="2167">
        <v>0</v>
      </c>
      <c r="I95" s="2167">
        <v>0</v>
      </c>
      <c r="J95" s="2466" t="s">
        <v>2065</v>
      </c>
    </row>
    <row r="96" spans="1:10" ht="39" customHeight="1">
      <c r="A96" s="1782">
        <v>287438</v>
      </c>
      <c r="B96" s="2626">
        <v>415.8</v>
      </c>
      <c r="C96" s="2462" t="s">
        <v>1425</v>
      </c>
      <c r="D96" s="2291"/>
      <c r="E96" s="2167">
        <v>0</v>
      </c>
      <c r="F96" s="2471">
        <v>0</v>
      </c>
      <c r="G96" s="2167">
        <v>0</v>
      </c>
      <c r="H96" s="2167">
        <v>0</v>
      </c>
      <c r="I96" s="2167">
        <v>0</v>
      </c>
      <c r="J96" s="1785" t="s">
        <v>1173</v>
      </c>
    </row>
    <row r="97" spans="1:10" ht="38.25" customHeight="1">
      <c r="A97" s="1782">
        <v>287439</v>
      </c>
      <c r="B97" s="2626">
        <v>415.80500000000001</v>
      </c>
      <c r="C97" s="2462" t="s">
        <v>1426</v>
      </c>
      <c r="D97" s="2291"/>
      <c r="E97" s="2167">
        <v>0</v>
      </c>
      <c r="F97" s="2471">
        <v>0</v>
      </c>
      <c r="G97" s="2167">
        <v>0</v>
      </c>
      <c r="H97" s="2167">
        <v>0</v>
      </c>
      <c r="I97" s="2167">
        <v>0</v>
      </c>
      <c r="J97" s="1785" t="s">
        <v>1174</v>
      </c>
    </row>
    <row r="98" spans="1:10" ht="38.25" customHeight="1">
      <c r="A98" s="1782">
        <v>287440</v>
      </c>
      <c r="B98" s="2626">
        <v>415.80599999999998</v>
      </c>
      <c r="C98" s="2462" t="s">
        <v>1427</v>
      </c>
      <c r="D98" s="2291"/>
      <c r="E98" s="2167">
        <v>0</v>
      </c>
      <c r="F98" s="2471">
        <v>0</v>
      </c>
      <c r="G98" s="2167">
        <v>0</v>
      </c>
      <c r="H98" s="2167">
        <v>0</v>
      </c>
      <c r="I98" s="2167">
        <v>0</v>
      </c>
      <c r="J98" s="1785" t="s">
        <v>1175</v>
      </c>
    </row>
    <row r="99" spans="1:10" ht="51">
      <c r="A99" s="1782">
        <v>287441</v>
      </c>
      <c r="B99" s="2626">
        <v>605.1</v>
      </c>
      <c r="C99" s="2462" t="s">
        <v>1428</v>
      </c>
      <c r="D99" s="2291"/>
      <c r="E99" s="2167">
        <v>1328404</v>
      </c>
      <c r="F99" s="2471">
        <v>1328404</v>
      </c>
      <c r="G99" s="2167">
        <v>0</v>
      </c>
      <c r="H99" s="2167">
        <v>0</v>
      </c>
      <c r="I99" s="2167">
        <v>0</v>
      </c>
      <c r="J99" s="1785" t="s">
        <v>1661</v>
      </c>
    </row>
    <row r="100" spans="1:10" ht="38.25">
      <c r="A100" s="1782">
        <v>287442</v>
      </c>
      <c r="B100" s="2626">
        <v>610.13499999999999</v>
      </c>
      <c r="C100" s="2462" t="s">
        <v>561</v>
      </c>
      <c r="D100" s="2291"/>
      <c r="E100" s="2167">
        <v>0</v>
      </c>
      <c r="F100" s="2471">
        <v>0</v>
      </c>
      <c r="G100" s="2167">
        <v>0</v>
      </c>
      <c r="H100" s="2167">
        <v>0</v>
      </c>
      <c r="I100" s="2167">
        <v>0</v>
      </c>
      <c r="J100" s="1785" t="s">
        <v>1176</v>
      </c>
    </row>
    <row r="101" spans="1:10" ht="38.25">
      <c r="A101" s="1782">
        <v>287445</v>
      </c>
      <c r="B101" s="2626">
        <v>610.14200000000005</v>
      </c>
      <c r="C101" s="2627" t="s">
        <v>1820</v>
      </c>
      <c r="D101" s="2291"/>
      <c r="E101" s="2167">
        <v>388079</v>
      </c>
      <c r="F101" s="2471">
        <v>388079</v>
      </c>
      <c r="G101" s="2167">
        <v>0</v>
      </c>
      <c r="H101" s="2167">
        <v>0</v>
      </c>
      <c r="I101" s="2167">
        <v>0</v>
      </c>
      <c r="J101" s="2465" t="s">
        <v>1819</v>
      </c>
    </row>
    <row r="102" spans="1:10" ht="38.25">
      <c r="A102" s="1782">
        <v>287453</v>
      </c>
      <c r="B102" s="2626">
        <v>610.14300000000003</v>
      </c>
      <c r="C102" s="2627" t="s">
        <v>1410</v>
      </c>
      <c r="D102" s="2291"/>
      <c r="E102" s="2167">
        <v>338824</v>
      </c>
      <c r="F102" s="2471">
        <v>338824</v>
      </c>
      <c r="G102" s="2167">
        <v>0</v>
      </c>
      <c r="H102" s="2167">
        <v>0</v>
      </c>
      <c r="I102" s="2167">
        <v>0</v>
      </c>
      <c r="J102" s="2465" t="s">
        <v>1819</v>
      </c>
    </row>
    <row r="103" spans="1:10" ht="51">
      <c r="A103" s="1782">
        <v>287473</v>
      </c>
      <c r="B103" s="2626">
        <v>705.27</v>
      </c>
      <c r="C103" s="2627" t="s">
        <v>1818</v>
      </c>
      <c r="D103" s="2291"/>
      <c r="E103" s="2167">
        <v>525706</v>
      </c>
      <c r="F103" s="2471">
        <v>525706</v>
      </c>
      <c r="G103" s="2167">
        <v>0</v>
      </c>
      <c r="H103" s="2167">
        <v>0</v>
      </c>
      <c r="I103" s="2167">
        <v>0</v>
      </c>
      <c r="J103" s="2465" t="s">
        <v>1813</v>
      </c>
    </row>
    <row r="104" spans="1:10" ht="51">
      <c r="A104" s="1782">
        <v>287474</v>
      </c>
      <c r="B104" s="2626">
        <v>705.27099999999996</v>
      </c>
      <c r="C104" s="2627" t="s">
        <v>1817</v>
      </c>
      <c r="D104" s="2291"/>
      <c r="E104" s="2167">
        <v>65377</v>
      </c>
      <c r="F104" s="2471">
        <v>65377</v>
      </c>
      <c r="G104" s="2167">
        <v>0</v>
      </c>
      <c r="H104" s="2167">
        <v>0</v>
      </c>
      <c r="I104" s="2167">
        <v>0</v>
      </c>
      <c r="J104" s="2465" t="s">
        <v>1813</v>
      </c>
    </row>
    <row r="105" spans="1:10" ht="51">
      <c r="A105" s="1782">
        <v>287475</v>
      </c>
      <c r="B105" s="2626">
        <v>705.27200000000005</v>
      </c>
      <c r="C105" s="2627" t="s">
        <v>1816</v>
      </c>
      <c r="D105" s="2291"/>
      <c r="E105" s="2167">
        <v>68835</v>
      </c>
      <c r="F105" s="2471">
        <v>68835</v>
      </c>
      <c r="G105" s="2167">
        <v>0</v>
      </c>
      <c r="H105" s="2167">
        <v>0</v>
      </c>
      <c r="I105" s="2167">
        <v>0</v>
      </c>
      <c r="J105" s="2465" t="s">
        <v>1813</v>
      </c>
    </row>
    <row r="106" spans="1:10" ht="51">
      <c r="A106" s="1782">
        <v>287476</v>
      </c>
      <c r="B106" s="2626">
        <v>705.27300000000002</v>
      </c>
      <c r="C106" s="2627" t="s">
        <v>1815</v>
      </c>
      <c r="D106" s="2291"/>
      <c r="E106" s="2167">
        <v>2095143</v>
      </c>
      <c r="F106" s="2471">
        <v>2095143</v>
      </c>
      <c r="G106" s="2167">
        <v>0</v>
      </c>
      <c r="H106" s="2167">
        <v>0</v>
      </c>
      <c r="I106" s="2167">
        <v>0</v>
      </c>
      <c r="J106" s="2465" t="s">
        <v>1813</v>
      </c>
    </row>
    <row r="107" spans="1:10" ht="51">
      <c r="A107" s="1782">
        <v>287477</v>
      </c>
      <c r="B107" s="2626">
        <v>705.274</v>
      </c>
      <c r="C107" s="2627" t="s">
        <v>1814</v>
      </c>
      <c r="D107" s="2291"/>
      <c r="E107" s="2167">
        <v>48231</v>
      </c>
      <c r="F107" s="2471">
        <v>48231</v>
      </c>
      <c r="G107" s="2167">
        <v>0</v>
      </c>
      <c r="H107" s="2167">
        <v>0</v>
      </c>
      <c r="I107" s="2167">
        <v>0</v>
      </c>
      <c r="J107" s="2465" t="s">
        <v>1813</v>
      </c>
    </row>
    <row r="108" spans="1:10" ht="51">
      <c r="A108" s="1782">
        <v>287478</v>
      </c>
      <c r="B108" s="2626">
        <v>705.27499999999998</v>
      </c>
      <c r="C108" s="2627" t="s">
        <v>1812</v>
      </c>
      <c r="D108" s="2291"/>
      <c r="E108" s="2167">
        <v>106242</v>
      </c>
      <c r="F108" s="2471">
        <v>106242</v>
      </c>
      <c r="G108" s="2167">
        <v>0</v>
      </c>
      <c r="H108" s="2167">
        <v>0</v>
      </c>
      <c r="I108" s="2167">
        <v>0</v>
      </c>
      <c r="J108" s="2465" t="s">
        <v>1177</v>
      </c>
    </row>
    <row r="109" spans="1:10" ht="38.25">
      <c r="A109" s="1782">
        <v>287486</v>
      </c>
      <c r="B109" s="2626">
        <v>415.92599999999999</v>
      </c>
      <c r="C109" s="2627" t="s">
        <v>1662</v>
      </c>
      <c r="D109" s="2291"/>
      <c r="E109" s="2167">
        <v>986968</v>
      </c>
      <c r="F109" s="2471">
        <v>986968</v>
      </c>
      <c r="G109" s="2167">
        <v>0</v>
      </c>
      <c r="H109" s="2167">
        <v>0</v>
      </c>
      <c r="I109" s="2167">
        <v>0</v>
      </c>
      <c r="J109" s="2465" t="s">
        <v>1663</v>
      </c>
    </row>
    <row r="110" spans="1:10" ht="38.25">
      <c r="A110" s="1782">
        <v>287487</v>
      </c>
      <c r="B110" s="2626">
        <v>415.92700000000002</v>
      </c>
      <c r="C110" s="2462" t="s">
        <v>1662</v>
      </c>
      <c r="D110" s="2291"/>
      <c r="E110" s="2167">
        <v>-1635</v>
      </c>
      <c r="F110" s="2471">
        <v>-1635</v>
      </c>
      <c r="G110" s="2167">
        <v>0</v>
      </c>
      <c r="H110" s="2167">
        <v>0</v>
      </c>
      <c r="I110" s="2167">
        <v>0</v>
      </c>
      <c r="J110" s="1785" t="s">
        <v>1664</v>
      </c>
    </row>
    <row r="111" spans="1:10" ht="25.5">
      <c r="A111" s="1782">
        <v>287848</v>
      </c>
      <c r="B111" s="2626">
        <v>320.28100000000001</v>
      </c>
      <c r="C111" s="2462" t="s">
        <v>1746</v>
      </c>
      <c r="D111" s="2291"/>
      <c r="E111" s="2167">
        <v>-1679193</v>
      </c>
      <c r="F111" s="2167">
        <v>-1679193</v>
      </c>
      <c r="G111" s="2167">
        <v>0</v>
      </c>
      <c r="H111" s="2167">
        <v>0</v>
      </c>
      <c r="I111" s="2167">
        <v>0</v>
      </c>
      <c r="J111" s="1785" t="s">
        <v>1745</v>
      </c>
    </row>
    <row r="112" spans="1:10" ht="38.25">
      <c r="A112" s="1782">
        <v>287933</v>
      </c>
      <c r="B112" s="2626">
        <v>320.28199999999998</v>
      </c>
      <c r="C112" s="2462" t="s">
        <v>1744</v>
      </c>
      <c r="D112" s="2291"/>
      <c r="E112" s="2167">
        <v>-236285</v>
      </c>
      <c r="F112" s="2167">
        <v>-236285</v>
      </c>
      <c r="G112" s="2167">
        <v>0</v>
      </c>
      <c r="H112" s="2167">
        <v>0</v>
      </c>
      <c r="I112" s="2167">
        <v>0</v>
      </c>
      <c r="J112" s="1785" t="s">
        <v>2066</v>
      </c>
    </row>
    <row r="113" spans="1:10" ht="38.25">
      <c r="A113" s="1782">
        <v>287934</v>
      </c>
      <c r="B113" s="2626">
        <v>320.28300000000002</v>
      </c>
      <c r="C113" s="2462" t="s">
        <v>1743</v>
      </c>
      <c r="D113" s="2291"/>
      <c r="E113" s="2167">
        <v>-10938</v>
      </c>
      <c r="F113" s="2471">
        <v>-10938</v>
      </c>
      <c r="G113" s="2167">
        <v>0</v>
      </c>
      <c r="H113" s="2167">
        <v>0</v>
      </c>
      <c r="I113" s="2167">
        <v>0</v>
      </c>
      <c r="J113" s="1785" t="s">
        <v>1742</v>
      </c>
    </row>
    <row r="114" spans="1:10" ht="38.25">
      <c r="A114" s="1782">
        <v>287584</v>
      </c>
      <c r="B114" s="2626">
        <v>415.827</v>
      </c>
      <c r="C114" s="2462" t="s">
        <v>1537</v>
      </c>
      <c r="D114" s="2291"/>
      <c r="E114" s="2167">
        <v>-47460</v>
      </c>
      <c r="F114" s="2471">
        <v>-47460</v>
      </c>
      <c r="G114" s="2167">
        <v>0</v>
      </c>
      <c r="H114" s="2167">
        <v>0</v>
      </c>
      <c r="I114" s="2167">
        <v>0</v>
      </c>
      <c r="J114" s="1785" t="s">
        <v>1246</v>
      </c>
    </row>
    <row r="115" spans="1:10" ht="38.25">
      <c r="A115" s="1782">
        <v>287586</v>
      </c>
      <c r="B115" s="2626">
        <v>415.82900000000001</v>
      </c>
      <c r="C115" s="2462" t="s">
        <v>1538</v>
      </c>
      <c r="D115" s="2291"/>
      <c r="E115" s="2167">
        <v>0</v>
      </c>
      <c r="F115" s="2471">
        <v>0</v>
      </c>
      <c r="G115" s="2167">
        <v>0</v>
      </c>
      <c r="H115" s="2167">
        <v>0</v>
      </c>
      <c r="I115" s="2167">
        <v>0</v>
      </c>
      <c r="J115" s="1785" t="s">
        <v>1247</v>
      </c>
    </row>
    <row r="116" spans="1:10" s="437" customFormat="1" ht="38.25">
      <c r="A116" s="1782">
        <v>287588</v>
      </c>
      <c r="B116" s="2626">
        <v>415.83100000000002</v>
      </c>
      <c r="C116" s="2462" t="s">
        <v>1536</v>
      </c>
      <c r="D116" s="2291"/>
      <c r="E116" s="2167">
        <v>-4300</v>
      </c>
      <c r="F116" s="2167">
        <v>-4300</v>
      </c>
      <c r="G116" s="2167">
        <v>0</v>
      </c>
      <c r="H116" s="2167">
        <v>0</v>
      </c>
      <c r="I116" s="2167">
        <v>0</v>
      </c>
      <c r="J116" s="1785" t="s">
        <v>1248</v>
      </c>
    </row>
    <row r="117" spans="1:10" ht="12.75">
      <c r="A117" s="1779" t="s">
        <v>1429</v>
      </c>
      <c r="B117" s="2626"/>
      <c r="C117" s="2462"/>
      <c r="D117" s="2291"/>
      <c r="E117" s="2167">
        <v>0</v>
      </c>
      <c r="F117" s="2167">
        <v>0</v>
      </c>
      <c r="G117" s="2167">
        <v>0</v>
      </c>
      <c r="H117" s="2167">
        <v>0</v>
      </c>
      <c r="I117" s="2167">
        <v>0</v>
      </c>
      <c r="J117" s="1785"/>
    </row>
    <row r="118" spans="1:10" ht="12.75">
      <c r="A118" s="1782">
        <v>287280</v>
      </c>
      <c r="B118" s="2630" t="s">
        <v>1430</v>
      </c>
      <c r="C118" s="2462"/>
      <c r="D118" s="2291"/>
      <c r="E118" s="2167">
        <v>297073</v>
      </c>
      <c r="F118" s="2471">
        <v>297073</v>
      </c>
      <c r="G118" s="2167">
        <v>0</v>
      </c>
      <c r="H118" s="2167">
        <v>0</v>
      </c>
      <c r="I118" s="2167">
        <v>0</v>
      </c>
      <c r="J118" s="1785" t="s">
        <v>1811</v>
      </c>
    </row>
    <row r="119" spans="1:10" ht="12.75">
      <c r="A119" s="1782">
        <v>287437</v>
      </c>
      <c r="B119" s="2630" t="s">
        <v>1431</v>
      </c>
      <c r="C119" s="2462"/>
      <c r="D119" s="2291"/>
      <c r="E119" s="2167">
        <v>79251025</v>
      </c>
      <c r="F119" s="2167">
        <v>79251025</v>
      </c>
      <c r="G119" s="2167">
        <v>0</v>
      </c>
      <c r="H119" s="2167">
        <v>0</v>
      </c>
      <c r="I119" s="2167">
        <v>0</v>
      </c>
      <c r="J119" s="1785" t="s">
        <v>1810</v>
      </c>
    </row>
    <row r="120" spans="1:10" ht="25.5">
      <c r="A120" s="1782">
        <v>287449</v>
      </c>
      <c r="B120" s="2630" t="s">
        <v>1432</v>
      </c>
      <c r="C120" s="2462"/>
      <c r="D120" s="2291"/>
      <c r="E120" s="2167">
        <v>-16705101</v>
      </c>
      <c r="F120" s="2167">
        <v>-16705101</v>
      </c>
      <c r="G120" s="2167">
        <v>0</v>
      </c>
      <c r="H120" s="2167">
        <v>0</v>
      </c>
      <c r="I120" s="2167">
        <v>0</v>
      </c>
      <c r="J120" s="1785" t="s">
        <v>1809</v>
      </c>
    </row>
    <row r="121" spans="1:10" ht="25.5">
      <c r="A121" s="1782">
        <v>287371</v>
      </c>
      <c r="B121" s="2630" t="s">
        <v>1433</v>
      </c>
      <c r="C121" s="2462"/>
      <c r="D121" s="2291"/>
      <c r="E121" s="2167">
        <v>2105655</v>
      </c>
      <c r="F121" s="2471">
        <v>2105655</v>
      </c>
      <c r="G121" s="2167">
        <v>0</v>
      </c>
      <c r="H121" s="2167">
        <v>0</v>
      </c>
      <c r="I121" s="2167">
        <v>0</v>
      </c>
      <c r="J121" s="2466" t="s">
        <v>1580</v>
      </c>
    </row>
    <row r="122" spans="1:10" ht="12.75">
      <c r="A122" s="1782">
        <v>287491</v>
      </c>
      <c r="B122" s="2630" t="s">
        <v>1434</v>
      </c>
      <c r="C122" s="2462"/>
      <c r="D122" s="2291"/>
      <c r="E122" s="2167">
        <v>1970028</v>
      </c>
      <c r="F122" s="2471">
        <v>1970028</v>
      </c>
      <c r="G122" s="2167">
        <v>0</v>
      </c>
      <c r="H122" s="2167">
        <v>0</v>
      </c>
      <c r="I122" s="2167">
        <v>0</v>
      </c>
      <c r="J122" s="1785" t="s">
        <v>1808</v>
      </c>
    </row>
    <row r="123" spans="1:10" ht="25.5">
      <c r="A123" s="1782">
        <v>287497</v>
      </c>
      <c r="B123" s="2630" t="s">
        <v>1435</v>
      </c>
      <c r="C123" s="2462"/>
      <c r="D123" s="2291"/>
      <c r="E123" s="2167">
        <v>780629</v>
      </c>
      <c r="F123" s="2471">
        <v>780629</v>
      </c>
      <c r="G123" s="2167">
        <v>0</v>
      </c>
      <c r="H123" s="2167">
        <v>0</v>
      </c>
      <c r="I123" s="2167">
        <v>0</v>
      </c>
      <c r="J123" s="2466" t="s">
        <v>1581</v>
      </c>
    </row>
    <row r="124" spans="1:10" ht="12.75">
      <c r="A124" s="1782">
        <v>287494</v>
      </c>
      <c r="B124" s="2630" t="s">
        <v>1436</v>
      </c>
      <c r="C124" s="2462"/>
      <c r="D124" s="2291"/>
      <c r="E124" s="2167">
        <v>14649480</v>
      </c>
      <c r="F124" s="2471">
        <v>14649480</v>
      </c>
      <c r="G124" s="2167">
        <v>0</v>
      </c>
      <c r="H124" s="2167">
        <v>0</v>
      </c>
      <c r="I124" s="2167">
        <v>0</v>
      </c>
      <c r="J124" s="1785" t="s">
        <v>1807</v>
      </c>
    </row>
    <row r="125" spans="1:10" ht="12.75">
      <c r="A125" s="1782">
        <v>287269</v>
      </c>
      <c r="B125" s="2630" t="s">
        <v>1437</v>
      </c>
      <c r="C125" s="2462"/>
      <c r="D125" s="2291"/>
      <c r="E125" s="2167">
        <v>239545</v>
      </c>
      <c r="F125" s="2471">
        <v>239545</v>
      </c>
      <c r="G125" s="2167">
        <v>0</v>
      </c>
      <c r="H125" s="2167">
        <v>0</v>
      </c>
      <c r="I125" s="2167">
        <v>0</v>
      </c>
      <c r="J125" s="1785" t="s">
        <v>1806</v>
      </c>
    </row>
    <row r="126" spans="1:10" ht="12.75">
      <c r="A126" s="1782">
        <v>287275</v>
      </c>
      <c r="B126" s="2630" t="s">
        <v>1438</v>
      </c>
      <c r="C126" s="2462"/>
      <c r="D126" s="2291"/>
      <c r="E126" s="2167">
        <v>0</v>
      </c>
      <c r="F126" s="2471">
        <v>0</v>
      </c>
      <c r="G126" s="2167">
        <v>0</v>
      </c>
      <c r="H126" s="2167">
        <v>0</v>
      </c>
      <c r="I126" s="2167">
        <v>0</v>
      </c>
      <c r="J126" s="1785" t="s">
        <v>1805</v>
      </c>
    </row>
    <row r="127" spans="1:10" ht="12.75">
      <c r="A127" s="1782">
        <v>287281</v>
      </c>
      <c r="B127" s="2630" t="s">
        <v>1439</v>
      </c>
      <c r="C127" s="2462"/>
      <c r="D127" s="2291"/>
      <c r="E127" s="2167">
        <v>384459</v>
      </c>
      <c r="F127" s="2471">
        <v>384459</v>
      </c>
      <c r="G127" s="2167">
        <v>0</v>
      </c>
      <c r="H127" s="2167">
        <v>0</v>
      </c>
      <c r="I127" s="2167">
        <v>0</v>
      </c>
      <c r="J127" s="1785" t="s">
        <v>1804</v>
      </c>
    </row>
    <row r="128" spans="1:10" ht="12.75">
      <c r="A128" s="1779" t="s">
        <v>1440</v>
      </c>
      <c r="B128" s="2626"/>
      <c r="C128" s="2462"/>
      <c r="D128" s="2291"/>
      <c r="E128" s="2167">
        <v>0</v>
      </c>
      <c r="F128" s="2471">
        <v>0</v>
      </c>
      <c r="G128" s="2167">
        <v>0</v>
      </c>
      <c r="H128" s="2167">
        <v>0</v>
      </c>
      <c r="I128" s="2167">
        <v>0</v>
      </c>
      <c r="J128" s="1785"/>
    </row>
    <row r="129" spans="1:10" ht="25.5">
      <c r="A129" s="1782">
        <v>287970</v>
      </c>
      <c r="B129" s="2630">
        <v>415.815</v>
      </c>
      <c r="C129" s="2627" t="s">
        <v>1803</v>
      </c>
      <c r="D129" s="2291"/>
      <c r="E129" s="2167">
        <v>-632412</v>
      </c>
      <c r="F129" s="2471">
        <v>-632412</v>
      </c>
      <c r="G129" s="2167">
        <v>0</v>
      </c>
      <c r="H129" s="2167">
        <v>0</v>
      </c>
      <c r="I129" s="2167">
        <v>0</v>
      </c>
      <c r="J129" s="1785" t="s">
        <v>1665</v>
      </c>
    </row>
    <row r="130" spans="1:10" ht="12.75">
      <c r="A130" s="1782">
        <v>287498</v>
      </c>
      <c r="B130" s="2630">
        <v>425.14</v>
      </c>
      <c r="C130" s="2462" t="s">
        <v>1441</v>
      </c>
      <c r="D130" s="2291"/>
      <c r="E130" s="2167">
        <v>0</v>
      </c>
      <c r="F130" s="2471">
        <v>0</v>
      </c>
      <c r="G130" s="2167">
        <v>0</v>
      </c>
      <c r="H130" s="2167">
        <v>0</v>
      </c>
      <c r="I130" s="2167">
        <v>0</v>
      </c>
      <c r="J130" s="1785" t="s">
        <v>1205</v>
      </c>
    </row>
    <row r="131" spans="1:10" ht="25.5">
      <c r="A131" s="1782">
        <v>287341</v>
      </c>
      <c r="B131" s="2630">
        <v>910.53</v>
      </c>
      <c r="C131" s="2462" t="s">
        <v>1442</v>
      </c>
      <c r="D131" s="2291"/>
      <c r="E131" s="2167">
        <v>2097050</v>
      </c>
      <c r="F131" s="2471">
        <v>2097050</v>
      </c>
      <c r="G131" s="2167">
        <v>0</v>
      </c>
      <c r="H131" s="2167">
        <v>0</v>
      </c>
      <c r="I131" s="2167">
        <v>0</v>
      </c>
      <c r="J131" s="1785" t="s">
        <v>1190</v>
      </c>
    </row>
    <row r="132" spans="1:10" ht="12.75">
      <c r="A132" s="1779" t="s">
        <v>1443</v>
      </c>
      <c r="B132" s="2626"/>
      <c r="C132" s="2462"/>
      <c r="D132" s="2291"/>
      <c r="E132" s="2167">
        <v>0</v>
      </c>
      <c r="F132" s="2471">
        <v>0</v>
      </c>
      <c r="G132" s="2167">
        <v>0</v>
      </c>
      <c r="H132" s="2167">
        <v>0</v>
      </c>
      <c r="I132" s="2167">
        <v>0</v>
      </c>
      <c r="J132" s="1785"/>
    </row>
    <row r="133" spans="1:10" ht="25.5">
      <c r="A133" s="1782">
        <v>287339</v>
      </c>
      <c r="B133" s="2630">
        <v>105.4</v>
      </c>
      <c r="C133" s="2462" t="s">
        <v>565</v>
      </c>
      <c r="D133" s="2291"/>
      <c r="E133" s="2167">
        <v>49995035</v>
      </c>
      <c r="F133" s="2471">
        <v>49995035</v>
      </c>
      <c r="G133" s="2167">
        <v>0</v>
      </c>
      <c r="H133" s="2167">
        <v>0</v>
      </c>
      <c r="I133" s="2167">
        <v>0</v>
      </c>
      <c r="J133" s="1785" t="s">
        <v>1189</v>
      </c>
    </row>
    <row r="134" spans="1:10" ht="12.75">
      <c r="A134" s="1779" t="s">
        <v>562</v>
      </c>
      <c r="B134" s="2461"/>
      <c r="C134" s="2462"/>
      <c r="D134" s="2291"/>
      <c r="E134" s="2167">
        <v>0</v>
      </c>
      <c r="F134" s="2471">
        <v>0</v>
      </c>
      <c r="G134" s="2167">
        <v>0</v>
      </c>
      <c r="H134" s="2167">
        <v>0</v>
      </c>
      <c r="I134" s="2167">
        <v>0</v>
      </c>
      <c r="J134" s="1785"/>
    </row>
    <row r="135" spans="1:10" ht="25.5">
      <c r="A135" s="1782">
        <v>287100</v>
      </c>
      <c r="B135" s="2629" t="s">
        <v>563</v>
      </c>
      <c r="C135" s="2462" t="s">
        <v>2047</v>
      </c>
      <c r="D135" s="2291"/>
      <c r="E135" s="2167">
        <v>-15159758</v>
      </c>
      <c r="F135" s="2471">
        <v>-15159758</v>
      </c>
      <c r="G135" s="2167">
        <v>0</v>
      </c>
      <c r="H135" s="2167">
        <v>0</v>
      </c>
      <c r="I135" s="2167">
        <v>0</v>
      </c>
      <c r="J135" s="1785" t="s">
        <v>2067</v>
      </c>
    </row>
    <row r="136" spans="1:10" ht="25.5" customHeight="1">
      <c r="A136" s="1782">
        <v>287199</v>
      </c>
      <c r="B136" s="2626">
        <v>220.101</v>
      </c>
      <c r="C136" s="2629" t="s">
        <v>2048</v>
      </c>
      <c r="D136" s="2291"/>
      <c r="E136" s="2167">
        <v>-230518</v>
      </c>
      <c r="F136" s="2471">
        <v>-230518</v>
      </c>
      <c r="G136" s="2167">
        <v>0</v>
      </c>
      <c r="H136" s="2167">
        <v>0</v>
      </c>
      <c r="I136" s="2167">
        <v>0</v>
      </c>
      <c r="J136" s="1785" t="s">
        <v>2068</v>
      </c>
    </row>
    <row r="137" spans="1:10" ht="12.75">
      <c r="A137" s="1782">
        <v>287210</v>
      </c>
      <c r="B137" s="2626">
        <v>505.11500000000001</v>
      </c>
      <c r="C137" s="2627" t="s">
        <v>1802</v>
      </c>
      <c r="D137" s="2291"/>
      <c r="E137" s="2167">
        <v>61707</v>
      </c>
      <c r="F137" s="2471">
        <v>61707</v>
      </c>
      <c r="G137" s="2167">
        <v>0</v>
      </c>
      <c r="H137" s="2167">
        <v>0</v>
      </c>
      <c r="I137" s="2167">
        <v>0</v>
      </c>
      <c r="J137" s="2465" t="s">
        <v>1801</v>
      </c>
    </row>
    <row r="138" spans="1:10" ht="12.75">
      <c r="A138" s="1782">
        <v>287211</v>
      </c>
      <c r="B138" s="2626">
        <v>425.226</v>
      </c>
      <c r="C138" s="2627" t="s">
        <v>1800</v>
      </c>
      <c r="D138" s="2291"/>
      <c r="E138" s="2167">
        <v>116334</v>
      </c>
      <c r="F138" s="2471">
        <v>116334</v>
      </c>
      <c r="G138" s="2167">
        <v>0</v>
      </c>
      <c r="H138" s="2167">
        <v>0</v>
      </c>
      <c r="I138" s="2167">
        <v>0</v>
      </c>
      <c r="J138" s="2465" t="s">
        <v>1799</v>
      </c>
    </row>
    <row r="139" spans="1:10" ht="12.75">
      <c r="A139" s="1782">
        <v>287214</v>
      </c>
      <c r="B139" s="2626">
        <v>910.245</v>
      </c>
      <c r="C139" s="2627" t="s">
        <v>1798</v>
      </c>
      <c r="D139" s="2291"/>
      <c r="E139" s="2167">
        <v>455563</v>
      </c>
      <c r="F139" s="2471">
        <v>455563</v>
      </c>
      <c r="G139" s="2167">
        <v>0</v>
      </c>
      <c r="H139" s="2167">
        <v>0</v>
      </c>
      <c r="I139" s="2167">
        <v>0</v>
      </c>
      <c r="J139" s="2465" t="s">
        <v>1797</v>
      </c>
    </row>
    <row r="140" spans="1:10" ht="12.75">
      <c r="A140" s="1782">
        <v>287216</v>
      </c>
      <c r="B140" s="2626">
        <v>605.71500000000003</v>
      </c>
      <c r="C140" s="2627" t="s">
        <v>1796</v>
      </c>
      <c r="D140" s="2291"/>
      <c r="E140" s="2167">
        <v>1498688</v>
      </c>
      <c r="F140" s="2471">
        <v>1498688</v>
      </c>
      <c r="G140" s="2167">
        <v>0</v>
      </c>
      <c r="H140" s="2167">
        <v>0</v>
      </c>
      <c r="I140" s="2167">
        <v>0</v>
      </c>
      <c r="J140" s="2465" t="s">
        <v>1795</v>
      </c>
    </row>
    <row r="141" spans="1:10" ht="12.75">
      <c r="A141" s="1782">
        <v>287217</v>
      </c>
      <c r="B141" s="2626">
        <v>910.93700000000001</v>
      </c>
      <c r="C141" s="2627" t="s">
        <v>1794</v>
      </c>
      <c r="D141" s="2291"/>
      <c r="E141" s="2167">
        <v>0</v>
      </c>
      <c r="F141" s="2471">
        <v>0</v>
      </c>
      <c r="G141" s="2167">
        <v>0</v>
      </c>
      <c r="H141" s="2167">
        <v>0</v>
      </c>
      <c r="I141" s="2167">
        <v>0</v>
      </c>
      <c r="J141" s="2465" t="s">
        <v>1793</v>
      </c>
    </row>
    <row r="142" spans="1:10" ht="25.5">
      <c r="A142" s="1782">
        <v>287218</v>
      </c>
      <c r="B142" s="2626">
        <v>715.80499999999995</v>
      </c>
      <c r="C142" s="2627" t="s">
        <v>1792</v>
      </c>
      <c r="D142" s="2291"/>
      <c r="E142" s="2167">
        <v>0</v>
      </c>
      <c r="F142" s="2471">
        <v>0</v>
      </c>
      <c r="G142" s="2167">
        <v>0</v>
      </c>
      <c r="H142" s="2167">
        <v>0</v>
      </c>
      <c r="I142" s="2167">
        <v>0</v>
      </c>
      <c r="J142" s="2465" t="s">
        <v>1781</v>
      </c>
    </row>
    <row r="143" spans="1:10" ht="25.5">
      <c r="A143" s="1782">
        <v>287219</v>
      </c>
      <c r="B143" s="2626">
        <v>715.81</v>
      </c>
      <c r="C143" s="2627" t="s">
        <v>1791</v>
      </c>
      <c r="D143" s="2291"/>
      <c r="E143" s="2167">
        <v>185519</v>
      </c>
      <c r="F143" s="2471">
        <v>185519</v>
      </c>
      <c r="G143" s="2167">
        <v>0</v>
      </c>
      <c r="H143" s="2167">
        <v>0</v>
      </c>
      <c r="I143" s="2167">
        <v>0</v>
      </c>
      <c r="J143" s="2465" t="s">
        <v>1783</v>
      </c>
    </row>
    <row r="144" spans="1:10" ht="25.5">
      <c r="A144" s="1782">
        <v>287240</v>
      </c>
      <c r="B144" s="2626">
        <v>605.30100000000004</v>
      </c>
      <c r="C144" s="2462" t="s">
        <v>1449</v>
      </c>
      <c r="D144" s="2291"/>
      <c r="E144" s="2167">
        <v>12859705</v>
      </c>
      <c r="F144" s="2471">
        <v>12859705</v>
      </c>
      <c r="G144" s="2167">
        <v>0</v>
      </c>
      <c r="H144" s="2167">
        <v>0</v>
      </c>
      <c r="I144" s="2167">
        <v>0</v>
      </c>
      <c r="J144" s="2465" t="s">
        <v>1179</v>
      </c>
    </row>
    <row r="145" spans="1:10" ht="25.5">
      <c r="A145" s="1782">
        <v>287241</v>
      </c>
      <c r="B145" s="2626">
        <v>605.30200000000002</v>
      </c>
      <c r="C145" s="2462" t="s">
        <v>1450</v>
      </c>
      <c r="D145" s="2291"/>
      <c r="E145" s="2167">
        <v>665397</v>
      </c>
      <c r="F145" s="2471">
        <v>665397</v>
      </c>
      <c r="G145" s="2167">
        <v>0</v>
      </c>
      <c r="H145" s="2167">
        <v>0</v>
      </c>
      <c r="I145" s="2167">
        <v>0</v>
      </c>
      <c r="J145" s="1785" t="s">
        <v>1180</v>
      </c>
    </row>
    <row r="146" spans="1:10" ht="25.5">
      <c r="A146" s="1782">
        <v>287270</v>
      </c>
      <c r="B146" s="2626" t="s">
        <v>563</v>
      </c>
      <c r="C146" s="2627" t="s">
        <v>1790</v>
      </c>
      <c r="D146" s="2291"/>
      <c r="E146" s="2167">
        <v>-923918</v>
      </c>
      <c r="F146" s="2471">
        <v>-923918</v>
      </c>
      <c r="G146" s="2167">
        <v>0</v>
      </c>
      <c r="H146" s="2167">
        <v>0</v>
      </c>
      <c r="I146" s="2167">
        <v>0</v>
      </c>
      <c r="J146" s="2465" t="s">
        <v>1789</v>
      </c>
    </row>
    <row r="147" spans="1:10" ht="51">
      <c r="A147" s="1782">
        <v>287289</v>
      </c>
      <c r="B147" s="2626">
        <v>425.13</v>
      </c>
      <c r="C147" s="2462" t="s">
        <v>1451</v>
      </c>
      <c r="D147" s="2291"/>
      <c r="E147" s="2167">
        <v>0</v>
      </c>
      <c r="F147" s="2471">
        <v>0</v>
      </c>
      <c r="G147" s="2167">
        <v>0</v>
      </c>
      <c r="H147" s="2167">
        <v>0</v>
      </c>
      <c r="I147" s="2167">
        <v>0</v>
      </c>
      <c r="J147" s="1785" t="s">
        <v>1182</v>
      </c>
    </row>
    <row r="148" spans="1:10" ht="26.25" customHeight="1">
      <c r="A148" s="1782">
        <v>287290</v>
      </c>
      <c r="B148" s="2626">
        <v>425.15</v>
      </c>
      <c r="C148" s="2462" t="s">
        <v>1452</v>
      </c>
      <c r="D148" s="2291"/>
      <c r="E148" s="2167">
        <v>262443</v>
      </c>
      <c r="F148" s="2471">
        <v>262443</v>
      </c>
      <c r="G148" s="2167">
        <v>0</v>
      </c>
      <c r="H148" s="2167">
        <v>0</v>
      </c>
      <c r="I148" s="2167">
        <v>0</v>
      </c>
      <c r="J148" s="1785" t="s">
        <v>1183</v>
      </c>
    </row>
    <row r="149" spans="1:10" ht="63.75">
      <c r="A149" s="1782">
        <v>287297</v>
      </c>
      <c r="B149" s="2626">
        <v>505.15499999999997</v>
      </c>
      <c r="C149" s="2462" t="s">
        <v>564</v>
      </c>
      <c r="D149" s="2291"/>
      <c r="E149" s="2167">
        <v>0</v>
      </c>
      <c r="F149" s="2471">
        <v>0</v>
      </c>
      <c r="G149" s="2167">
        <v>0</v>
      </c>
      <c r="H149" s="2167">
        <v>0</v>
      </c>
      <c r="I149" s="2167">
        <v>0</v>
      </c>
      <c r="J149" s="1785" t="s">
        <v>1184</v>
      </c>
    </row>
    <row r="150" spans="1:10" ht="24.75" customHeight="1">
      <c r="A150" s="1782">
        <v>287298</v>
      </c>
      <c r="B150" s="2626">
        <v>205.21</v>
      </c>
      <c r="C150" s="2462" t="s">
        <v>1453</v>
      </c>
      <c r="D150" s="2291"/>
      <c r="E150" s="2167">
        <v>501567</v>
      </c>
      <c r="F150" s="2471">
        <v>501567</v>
      </c>
      <c r="G150" s="2167">
        <v>0</v>
      </c>
      <c r="H150" s="2167">
        <v>0</v>
      </c>
      <c r="I150" s="2167">
        <v>0</v>
      </c>
      <c r="J150" s="2465" t="s">
        <v>2069</v>
      </c>
    </row>
    <row r="151" spans="1:10" ht="15" customHeight="1">
      <c r="A151" s="1782">
        <v>287321</v>
      </c>
      <c r="B151" s="2626">
        <v>100.1</v>
      </c>
      <c r="C151" s="2462" t="s">
        <v>1185</v>
      </c>
      <c r="D151" s="2291"/>
      <c r="E151" s="2167">
        <v>2523216</v>
      </c>
      <c r="F151" s="2471">
        <v>2523216</v>
      </c>
      <c r="G151" s="2167">
        <v>0</v>
      </c>
      <c r="H151" s="2167">
        <v>0</v>
      </c>
      <c r="I151" s="2167">
        <v>0</v>
      </c>
      <c r="J151" s="1785" t="s">
        <v>1186</v>
      </c>
    </row>
    <row r="152" spans="1:10" ht="27" customHeight="1">
      <c r="A152" s="1782">
        <v>287337</v>
      </c>
      <c r="B152" s="2626">
        <v>715.10500000000002</v>
      </c>
      <c r="C152" s="2462" t="s">
        <v>1454</v>
      </c>
      <c r="D152" s="2291"/>
      <c r="E152" s="2167">
        <v>137043</v>
      </c>
      <c r="F152" s="2471">
        <v>137043</v>
      </c>
      <c r="G152" s="2167">
        <v>0</v>
      </c>
      <c r="H152" s="2167">
        <v>0</v>
      </c>
      <c r="I152" s="2167">
        <v>0</v>
      </c>
      <c r="J152" s="1785" t="s">
        <v>1187</v>
      </c>
    </row>
    <row r="153" spans="1:10" ht="51">
      <c r="A153" s="1782">
        <v>287338</v>
      </c>
      <c r="B153" s="2626">
        <v>415.11</v>
      </c>
      <c r="C153" s="2462" t="s">
        <v>1455</v>
      </c>
      <c r="D153" s="2291"/>
      <c r="E153" s="2167">
        <v>125199</v>
      </c>
      <c r="F153" s="2471">
        <v>0</v>
      </c>
      <c r="G153" s="2167">
        <v>125199</v>
      </c>
      <c r="H153" s="2167">
        <v>0</v>
      </c>
      <c r="I153" s="2167">
        <v>0</v>
      </c>
      <c r="J153" s="1785" t="s">
        <v>1188</v>
      </c>
    </row>
    <row r="154" spans="1:10" ht="25.5">
      <c r="A154" s="1782">
        <v>287340</v>
      </c>
      <c r="B154" s="2626">
        <v>220.1</v>
      </c>
      <c r="C154" s="2627" t="s">
        <v>1788</v>
      </c>
      <c r="D154" s="2291"/>
      <c r="E154" s="2167">
        <v>2768908</v>
      </c>
      <c r="F154" s="2471">
        <v>2768908</v>
      </c>
      <c r="G154" s="2167">
        <v>0</v>
      </c>
      <c r="H154" s="2167">
        <v>0</v>
      </c>
      <c r="I154" s="2167">
        <v>0</v>
      </c>
      <c r="J154" s="2465" t="s">
        <v>1787</v>
      </c>
    </row>
    <row r="155" spans="1:10" ht="25.5">
      <c r="A155" s="1782">
        <v>287343</v>
      </c>
      <c r="B155" s="2626">
        <v>415.12</v>
      </c>
      <c r="C155" s="2462" t="s">
        <v>1456</v>
      </c>
      <c r="D155" s="2291"/>
      <c r="E155" s="2167">
        <v>0</v>
      </c>
      <c r="F155" s="2471">
        <v>0</v>
      </c>
      <c r="G155" s="2167">
        <v>0</v>
      </c>
      <c r="H155" s="2167">
        <v>0</v>
      </c>
      <c r="I155" s="2167">
        <v>0</v>
      </c>
      <c r="J155" s="1785" t="s">
        <v>1191</v>
      </c>
    </row>
    <row r="156" spans="1:10" ht="38.25">
      <c r="A156" s="1782">
        <v>287344</v>
      </c>
      <c r="B156" s="2626">
        <v>715.8</v>
      </c>
      <c r="C156" s="2462" t="s">
        <v>566</v>
      </c>
      <c r="D156" s="2291"/>
      <c r="E156" s="2167">
        <v>0</v>
      </c>
      <c r="F156" s="2471">
        <v>0</v>
      </c>
      <c r="G156" s="2167">
        <v>0</v>
      </c>
      <c r="H156" s="2167">
        <v>0</v>
      </c>
      <c r="I156" s="2167">
        <v>0</v>
      </c>
      <c r="J156" s="1785" t="s">
        <v>1192</v>
      </c>
    </row>
    <row r="157" spans="1:10" ht="25.5">
      <c r="A157" s="1782">
        <v>287345</v>
      </c>
      <c r="B157" s="2626">
        <v>145.03</v>
      </c>
      <c r="C157" s="2462" t="s">
        <v>1457</v>
      </c>
      <c r="D157" s="2291"/>
      <c r="E157" s="2167">
        <v>0</v>
      </c>
      <c r="F157" s="2471">
        <v>0</v>
      </c>
      <c r="G157" s="2167">
        <v>0</v>
      </c>
      <c r="H157" s="2167">
        <v>0</v>
      </c>
      <c r="I157" s="2167">
        <v>0</v>
      </c>
      <c r="J157" s="1785" t="s">
        <v>1193</v>
      </c>
    </row>
    <row r="158" spans="1:10" ht="16.5" customHeight="1">
      <c r="A158" s="1782">
        <v>287349</v>
      </c>
      <c r="B158" s="2626">
        <v>505.1</v>
      </c>
      <c r="C158" s="2627" t="s">
        <v>1447</v>
      </c>
      <c r="D158" s="2291"/>
      <c r="E158" s="2167">
        <v>0</v>
      </c>
      <c r="F158" s="2471">
        <v>0</v>
      </c>
      <c r="G158" s="2167">
        <v>0</v>
      </c>
      <c r="H158" s="2167">
        <v>0</v>
      </c>
      <c r="I158" s="2167">
        <v>0</v>
      </c>
      <c r="J158" s="2465" t="s">
        <v>1194</v>
      </c>
    </row>
    <row r="159" spans="1:10" s="1343" customFormat="1" ht="12.75">
      <c r="A159" s="1782">
        <v>287354</v>
      </c>
      <c r="B159" s="2626">
        <v>505.15</v>
      </c>
      <c r="C159" s="2627" t="s">
        <v>1448</v>
      </c>
      <c r="D159" s="2291"/>
      <c r="E159" s="2167">
        <v>1397488</v>
      </c>
      <c r="F159" s="2471">
        <v>1397488</v>
      </c>
      <c r="G159" s="2167">
        <v>0</v>
      </c>
      <c r="H159" s="2167">
        <v>0</v>
      </c>
      <c r="I159" s="2167">
        <v>0</v>
      </c>
      <c r="J159" s="2465" t="s">
        <v>1195</v>
      </c>
    </row>
    <row r="160" spans="1:10" s="1343" customFormat="1" ht="25.5">
      <c r="A160" s="1782">
        <v>287357</v>
      </c>
      <c r="B160" s="2626">
        <v>425.2</v>
      </c>
      <c r="C160" s="2462" t="s">
        <v>1458</v>
      </c>
      <c r="D160" s="2291"/>
      <c r="E160" s="2167">
        <v>0</v>
      </c>
      <c r="F160" s="2471">
        <v>0</v>
      </c>
      <c r="G160" s="2167">
        <v>0</v>
      </c>
      <c r="H160" s="2167">
        <v>0</v>
      </c>
      <c r="I160" s="2167">
        <v>0</v>
      </c>
      <c r="J160" s="1785" t="s">
        <v>1196</v>
      </c>
    </row>
    <row r="161" spans="1:10" s="1343" customFormat="1" ht="12.75">
      <c r="A161" s="1782">
        <v>287370</v>
      </c>
      <c r="B161" s="2626">
        <v>425.21499999999997</v>
      </c>
      <c r="C161" s="2462" t="s">
        <v>1459</v>
      </c>
      <c r="D161" s="2291"/>
      <c r="E161" s="2167">
        <v>718952</v>
      </c>
      <c r="F161" s="2471">
        <v>718952</v>
      </c>
      <c r="G161" s="2167">
        <v>0</v>
      </c>
      <c r="H161" s="2167">
        <v>0</v>
      </c>
      <c r="I161" s="2167">
        <v>0</v>
      </c>
      <c r="J161" s="1785" t="s">
        <v>1197</v>
      </c>
    </row>
    <row r="162" spans="1:10" s="1343" customFormat="1" ht="25.5">
      <c r="A162" s="1782">
        <v>287391</v>
      </c>
      <c r="B162" s="2626">
        <v>425.32</v>
      </c>
      <c r="C162" s="2627" t="s">
        <v>1446</v>
      </c>
      <c r="D162" s="2291"/>
      <c r="E162" s="2167">
        <v>5984256</v>
      </c>
      <c r="F162" s="2471">
        <v>5984256</v>
      </c>
      <c r="G162" s="2167">
        <v>0</v>
      </c>
      <c r="H162" s="2167">
        <v>0</v>
      </c>
      <c r="I162" s="2167">
        <v>0</v>
      </c>
      <c r="J162" s="2465" t="s">
        <v>1786</v>
      </c>
    </row>
    <row r="163" spans="1:10" s="1343" customFormat="1" ht="25.5">
      <c r="A163" s="1782">
        <v>287392</v>
      </c>
      <c r="B163" s="2626">
        <v>425.12</v>
      </c>
      <c r="C163" s="2462" t="s">
        <v>567</v>
      </c>
      <c r="D163" s="2291"/>
      <c r="E163" s="2167">
        <v>4155425</v>
      </c>
      <c r="F163" s="2471">
        <v>4155425</v>
      </c>
      <c r="G163" s="2167">
        <v>0</v>
      </c>
      <c r="H163" s="2167">
        <v>0</v>
      </c>
      <c r="I163" s="2167">
        <v>0</v>
      </c>
      <c r="J163" s="1785" t="s">
        <v>1199</v>
      </c>
    </row>
    <row r="164" spans="1:10" s="1343" customFormat="1" ht="29.25" customHeight="1">
      <c r="A164" s="1782">
        <v>287393</v>
      </c>
      <c r="B164" s="2626">
        <v>425.11</v>
      </c>
      <c r="C164" s="2462" t="s">
        <v>1666</v>
      </c>
      <c r="D164" s="2291"/>
      <c r="E164" s="2167">
        <v>170706</v>
      </c>
      <c r="F164" s="2471">
        <v>170706</v>
      </c>
      <c r="G164" s="2167">
        <v>0</v>
      </c>
      <c r="H164" s="2167">
        <v>0</v>
      </c>
      <c r="I164" s="2167">
        <v>0</v>
      </c>
      <c r="J164" s="1785" t="s">
        <v>1667</v>
      </c>
    </row>
    <row r="165" spans="1:10" s="1343" customFormat="1" ht="25.5">
      <c r="A165" s="1782">
        <v>287415</v>
      </c>
      <c r="B165" s="2626">
        <v>205.2</v>
      </c>
      <c r="C165" s="2627" t="s">
        <v>1445</v>
      </c>
      <c r="D165" s="2291"/>
      <c r="E165" s="2167">
        <v>531678</v>
      </c>
      <c r="F165" s="2471">
        <v>531678</v>
      </c>
      <c r="G165" s="2167">
        <v>0</v>
      </c>
      <c r="H165" s="2167">
        <v>0</v>
      </c>
      <c r="I165" s="2167">
        <v>0</v>
      </c>
      <c r="J165" s="2465" t="s">
        <v>1201</v>
      </c>
    </row>
    <row r="166" spans="1:10" s="1343" customFormat="1" ht="25.5">
      <c r="A166" s="1782">
        <v>287417</v>
      </c>
      <c r="B166" s="2626">
        <v>605.71</v>
      </c>
      <c r="C166" s="2462" t="s">
        <v>568</v>
      </c>
      <c r="D166" s="2291"/>
      <c r="E166" s="2167">
        <v>2181067</v>
      </c>
      <c r="F166" s="2471">
        <v>2181067</v>
      </c>
      <c r="G166" s="2167">
        <v>0</v>
      </c>
      <c r="H166" s="2167">
        <v>0</v>
      </c>
      <c r="I166" s="2167">
        <v>0</v>
      </c>
      <c r="J166" s="1785" t="s">
        <v>1202</v>
      </c>
    </row>
    <row r="167" spans="1:10" s="1343" customFormat="1" ht="25.5">
      <c r="A167" s="1782">
        <v>287430</v>
      </c>
      <c r="B167" s="2626">
        <v>505.125</v>
      </c>
      <c r="C167" s="2627" t="s">
        <v>569</v>
      </c>
      <c r="D167" s="2291"/>
      <c r="E167" s="2167">
        <v>1345701</v>
      </c>
      <c r="F167" s="2471">
        <v>1345701</v>
      </c>
      <c r="G167" s="2167">
        <v>0</v>
      </c>
      <c r="H167" s="2167">
        <v>0</v>
      </c>
      <c r="I167" s="2167">
        <v>0</v>
      </c>
      <c r="J167" s="2465" t="s">
        <v>1785</v>
      </c>
    </row>
    <row r="168" spans="1:10" s="1343" customFormat="1" ht="27.75" customHeight="1">
      <c r="A168" s="1782">
        <v>287479</v>
      </c>
      <c r="B168" s="2626">
        <v>105.221</v>
      </c>
      <c r="C168" s="2462" t="s">
        <v>1460</v>
      </c>
      <c r="D168" s="2291"/>
      <c r="E168" s="2167">
        <v>21995603</v>
      </c>
      <c r="F168" s="2471">
        <v>21995603</v>
      </c>
      <c r="G168" s="2167">
        <v>0</v>
      </c>
      <c r="H168" s="2167">
        <v>0</v>
      </c>
      <c r="I168" s="2167">
        <v>0</v>
      </c>
      <c r="J168" s="1785" t="s">
        <v>1203</v>
      </c>
    </row>
    <row r="169" spans="1:10" s="1343" customFormat="1" ht="25.5">
      <c r="A169" s="1782">
        <v>287482</v>
      </c>
      <c r="B169" s="2626">
        <v>205.02500000000001</v>
      </c>
      <c r="C169" s="2627" t="s">
        <v>1444</v>
      </c>
      <c r="D169" s="2291"/>
      <c r="E169" s="2167">
        <v>609962</v>
      </c>
      <c r="F169" s="2471">
        <v>609962</v>
      </c>
      <c r="G169" s="2167">
        <v>0</v>
      </c>
      <c r="H169" s="2167">
        <v>0</v>
      </c>
      <c r="I169" s="2167">
        <v>0</v>
      </c>
      <c r="J169" s="2465" t="s">
        <v>1204</v>
      </c>
    </row>
    <row r="170" spans="1:10" s="1343" customFormat="1" ht="38.25">
      <c r="A170" s="1782">
        <v>287489</v>
      </c>
      <c r="B170" s="2626">
        <v>910.51499999999999</v>
      </c>
      <c r="C170" s="2462" t="s">
        <v>1461</v>
      </c>
      <c r="D170" s="2291"/>
      <c r="E170" s="2167">
        <v>49860</v>
      </c>
      <c r="F170" s="2471">
        <v>49860</v>
      </c>
      <c r="G170" s="2167">
        <v>0</v>
      </c>
      <c r="H170" s="2167">
        <v>0</v>
      </c>
      <c r="I170" s="2167">
        <v>0</v>
      </c>
      <c r="J170" s="2466" t="s">
        <v>1582</v>
      </c>
    </row>
    <row r="171" spans="1:10" s="1343" customFormat="1" ht="12.75">
      <c r="A171" s="1782">
        <v>287807</v>
      </c>
      <c r="B171" s="2626" t="s">
        <v>563</v>
      </c>
      <c r="C171" s="2462" t="s">
        <v>1462</v>
      </c>
      <c r="D171" s="2291"/>
      <c r="E171" s="2167">
        <v>408798</v>
      </c>
      <c r="F171" s="2471">
        <v>408798</v>
      </c>
      <c r="G171" s="2167">
        <v>0</v>
      </c>
      <c r="H171" s="2167">
        <v>0</v>
      </c>
      <c r="I171" s="2167">
        <v>0</v>
      </c>
      <c r="J171" s="1785" t="s">
        <v>1206</v>
      </c>
    </row>
    <row r="172" spans="1:10" s="1343" customFormat="1" ht="12.75">
      <c r="A172" s="1782">
        <v>287817</v>
      </c>
      <c r="B172" s="2626" t="s">
        <v>563</v>
      </c>
      <c r="C172" s="2462" t="s">
        <v>1463</v>
      </c>
      <c r="D172" s="2291"/>
      <c r="E172" s="2167">
        <v>579976</v>
      </c>
      <c r="F172" s="2471">
        <v>579976</v>
      </c>
      <c r="G172" s="2167">
        <v>0</v>
      </c>
      <c r="H172" s="2167">
        <v>0</v>
      </c>
      <c r="I172" s="2167">
        <v>0</v>
      </c>
      <c r="J172" s="1785" t="s">
        <v>1207</v>
      </c>
    </row>
    <row r="173" spans="1:10" s="1343" customFormat="1" ht="12.75">
      <c r="A173" s="1782">
        <v>287827</v>
      </c>
      <c r="B173" s="2626" t="s">
        <v>563</v>
      </c>
      <c r="C173" s="2462" t="s">
        <v>1464</v>
      </c>
      <c r="D173" s="2291"/>
      <c r="E173" s="2167">
        <v>88380</v>
      </c>
      <c r="F173" s="2471">
        <v>88380</v>
      </c>
      <c r="G173" s="2167">
        <v>0</v>
      </c>
      <c r="H173" s="2167">
        <v>0</v>
      </c>
      <c r="I173" s="2167">
        <v>0</v>
      </c>
      <c r="J173" s="1785" t="s">
        <v>1208</v>
      </c>
    </row>
    <row r="174" spans="1:10" s="1343" customFormat="1" ht="12.75">
      <c r="A174" s="1782">
        <v>287837</v>
      </c>
      <c r="B174" s="2626" t="s">
        <v>563</v>
      </c>
      <c r="C174" s="2462" t="s">
        <v>1465</v>
      </c>
      <c r="D174" s="2291"/>
      <c r="E174" s="2167">
        <v>125386</v>
      </c>
      <c r="F174" s="2471">
        <v>125386</v>
      </c>
      <c r="G174" s="2167">
        <v>0</v>
      </c>
      <c r="H174" s="2167">
        <v>0</v>
      </c>
      <c r="I174" s="2167">
        <v>0</v>
      </c>
      <c r="J174" s="1785" t="s">
        <v>1209</v>
      </c>
    </row>
    <row r="175" spans="1:10" s="1343" customFormat="1" ht="12.75">
      <c r="A175" s="2338" t="s">
        <v>439</v>
      </c>
      <c r="B175" s="2474"/>
      <c r="C175" s="2475"/>
      <c r="D175" s="2476"/>
      <c r="E175" s="2167">
        <v>1</v>
      </c>
      <c r="F175" s="2167">
        <f>E175</f>
        <v>1</v>
      </c>
      <c r="G175" s="2167"/>
      <c r="H175" s="2167"/>
      <c r="I175" s="2167"/>
      <c r="J175" s="2334"/>
    </row>
    <row r="176" spans="1:10" ht="12.75">
      <c r="A176" s="2313" t="s">
        <v>71</v>
      </c>
      <c r="B176" s="2477"/>
      <c r="C176" s="2474"/>
      <c r="D176" s="2478"/>
      <c r="E176" s="2306">
        <f>SUM(E32:E175)</f>
        <v>836588163</v>
      </c>
      <c r="F176" s="2306">
        <f>SUM(F32:F175)</f>
        <v>812697549</v>
      </c>
      <c r="G176" s="2306">
        <f>SUM(G32:G175)</f>
        <v>125199</v>
      </c>
      <c r="H176" s="2306">
        <f>SUM(H32:H175)</f>
        <v>0</v>
      </c>
      <c r="I176" s="2306">
        <f>SUM(I32:I175)</f>
        <v>23765415</v>
      </c>
      <c r="J176" s="2306"/>
    </row>
    <row r="177" spans="1:10" ht="12.75">
      <c r="A177" s="2339" t="s">
        <v>198</v>
      </c>
      <c r="B177" s="2340"/>
      <c r="C177" s="2322"/>
      <c r="D177" s="2323"/>
      <c r="E177" s="1786">
        <f>+E82+E94+E151+E52+E53+E54+E55+E56+E57+E58+E59+E60</f>
        <v>484307480</v>
      </c>
      <c r="F177" s="1786">
        <f>+F82+F94+F151+F52+F53+F54+F55+F56+F57+F58+F59+F60</f>
        <v>484307480</v>
      </c>
      <c r="G177" s="1786">
        <f>+G82+G94+G151</f>
        <v>0</v>
      </c>
      <c r="H177" s="1786">
        <f>+H82+H94+H151</f>
        <v>0</v>
      </c>
      <c r="I177" s="1786">
        <f>+I82+I94+I151</f>
        <v>0</v>
      </c>
      <c r="J177" s="2308"/>
    </row>
    <row r="178" spans="1:10" ht="12.75">
      <c r="A178" s="2479" t="s">
        <v>199</v>
      </c>
      <c r="B178" s="2342"/>
      <c r="C178" s="2335"/>
      <c r="D178" s="2336"/>
      <c r="E178" s="1786">
        <f>+E44</f>
        <v>2601508</v>
      </c>
      <c r="F178" s="1786">
        <f>+F44</f>
        <v>0</v>
      </c>
      <c r="G178" s="1786">
        <f>+G44</f>
        <v>0</v>
      </c>
      <c r="H178" s="1786">
        <f>+H44</f>
        <v>0</v>
      </c>
      <c r="I178" s="1786">
        <f>+I44</f>
        <v>2601508</v>
      </c>
      <c r="J178" s="2308"/>
    </row>
    <row r="179" spans="1:10" ht="12.75">
      <c r="A179" s="2313" t="s">
        <v>282</v>
      </c>
      <c r="B179" s="2477"/>
      <c r="C179" s="2474"/>
      <c r="D179" s="2478"/>
      <c r="E179" s="2306">
        <f>+E176-E177-E178</f>
        <v>349679175</v>
      </c>
      <c r="F179" s="2306">
        <f>+F176-F177-F178</f>
        <v>328390069</v>
      </c>
      <c r="G179" s="2306">
        <f>+G176-G177-G178</f>
        <v>125199</v>
      </c>
      <c r="H179" s="2306">
        <f>+H176-H177-H178</f>
        <v>0</v>
      </c>
      <c r="I179" s="2306">
        <f>+I176-I177-I178</f>
        <v>21163907</v>
      </c>
      <c r="J179" s="2308"/>
    </row>
    <row r="180" spans="1:10" ht="15">
      <c r="A180" s="2480"/>
      <c r="B180" s="2480"/>
      <c r="C180" s="2481"/>
      <c r="D180" s="2481"/>
      <c r="E180" s="1381"/>
      <c r="F180" s="2482"/>
      <c r="G180" s="1381"/>
      <c r="H180" s="2483"/>
      <c r="I180" s="2484"/>
      <c r="J180" s="2485"/>
    </row>
    <row r="181" spans="1:10">
      <c r="A181" s="2480"/>
      <c r="B181" s="2480"/>
      <c r="C181" s="2486" t="s">
        <v>64</v>
      </c>
      <c r="D181" s="2487"/>
      <c r="E181" s="2487"/>
      <c r="F181" s="2488"/>
      <c r="G181" s="2489"/>
      <c r="H181" s="2490"/>
      <c r="I181" s="2485"/>
      <c r="J181" s="1378"/>
    </row>
    <row r="182" spans="1:10">
      <c r="A182" s="2480"/>
      <c r="B182" s="2480"/>
      <c r="C182" s="2491" t="s">
        <v>132</v>
      </c>
      <c r="D182" s="2492"/>
      <c r="E182" s="2492"/>
      <c r="F182" s="2492"/>
      <c r="G182" s="2492"/>
      <c r="H182" s="2493"/>
      <c r="I182" s="2494"/>
      <c r="J182" s="1378"/>
    </row>
    <row r="183" spans="1:10">
      <c r="A183" s="2480"/>
      <c r="B183" s="2480"/>
      <c r="C183" s="2491" t="s">
        <v>133</v>
      </c>
      <c r="D183" s="1381"/>
      <c r="E183" s="1381"/>
      <c r="F183" s="1381"/>
      <c r="G183" s="2484"/>
      <c r="H183" s="2495"/>
      <c r="I183" s="2485"/>
      <c r="J183" s="1378"/>
    </row>
    <row r="184" spans="1:10">
      <c r="A184" s="2480"/>
      <c r="B184" s="2480"/>
      <c r="C184" s="2491" t="s">
        <v>262</v>
      </c>
      <c r="D184" s="1381"/>
      <c r="E184" s="1381"/>
      <c r="F184" s="1381"/>
      <c r="G184" s="2484"/>
      <c r="H184" s="2495"/>
      <c r="I184" s="2494"/>
      <c r="J184" s="1378"/>
    </row>
    <row r="185" spans="1:10">
      <c r="A185" s="2480"/>
      <c r="B185" s="2480"/>
      <c r="C185" s="2491" t="s">
        <v>264</v>
      </c>
      <c r="D185" s="1381"/>
      <c r="E185" s="1381"/>
      <c r="F185" s="1381"/>
      <c r="G185" s="2484"/>
      <c r="H185" s="2495"/>
      <c r="I185" s="2485"/>
      <c r="J185" s="1378"/>
    </row>
    <row r="186" spans="1:10">
      <c r="A186" s="2480"/>
      <c r="B186" s="2480"/>
      <c r="C186" s="2673" t="s">
        <v>18</v>
      </c>
      <c r="D186" s="2671"/>
      <c r="E186" s="2671"/>
      <c r="F186" s="2671"/>
      <c r="G186" s="2671"/>
      <c r="H186" s="2672"/>
      <c r="I186" s="2485"/>
      <c r="J186" s="1378"/>
    </row>
    <row r="187" spans="1:10">
      <c r="A187" s="2480"/>
      <c r="B187" s="2480"/>
      <c r="C187" s="2492"/>
      <c r="D187" s="2492"/>
      <c r="E187" s="2492"/>
      <c r="F187" s="2492"/>
      <c r="G187" s="2492"/>
      <c r="H187" s="2492"/>
      <c r="I187" s="2485"/>
      <c r="J187" s="1378"/>
    </row>
    <row r="188" spans="1:10" ht="15">
      <c r="A188" s="2480"/>
      <c r="B188" s="2480"/>
      <c r="C188" s="2496"/>
      <c r="D188" s="2497"/>
      <c r="E188" s="2497"/>
      <c r="F188" s="2497"/>
      <c r="G188" s="2497"/>
      <c r="H188" s="2497"/>
      <c r="I188" s="2485"/>
      <c r="J188" s="1378"/>
    </row>
    <row r="189" spans="1:10" s="1343" customFormat="1" ht="12.75">
      <c r="A189" s="1459" t="s">
        <v>365</v>
      </c>
      <c r="B189" s="1459"/>
      <c r="C189" s="2498"/>
      <c r="D189" s="2498"/>
      <c r="E189" s="2498"/>
      <c r="F189" s="2498"/>
      <c r="G189" s="2498"/>
      <c r="H189" s="2498"/>
      <c r="I189" s="2498"/>
      <c r="J189" s="2468"/>
    </row>
    <row r="190" spans="1:10" s="1343" customFormat="1" ht="12.75">
      <c r="A190" s="2499"/>
      <c r="B190" s="2499"/>
      <c r="C190" s="2500"/>
      <c r="D190" s="2501"/>
      <c r="E190" s="2501"/>
      <c r="F190" s="2501"/>
      <c r="G190" s="2501"/>
      <c r="H190" s="2501"/>
      <c r="I190" s="2501"/>
      <c r="J190" s="2468"/>
    </row>
    <row r="191" spans="1:10" s="1343" customFormat="1" ht="12.75">
      <c r="A191" s="2502" t="s">
        <v>661</v>
      </c>
      <c r="B191" s="2502"/>
      <c r="C191" s="2503"/>
      <c r="D191" s="2503"/>
      <c r="E191" s="2503"/>
      <c r="F191" s="2503"/>
      <c r="G191" s="2503"/>
      <c r="H191" s="2503"/>
      <c r="I191" s="2503"/>
      <c r="J191" s="2468"/>
    </row>
    <row r="192" spans="1:10" s="1343" customFormat="1" ht="15">
      <c r="A192" s="2504" t="s">
        <v>662</v>
      </c>
      <c r="B192" s="2505"/>
      <c r="C192" s="2501"/>
      <c r="D192" s="2501"/>
      <c r="E192" s="2501"/>
      <c r="F192" s="2501"/>
      <c r="G192" s="2501"/>
      <c r="H192" s="2501"/>
      <c r="I192" s="2501"/>
      <c r="J192" s="2468"/>
    </row>
    <row r="193" spans="1:10" s="1343" customFormat="1" ht="12.75">
      <c r="A193" s="2506"/>
      <c r="B193" s="2506"/>
      <c r="C193" s="2507" t="s">
        <v>227</v>
      </c>
      <c r="D193" s="2508"/>
      <c r="E193" s="2507" t="s">
        <v>283</v>
      </c>
      <c r="F193" s="2507" t="s">
        <v>215</v>
      </c>
      <c r="G193" s="2507" t="s">
        <v>228</v>
      </c>
      <c r="H193" s="2507" t="s">
        <v>226</v>
      </c>
      <c r="I193" s="2507" t="s">
        <v>107</v>
      </c>
      <c r="J193" s="2507" t="s">
        <v>229</v>
      </c>
    </row>
    <row r="194" spans="1:10" s="1343" customFormat="1" ht="12.75">
      <c r="A194" s="2506"/>
      <c r="B194" s="2506"/>
      <c r="C194" s="2509"/>
      <c r="D194" s="2468"/>
      <c r="E194" s="2509"/>
      <c r="F194" s="2510" t="s">
        <v>257</v>
      </c>
      <c r="G194" s="2509"/>
      <c r="H194" s="2510"/>
      <c r="I194" s="2510"/>
      <c r="J194" s="2509"/>
    </row>
    <row r="195" spans="1:10" s="1343" customFormat="1" ht="15">
      <c r="A195" s="2504"/>
      <c r="B195" s="2506"/>
      <c r="C195" s="2511"/>
      <c r="D195" s="2468"/>
      <c r="E195" s="2510" t="s">
        <v>282</v>
      </c>
      <c r="F195" s="2510" t="s">
        <v>258</v>
      </c>
      <c r="G195" s="2510" t="s">
        <v>57</v>
      </c>
      <c r="H195" s="2510" t="s">
        <v>61</v>
      </c>
      <c r="I195" s="2510" t="s">
        <v>63</v>
      </c>
      <c r="J195" s="2509"/>
    </row>
    <row r="196" spans="1:10" s="1343" customFormat="1" ht="12.75">
      <c r="A196" s="2506"/>
      <c r="B196" s="2506"/>
      <c r="C196" s="1381"/>
      <c r="D196" s="2468"/>
      <c r="E196" s="2510"/>
      <c r="F196" s="2510" t="s">
        <v>62</v>
      </c>
      <c r="G196" s="2510" t="s">
        <v>62</v>
      </c>
      <c r="H196" s="2510" t="s">
        <v>62</v>
      </c>
      <c r="I196" s="2510" t="s">
        <v>62</v>
      </c>
      <c r="J196" s="2510" t="s">
        <v>208</v>
      </c>
    </row>
    <row r="197" spans="1:10" s="1343" customFormat="1" ht="12.75">
      <c r="A197" s="2512" t="s">
        <v>572</v>
      </c>
      <c r="B197" s="2513"/>
      <c r="C197" s="2514"/>
      <c r="D197" s="2514"/>
      <c r="E197" s="2515"/>
      <c r="F197" s="2516"/>
      <c r="G197" s="2516"/>
      <c r="H197" s="2516"/>
      <c r="I197" s="2516"/>
      <c r="J197" s="2517"/>
    </row>
    <row r="198" spans="1:10" s="1343" customFormat="1" ht="12.75">
      <c r="A198" s="2315" t="s">
        <v>438</v>
      </c>
      <c r="B198" s="2518"/>
      <c r="C198" s="2519"/>
      <c r="D198" s="2519"/>
      <c r="E198" s="2520"/>
      <c r="F198" s="2521"/>
      <c r="G198" s="2521"/>
      <c r="H198" s="2521"/>
      <c r="I198" s="2521"/>
      <c r="J198" s="1830"/>
    </row>
    <row r="199" spans="1:10" s="1343" customFormat="1" ht="12.75">
      <c r="A199" s="2470">
        <v>287960</v>
      </c>
      <c r="B199" s="2294" t="s">
        <v>563</v>
      </c>
      <c r="C199" s="2297" t="s">
        <v>573</v>
      </c>
      <c r="D199" s="2291"/>
      <c r="E199" s="1806">
        <v>-185416334</v>
      </c>
      <c r="F199" s="1786">
        <f>E199</f>
        <v>-185416334</v>
      </c>
      <c r="G199" s="2167">
        <v>0</v>
      </c>
      <c r="H199" s="2167">
        <v>0</v>
      </c>
      <c r="I199" s="2167">
        <v>0</v>
      </c>
      <c r="J199" s="1807" t="s">
        <v>1466</v>
      </c>
    </row>
    <row r="200" spans="1:10" s="1343" customFormat="1" ht="12.75">
      <c r="A200" s="2522"/>
      <c r="B200" s="2294"/>
      <c r="C200" s="2297"/>
      <c r="D200" s="2291"/>
      <c r="E200" s="2168"/>
      <c r="F200" s="2168"/>
      <c r="G200" s="2168"/>
      <c r="H200" s="2168"/>
      <c r="I200" s="2168"/>
      <c r="J200" s="1807"/>
    </row>
    <row r="201" spans="1:10" s="1343" customFormat="1" ht="12.75">
      <c r="A201" s="2298" t="s">
        <v>439</v>
      </c>
      <c r="B201" s="2523"/>
      <c r="C201" s="2523"/>
      <c r="D201" s="2524"/>
      <c r="E201" s="2168"/>
      <c r="F201" s="2168"/>
      <c r="G201" s="2168"/>
      <c r="H201" s="2168"/>
      <c r="I201" s="2168"/>
      <c r="J201" s="2334"/>
    </row>
    <row r="202" spans="1:10" s="1343" customFormat="1" ht="12.75">
      <c r="A202" s="2313" t="s">
        <v>1713</v>
      </c>
      <c r="B202" s="2477"/>
      <c r="C202" s="2474"/>
      <c r="D202" s="2478"/>
      <c r="E202" s="2305">
        <f>SUM(E199:E201)</f>
        <v>-185416334</v>
      </c>
      <c r="F202" s="2305">
        <f>SUM(F199:F201)</f>
        <v>-185416334</v>
      </c>
      <c r="G202" s="2305">
        <f>SUM(G199:G201)</f>
        <v>0</v>
      </c>
      <c r="H202" s="2305">
        <f>SUM(H199:H201)</f>
        <v>0</v>
      </c>
      <c r="I202" s="2305">
        <f>SUM(I199:I201)</f>
        <v>0</v>
      </c>
      <c r="J202" s="2516"/>
    </row>
    <row r="203" spans="1:10" s="1343" customFormat="1" ht="12.75">
      <c r="A203" s="2313" t="s">
        <v>198</v>
      </c>
      <c r="B203" s="2477"/>
      <c r="C203" s="2474"/>
      <c r="D203" s="2478"/>
      <c r="E203" s="2168"/>
      <c r="F203" s="2168"/>
      <c r="G203" s="2168"/>
      <c r="H203" s="2168"/>
      <c r="I203" s="2168"/>
      <c r="J203" s="2334"/>
    </row>
    <row r="204" spans="1:10" s="1343" customFormat="1" ht="12.75">
      <c r="A204" s="2313" t="s">
        <v>199</v>
      </c>
      <c r="B204" s="2477"/>
      <c r="C204" s="2474"/>
      <c r="D204" s="2478"/>
      <c r="E204" s="2168"/>
      <c r="F204" s="2168"/>
      <c r="G204" s="2168"/>
      <c r="H204" s="2168"/>
      <c r="I204" s="2168"/>
      <c r="J204" s="2334"/>
    </row>
    <row r="205" spans="1:10" s="1343" customFormat="1" ht="12.75">
      <c r="A205" s="2313" t="s">
        <v>282</v>
      </c>
      <c r="B205" s="2477"/>
      <c r="C205" s="2474"/>
      <c r="D205" s="2478"/>
      <c r="E205" s="2305">
        <f>+E202-E203-E204</f>
        <v>-185416334</v>
      </c>
      <c r="F205" s="2305">
        <f>+F202-F203-F204</f>
        <v>-185416334</v>
      </c>
      <c r="G205" s="2305">
        <f>+G202-G203-G204</f>
        <v>0</v>
      </c>
      <c r="H205" s="2305">
        <f>+H202-H203-H204</f>
        <v>0</v>
      </c>
      <c r="I205" s="2525">
        <f>+I202-I203-I204</f>
        <v>0</v>
      </c>
      <c r="J205" s="2334"/>
    </row>
    <row r="206" spans="1:10" ht="15">
      <c r="A206" s="2526"/>
      <c r="B206" s="2526"/>
      <c r="C206" s="2485"/>
      <c r="D206" s="1381"/>
      <c r="E206" s="1381"/>
      <c r="F206" s="1381"/>
      <c r="G206" s="1381"/>
      <c r="H206" s="1381"/>
      <c r="I206" s="2485"/>
      <c r="J206" s="1378"/>
    </row>
    <row r="207" spans="1:10" s="1343" customFormat="1" ht="12.75">
      <c r="A207" s="2527"/>
      <c r="B207" s="2527"/>
      <c r="C207" s="2486" t="s">
        <v>574</v>
      </c>
      <c r="D207" s="2311"/>
      <c r="E207" s="2311"/>
      <c r="F207" s="2311"/>
      <c r="G207" s="2528"/>
      <c r="H207" s="2529"/>
      <c r="I207" s="2501"/>
      <c r="J207" s="2468"/>
    </row>
    <row r="208" spans="1:10" s="1343" customFormat="1" ht="12.75">
      <c r="A208" s="2527"/>
      <c r="B208" s="2527"/>
      <c r="C208" s="2674" t="s">
        <v>132</v>
      </c>
      <c r="D208" s="2675"/>
      <c r="E208" s="2675"/>
      <c r="F208" s="2675"/>
      <c r="G208" s="2675"/>
      <c r="H208" s="2676"/>
      <c r="I208" s="2501"/>
      <c r="J208" s="2468"/>
    </row>
    <row r="209" spans="1:10" s="1343" customFormat="1" ht="12.75">
      <c r="A209" s="2527"/>
      <c r="B209" s="2527"/>
      <c r="C209" s="2491" t="s">
        <v>133</v>
      </c>
      <c r="D209" s="2335"/>
      <c r="E209" s="2335"/>
      <c r="F209" s="2335"/>
      <c r="G209" s="2530"/>
      <c r="H209" s="2531"/>
      <c r="I209" s="2501"/>
      <c r="J209" s="2468"/>
    </row>
    <row r="210" spans="1:10" s="1343" customFormat="1" ht="12.75">
      <c r="A210" s="2527"/>
      <c r="B210" s="2527"/>
      <c r="C210" s="2491" t="s">
        <v>262</v>
      </c>
      <c r="D210" s="2335"/>
      <c r="E210" s="2335"/>
      <c r="F210" s="2335"/>
      <c r="G210" s="2530"/>
      <c r="H210" s="2531"/>
      <c r="I210" s="2501"/>
      <c r="J210" s="2468"/>
    </row>
    <row r="211" spans="1:10" s="1343" customFormat="1" ht="12.75">
      <c r="A211" s="2527"/>
      <c r="B211" s="2527"/>
      <c r="C211" s="2491" t="s">
        <v>264</v>
      </c>
      <c r="D211" s="2335"/>
      <c r="E211" s="2335"/>
      <c r="F211" s="2335"/>
      <c r="G211" s="2530"/>
      <c r="H211" s="2531"/>
      <c r="I211" s="2501"/>
      <c r="J211" s="2468"/>
    </row>
    <row r="212" spans="1:10" s="1343" customFormat="1" ht="12.75">
      <c r="A212" s="2527"/>
      <c r="B212" s="2527"/>
      <c r="C212" s="2673" t="s">
        <v>18</v>
      </c>
      <c r="D212" s="2671"/>
      <c r="E212" s="2671"/>
      <c r="F212" s="2671"/>
      <c r="G212" s="2671"/>
      <c r="H212" s="2672"/>
      <c r="I212" s="2532"/>
      <c r="J212" s="2468"/>
    </row>
    <row r="213" spans="1:10" s="1343" customFormat="1" ht="12.75">
      <c r="A213" s="2527"/>
      <c r="B213" s="2527"/>
      <c r="C213" s="2492"/>
      <c r="D213" s="2492"/>
      <c r="E213" s="2492"/>
      <c r="F213" s="2492"/>
      <c r="G213" s="2492"/>
      <c r="H213" s="2492"/>
      <c r="I213" s="2532"/>
      <c r="J213" s="2468"/>
    </row>
    <row r="214" spans="1:10" s="1343" customFormat="1" ht="12.75">
      <c r="A214" s="2527"/>
      <c r="B214" s="2527"/>
      <c r="C214" s="2492"/>
      <c r="D214" s="2492"/>
      <c r="E214" s="2492"/>
      <c r="F214" s="2492"/>
      <c r="G214" s="2492"/>
      <c r="H214" s="2492"/>
      <c r="I214" s="2532"/>
      <c r="J214" s="2468"/>
    </row>
    <row r="215" spans="1:10" s="1343" customFormat="1" ht="12.75">
      <c r="A215" s="1459" t="s">
        <v>365</v>
      </c>
      <c r="B215" s="2506"/>
      <c r="C215" s="2533"/>
      <c r="D215" s="2533"/>
      <c r="E215" s="2533"/>
      <c r="F215" s="2533"/>
      <c r="G215" s="2533"/>
      <c r="H215" s="2533"/>
      <c r="I215" s="2532"/>
      <c r="J215" s="2468"/>
    </row>
    <row r="216" spans="1:10" s="1343" customFormat="1" ht="12.75">
      <c r="A216" s="2499"/>
      <c r="B216" s="2506"/>
      <c r="C216" s="2533"/>
      <c r="D216" s="2533"/>
      <c r="E216" s="2533"/>
      <c r="F216" s="2533"/>
      <c r="G216" s="2533"/>
      <c r="H216" s="2533"/>
      <c r="I216" s="2532"/>
      <c r="J216" s="2468"/>
    </row>
    <row r="217" spans="1:10" s="1343" customFormat="1" ht="12.75">
      <c r="A217" s="2502" t="s">
        <v>661</v>
      </c>
      <c r="B217" s="2506"/>
      <c r="C217" s="2533"/>
      <c r="D217" s="2533"/>
      <c r="E217" s="2533"/>
      <c r="F217" s="2533"/>
      <c r="G217" s="2533"/>
      <c r="H217" s="2533"/>
      <c r="I217" s="2532"/>
      <c r="J217" s="2468"/>
    </row>
    <row r="218" spans="1:10" s="1343" customFormat="1" ht="12.75">
      <c r="A218" s="2506"/>
      <c r="B218" s="2506"/>
      <c r="C218" s="2533"/>
      <c r="D218" s="2533"/>
      <c r="E218" s="2533"/>
      <c r="F218" s="2533"/>
      <c r="G218" s="2533"/>
      <c r="H218" s="2533"/>
      <c r="I218" s="2532"/>
      <c r="J218" s="2468"/>
    </row>
    <row r="219" spans="1:10" ht="15">
      <c r="A219" s="2504" t="s">
        <v>542</v>
      </c>
      <c r="B219" s="2534"/>
      <c r="C219" s="2496"/>
      <c r="D219" s="2497"/>
      <c r="E219" s="2497"/>
      <c r="F219" s="2497"/>
      <c r="G219" s="2497"/>
      <c r="H219" s="2497"/>
      <c r="I219" s="2496"/>
      <c r="J219" s="1378"/>
    </row>
    <row r="220" spans="1:10" ht="15">
      <c r="A220" s="2504"/>
      <c r="B220" s="2504"/>
      <c r="C220" s="2485"/>
      <c r="D220" s="1381"/>
      <c r="E220" s="1381"/>
      <c r="F220" s="1381"/>
      <c r="G220" s="1381"/>
      <c r="H220" s="1381"/>
      <c r="I220" s="2485"/>
      <c r="J220" s="1378"/>
    </row>
    <row r="221" spans="1:10" ht="15">
      <c r="A221" s="2535"/>
      <c r="B221" s="2535"/>
      <c r="C221" s="2507" t="s">
        <v>227</v>
      </c>
      <c r="D221" s="2508"/>
      <c r="E221" s="2507" t="s">
        <v>283</v>
      </c>
      <c r="F221" s="2507" t="s">
        <v>215</v>
      </c>
      <c r="G221" s="2507" t="s">
        <v>228</v>
      </c>
      <c r="H221" s="2507" t="s">
        <v>226</v>
      </c>
      <c r="I221" s="2507" t="s">
        <v>107</v>
      </c>
      <c r="J221" s="2507" t="s">
        <v>229</v>
      </c>
    </row>
    <row r="222" spans="1:10" ht="15">
      <c r="A222" s="2535"/>
      <c r="B222" s="2535"/>
      <c r="C222" s="2535"/>
      <c r="D222" s="1378"/>
      <c r="E222" s="2019"/>
      <c r="F222" s="2019" t="s">
        <v>257</v>
      </c>
      <c r="G222" s="2019"/>
      <c r="H222" s="2019"/>
      <c r="I222" s="2019"/>
      <c r="J222" s="2535"/>
    </row>
    <row r="223" spans="1:10" ht="15">
      <c r="A223" s="2504"/>
      <c r="B223" s="2504"/>
      <c r="C223" s="2535"/>
      <c r="D223" s="1378"/>
      <c r="E223" s="2019" t="s">
        <v>282</v>
      </c>
      <c r="F223" s="2019" t="s">
        <v>258</v>
      </c>
      <c r="G223" s="2019" t="s">
        <v>57</v>
      </c>
      <c r="H223" s="2019" t="s">
        <v>61</v>
      </c>
      <c r="I223" s="2019" t="s">
        <v>63</v>
      </c>
      <c r="J223" s="2535"/>
    </row>
    <row r="224" spans="1:10" ht="15">
      <c r="A224" s="2535"/>
      <c r="B224" s="2535"/>
      <c r="C224" s="2535"/>
      <c r="D224" s="1378"/>
      <c r="E224" s="2019"/>
      <c r="F224" s="2019" t="s">
        <v>62</v>
      </c>
      <c r="G224" s="2019" t="s">
        <v>62</v>
      </c>
      <c r="H224" s="2019" t="s">
        <v>62</v>
      </c>
      <c r="I224" s="2019" t="s">
        <v>62</v>
      </c>
      <c r="J224" s="2535" t="s">
        <v>208</v>
      </c>
    </row>
    <row r="225" spans="1:10" ht="15">
      <c r="A225" s="2536" t="s">
        <v>255</v>
      </c>
      <c r="B225" s="2537"/>
      <c r="C225" s="2538"/>
      <c r="D225" s="2539"/>
      <c r="E225" s="2540"/>
      <c r="F225" s="2306"/>
      <c r="G225" s="2306"/>
      <c r="H225" s="2306"/>
      <c r="I225" s="2306"/>
      <c r="J225" s="2541"/>
    </row>
    <row r="226" spans="1:10" ht="39.75" customHeight="1">
      <c r="A226" s="1782">
        <v>287605</v>
      </c>
      <c r="B226" s="2626">
        <v>105.14700000000001</v>
      </c>
      <c r="C226" s="2628" t="s">
        <v>582</v>
      </c>
      <c r="D226" s="2290"/>
      <c r="E226" s="1786">
        <v>-111999</v>
      </c>
      <c r="F226" s="1786">
        <f>E226</f>
        <v>-111999</v>
      </c>
      <c r="G226" s="1786">
        <v>0</v>
      </c>
      <c r="H226" s="1786">
        <v>0</v>
      </c>
      <c r="I226" s="1786">
        <v>0</v>
      </c>
      <c r="J226" s="1785" t="s">
        <v>1226</v>
      </c>
    </row>
    <row r="227" spans="1:10" ht="25.5">
      <c r="A227" s="1782">
        <v>287599</v>
      </c>
      <c r="B227" s="2626">
        <v>105.16</v>
      </c>
      <c r="C227" s="2628" t="s">
        <v>1977</v>
      </c>
      <c r="D227" s="2290"/>
      <c r="E227" s="1786">
        <f>-E267+-E268</f>
        <v>-7183199</v>
      </c>
      <c r="F227" s="1786">
        <f>E227</f>
        <v>-7183199</v>
      </c>
      <c r="G227" s="1786">
        <v>0</v>
      </c>
      <c r="H227" s="1786">
        <v>0</v>
      </c>
      <c r="I227" s="1786">
        <v>0</v>
      </c>
      <c r="J227" s="2465" t="s">
        <v>2070</v>
      </c>
    </row>
    <row r="228" spans="1:10" ht="24.75" customHeight="1">
      <c r="A228" s="1782">
        <v>287766</v>
      </c>
      <c r="B228" s="2626">
        <v>610.101</v>
      </c>
      <c r="C228" s="2628" t="s">
        <v>587</v>
      </c>
      <c r="D228" s="2290"/>
      <c r="E228" s="1786">
        <v>81024</v>
      </c>
      <c r="F228" s="1786">
        <f>E228</f>
        <v>81024</v>
      </c>
      <c r="G228" s="1786">
        <v>0</v>
      </c>
      <c r="H228" s="1786">
        <v>0</v>
      </c>
      <c r="I228" s="1786">
        <v>0</v>
      </c>
      <c r="J228" s="1807" t="s">
        <v>1239</v>
      </c>
    </row>
    <row r="229" spans="1:10" ht="12.75">
      <c r="A229" s="1782">
        <v>287610</v>
      </c>
      <c r="B229" s="2626">
        <v>105.40300000000001</v>
      </c>
      <c r="C229" s="2628" t="s">
        <v>1467</v>
      </c>
      <c r="D229" s="2290"/>
      <c r="E229" s="1786">
        <v>-25833712</v>
      </c>
      <c r="F229" s="1786">
        <f>E229</f>
        <v>-25833712</v>
      </c>
      <c r="G229" s="1786">
        <v>0</v>
      </c>
      <c r="H229" s="1786">
        <v>0</v>
      </c>
      <c r="I229" s="1786">
        <v>0</v>
      </c>
      <c r="J229" s="1785" t="s">
        <v>1210</v>
      </c>
    </row>
    <row r="230" spans="1:10" ht="25.5">
      <c r="A230" s="1782">
        <v>287605</v>
      </c>
      <c r="B230" s="2626">
        <v>105.142</v>
      </c>
      <c r="C230" s="2628" t="s">
        <v>580</v>
      </c>
      <c r="D230" s="2290"/>
      <c r="E230" s="1786">
        <v>156376896</v>
      </c>
      <c r="F230" s="1786">
        <f>E230</f>
        <v>156376896</v>
      </c>
      <c r="G230" s="1786">
        <v>0</v>
      </c>
      <c r="H230" s="1786">
        <v>0</v>
      </c>
      <c r="I230" s="1786">
        <v>0</v>
      </c>
      <c r="J230" s="1785" t="s">
        <v>1224</v>
      </c>
    </row>
    <row r="231" spans="1:10" ht="39.75" customHeight="1">
      <c r="A231" s="1782">
        <v>287704</v>
      </c>
      <c r="B231" s="2626">
        <v>105.143</v>
      </c>
      <c r="C231" s="2628" t="s">
        <v>586</v>
      </c>
      <c r="D231" s="2290"/>
      <c r="E231" s="1786">
        <v>-1035892</v>
      </c>
      <c r="F231" s="1786">
        <v>0</v>
      </c>
      <c r="G231" s="1786">
        <v>0</v>
      </c>
      <c r="H231" s="1786">
        <f>E231</f>
        <v>-1035892</v>
      </c>
      <c r="I231" s="1786">
        <v>0</v>
      </c>
      <c r="J231" s="1785" t="s">
        <v>1237</v>
      </c>
    </row>
    <row r="232" spans="1:10" ht="25.5">
      <c r="A232" s="1782">
        <v>287753</v>
      </c>
      <c r="B232" s="2626">
        <v>110.1</v>
      </c>
      <c r="C232" s="2628" t="s">
        <v>1468</v>
      </c>
      <c r="D232" s="2290"/>
      <c r="E232" s="1786">
        <v>0</v>
      </c>
      <c r="F232" s="1786">
        <f t="shared" ref="F232:F238" si="1">E232</f>
        <v>0</v>
      </c>
      <c r="G232" s="1786">
        <v>0</v>
      </c>
      <c r="H232" s="1786">
        <v>0</v>
      </c>
      <c r="I232" s="1786">
        <v>0</v>
      </c>
      <c r="J232" s="1785" t="s">
        <v>1238</v>
      </c>
    </row>
    <row r="233" spans="1:10" ht="12.75">
      <c r="A233" s="1782">
        <v>287605</v>
      </c>
      <c r="B233" s="2626">
        <v>105.12</v>
      </c>
      <c r="C233" s="2628" t="s">
        <v>575</v>
      </c>
      <c r="D233" s="2290"/>
      <c r="E233" s="1786">
        <v>2113307614</v>
      </c>
      <c r="F233" s="1786">
        <f t="shared" si="1"/>
        <v>2113307614</v>
      </c>
      <c r="G233" s="1786">
        <v>0</v>
      </c>
      <c r="H233" s="1786">
        <v>0</v>
      </c>
      <c r="I233" s="1786">
        <v>0</v>
      </c>
      <c r="J233" s="1785" t="s">
        <v>1214</v>
      </c>
    </row>
    <row r="234" spans="1:10" ht="12.75">
      <c r="A234" s="1782">
        <v>287605</v>
      </c>
      <c r="B234" s="2626">
        <v>105.47</v>
      </c>
      <c r="C234" s="2628" t="s">
        <v>1469</v>
      </c>
      <c r="D234" s="2290"/>
      <c r="E234" s="1786">
        <v>16384609</v>
      </c>
      <c r="F234" s="1786">
        <f t="shared" si="1"/>
        <v>16384609</v>
      </c>
      <c r="G234" s="1786">
        <v>0</v>
      </c>
      <c r="H234" s="1786">
        <v>0</v>
      </c>
      <c r="I234" s="1786">
        <v>0</v>
      </c>
      <c r="J234" s="1785" t="s">
        <v>1232</v>
      </c>
    </row>
    <row r="235" spans="1:10" ht="41.25" customHeight="1">
      <c r="A235" s="1782">
        <v>287605</v>
      </c>
      <c r="B235" s="2626">
        <v>105.146</v>
      </c>
      <c r="C235" s="2628" t="s">
        <v>581</v>
      </c>
      <c r="D235" s="2290"/>
      <c r="E235" s="1786">
        <v>3393596</v>
      </c>
      <c r="F235" s="1786">
        <f t="shared" si="1"/>
        <v>3393596</v>
      </c>
      <c r="G235" s="1786">
        <v>0</v>
      </c>
      <c r="H235" s="1786">
        <v>0</v>
      </c>
      <c r="I235" s="1786">
        <v>0</v>
      </c>
      <c r="J235" s="1785" t="s">
        <v>1225</v>
      </c>
    </row>
    <row r="236" spans="1:10" ht="12.75">
      <c r="A236" s="1782">
        <v>287605</v>
      </c>
      <c r="B236" s="2626">
        <v>105.137</v>
      </c>
      <c r="C236" s="2628" t="s">
        <v>578</v>
      </c>
      <c r="D236" s="2290"/>
      <c r="E236" s="1786">
        <v>-16886574</v>
      </c>
      <c r="F236" s="1786">
        <f t="shared" si="1"/>
        <v>-16886574</v>
      </c>
      <c r="G236" s="1786">
        <v>0</v>
      </c>
      <c r="H236" s="1786">
        <v>0</v>
      </c>
      <c r="I236" s="1786">
        <v>0</v>
      </c>
      <c r="J236" s="1785" t="s">
        <v>1221</v>
      </c>
    </row>
    <row r="237" spans="1:10" ht="25.5" customHeight="1">
      <c r="A237" s="1782">
        <v>287605</v>
      </c>
      <c r="B237" s="2626">
        <v>105.1</v>
      </c>
      <c r="C237" s="2628" t="s">
        <v>1470</v>
      </c>
      <c r="D237" s="2290"/>
      <c r="E237" s="1786">
        <v>21690136</v>
      </c>
      <c r="F237" s="1786">
        <f t="shared" si="1"/>
        <v>21690136</v>
      </c>
      <c r="G237" s="1786">
        <v>0</v>
      </c>
      <c r="H237" s="1786">
        <v>0</v>
      </c>
      <c r="I237" s="1786">
        <v>0</v>
      </c>
      <c r="J237" s="1785" t="s">
        <v>1211</v>
      </c>
    </row>
    <row r="238" spans="1:10" ht="25.5">
      <c r="A238" s="1782">
        <v>287605</v>
      </c>
      <c r="B238" s="2626">
        <v>105.101</v>
      </c>
      <c r="C238" s="2628" t="s">
        <v>1471</v>
      </c>
      <c r="D238" s="2290"/>
      <c r="E238" s="1786">
        <v>1565135</v>
      </c>
      <c r="F238" s="1786">
        <f t="shared" si="1"/>
        <v>1565135</v>
      </c>
      <c r="G238" s="1786">
        <v>0</v>
      </c>
      <c r="H238" s="1786">
        <v>0</v>
      </c>
      <c r="I238" s="1786">
        <v>0</v>
      </c>
      <c r="J238" s="1785" t="s">
        <v>1212</v>
      </c>
    </row>
    <row r="239" spans="1:10" ht="12.75">
      <c r="A239" s="1782">
        <v>287605</v>
      </c>
      <c r="B239" s="2631" t="s">
        <v>563</v>
      </c>
      <c r="C239" s="2462" t="s">
        <v>672</v>
      </c>
      <c r="D239" s="2291"/>
      <c r="E239" s="1806">
        <f>SUM(F239:I239)</f>
        <v>0</v>
      </c>
      <c r="F239" s="1786">
        <v>1132942994</v>
      </c>
      <c r="G239" s="1786">
        <f>-F239</f>
        <v>-1132942994</v>
      </c>
      <c r="H239" s="1786">
        <v>0</v>
      </c>
      <c r="I239" s="1786">
        <v>0</v>
      </c>
      <c r="J239" s="1785" t="s">
        <v>1235</v>
      </c>
    </row>
    <row r="240" spans="1:10" ht="12.75">
      <c r="A240" s="1782">
        <v>287605</v>
      </c>
      <c r="B240" s="2631" t="s">
        <v>563</v>
      </c>
      <c r="C240" s="2462" t="s">
        <v>673</v>
      </c>
      <c r="D240" s="2291"/>
      <c r="E240" s="1806">
        <f>SUM(F240:I240)</f>
        <v>0</v>
      </c>
      <c r="F240" s="1786">
        <v>55027269</v>
      </c>
      <c r="G240" s="1786">
        <v>0</v>
      </c>
      <c r="H240" s="1786">
        <v>0</v>
      </c>
      <c r="I240" s="1786">
        <f>-F240</f>
        <v>-55027269</v>
      </c>
      <c r="J240" s="1785" t="s">
        <v>1355</v>
      </c>
    </row>
    <row r="241" spans="1:10" ht="12.75">
      <c r="A241" s="1782">
        <v>287605</v>
      </c>
      <c r="B241" s="2631" t="s">
        <v>563</v>
      </c>
      <c r="C241" s="2462" t="s">
        <v>674</v>
      </c>
      <c r="D241" s="2291"/>
      <c r="E241" s="1806">
        <f>SUM(F241:I241)</f>
        <v>0</v>
      </c>
      <c r="F241" s="1786">
        <v>191952105</v>
      </c>
      <c r="G241" s="1786">
        <v>0</v>
      </c>
      <c r="H241" s="1786">
        <v>0</v>
      </c>
      <c r="I241" s="1786">
        <f>-F241</f>
        <v>-191952105</v>
      </c>
      <c r="J241" s="1785" t="s">
        <v>1356</v>
      </c>
    </row>
    <row r="242" spans="1:10" ht="27" customHeight="1">
      <c r="A242" s="1782">
        <v>287608</v>
      </c>
      <c r="B242" s="2626">
        <v>105.22199999999999</v>
      </c>
      <c r="C242" s="2628" t="s">
        <v>1472</v>
      </c>
      <c r="D242" s="2290"/>
      <c r="E242" s="1786">
        <v>-1947367</v>
      </c>
      <c r="F242" s="1786">
        <v>0</v>
      </c>
      <c r="G242" s="1786">
        <v>0</v>
      </c>
      <c r="H242" s="1786">
        <f>E242</f>
        <v>-1947367</v>
      </c>
      <c r="I242" s="1786">
        <v>0</v>
      </c>
      <c r="J242" s="1785" t="s">
        <v>1203</v>
      </c>
    </row>
    <row r="243" spans="1:10" ht="27" customHeight="1">
      <c r="A243" s="1782">
        <v>287608</v>
      </c>
      <c r="B243" s="2626">
        <v>105.223</v>
      </c>
      <c r="C243" s="2628" t="s">
        <v>1473</v>
      </c>
      <c r="D243" s="2290"/>
      <c r="E243" s="1786">
        <v>725763</v>
      </c>
      <c r="F243" s="1786">
        <v>0</v>
      </c>
      <c r="G243" s="1786">
        <v>0</v>
      </c>
      <c r="H243" s="1786">
        <f>+E243</f>
        <v>725763</v>
      </c>
      <c r="I243" s="1786">
        <v>0</v>
      </c>
      <c r="J243" s="1785" t="s">
        <v>1236</v>
      </c>
    </row>
    <row r="244" spans="1:10" ht="51">
      <c r="A244" s="1782">
        <v>287605</v>
      </c>
      <c r="B244" s="2626">
        <v>105.16500000000001</v>
      </c>
      <c r="C244" s="2628" t="s">
        <v>583</v>
      </c>
      <c r="D244" s="2290"/>
      <c r="E244" s="1786">
        <v>-3132289</v>
      </c>
      <c r="F244" s="1786">
        <f t="shared" ref="F244:F258" si="2">E244</f>
        <v>-3132289</v>
      </c>
      <c r="G244" s="1786">
        <v>0</v>
      </c>
      <c r="H244" s="1786">
        <v>0</v>
      </c>
      <c r="I244" s="1786">
        <v>0</v>
      </c>
      <c r="J244" s="1785" t="s">
        <v>1229</v>
      </c>
    </row>
    <row r="245" spans="1:10" ht="51.75" customHeight="1">
      <c r="A245" s="1782">
        <v>287605</v>
      </c>
      <c r="B245" s="2626">
        <v>105.17</v>
      </c>
      <c r="C245" s="2628" t="s">
        <v>1474</v>
      </c>
      <c r="D245" s="2290"/>
      <c r="E245" s="1786">
        <v>-3795539</v>
      </c>
      <c r="F245" s="1786">
        <f t="shared" si="2"/>
        <v>-3795539</v>
      </c>
      <c r="G245" s="1786">
        <v>0</v>
      </c>
      <c r="H245" s="1786">
        <v>0</v>
      </c>
      <c r="I245" s="1786">
        <v>0</v>
      </c>
      <c r="J245" s="1785" t="s">
        <v>1230</v>
      </c>
    </row>
    <row r="246" spans="1:10" ht="25.5">
      <c r="A246" s="1782">
        <v>287605</v>
      </c>
      <c r="B246" s="2626">
        <v>105.15300000000001</v>
      </c>
      <c r="C246" s="2628" t="s">
        <v>1784</v>
      </c>
      <c r="D246" s="2290"/>
      <c r="E246" s="1786">
        <v>-185519</v>
      </c>
      <c r="F246" s="1786">
        <f t="shared" si="2"/>
        <v>-185519</v>
      </c>
      <c r="G246" s="1786">
        <v>0</v>
      </c>
      <c r="H246" s="1786">
        <v>0</v>
      </c>
      <c r="I246" s="1786">
        <v>0</v>
      </c>
      <c r="J246" s="2465" t="s">
        <v>1783</v>
      </c>
    </row>
    <row r="247" spans="1:10" ht="24.75" customHeight="1">
      <c r="A247" s="1782">
        <v>287605</v>
      </c>
      <c r="B247" s="2626">
        <v>105.151</v>
      </c>
      <c r="C247" s="2628" t="s">
        <v>1782</v>
      </c>
      <c r="D247" s="2290"/>
      <c r="E247" s="1786">
        <v>-714144</v>
      </c>
      <c r="F247" s="1786">
        <f t="shared" si="2"/>
        <v>-714144</v>
      </c>
      <c r="G247" s="1786">
        <v>0</v>
      </c>
      <c r="H247" s="1786">
        <v>0</v>
      </c>
      <c r="I247" s="1786">
        <v>0</v>
      </c>
      <c r="J247" s="2465" t="s">
        <v>1781</v>
      </c>
    </row>
    <row r="248" spans="1:10" ht="15" customHeight="1">
      <c r="A248" s="1782">
        <v>287605</v>
      </c>
      <c r="B248" s="2626">
        <v>105.13</v>
      </c>
      <c r="C248" s="2628" t="s">
        <v>1475</v>
      </c>
      <c r="D248" s="2290"/>
      <c r="E248" s="1786">
        <v>218846064</v>
      </c>
      <c r="F248" s="1786">
        <f t="shared" si="2"/>
        <v>218846064</v>
      </c>
      <c r="G248" s="1786">
        <v>0</v>
      </c>
      <c r="H248" s="1786">
        <v>0</v>
      </c>
      <c r="I248" s="1786">
        <v>0</v>
      </c>
      <c r="J248" s="1785" t="s">
        <v>1218</v>
      </c>
    </row>
    <row r="249" spans="1:10" ht="39.75" customHeight="1">
      <c r="A249" s="1782">
        <v>287605</v>
      </c>
      <c r="B249" s="2626">
        <v>105.175</v>
      </c>
      <c r="C249" s="2628" t="s">
        <v>1476</v>
      </c>
      <c r="D249" s="2290"/>
      <c r="E249" s="1786">
        <v>-181367891</v>
      </c>
      <c r="F249" s="1786">
        <f t="shared" si="2"/>
        <v>-181367891</v>
      </c>
      <c r="G249" s="1786">
        <v>0</v>
      </c>
      <c r="H249" s="1786">
        <v>0</v>
      </c>
      <c r="I249" s="1786">
        <v>0</v>
      </c>
      <c r="J249" s="1785" t="s">
        <v>1231</v>
      </c>
    </row>
    <row r="250" spans="1:10" ht="100.5" customHeight="1">
      <c r="A250" s="1782">
        <v>287224</v>
      </c>
      <c r="B250" s="2626">
        <v>145.03</v>
      </c>
      <c r="C250" s="2628" t="s">
        <v>1668</v>
      </c>
      <c r="D250" s="2290"/>
      <c r="E250" s="1786">
        <v>1063511</v>
      </c>
      <c r="F250" s="1786">
        <f t="shared" si="2"/>
        <v>1063511</v>
      </c>
      <c r="G250" s="1786">
        <v>0</v>
      </c>
      <c r="H250" s="1786">
        <v>0</v>
      </c>
      <c r="I250" s="1786">
        <v>0</v>
      </c>
      <c r="J250" s="1785" t="s">
        <v>1669</v>
      </c>
    </row>
    <row r="251" spans="1:10" ht="66.75" customHeight="1">
      <c r="A251" s="1782">
        <v>287605</v>
      </c>
      <c r="B251" s="2626">
        <v>105.14100000000001</v>
      </c>
      <c r="C251" s="2628" t="s">
        <v>1477</v>
      </c>
      <c r="D251" s="2290"/>
      <c r="E251" s="1786">
        <v>-158499395</v>
      </c>
      <c r="F251" s="1786">
        <f t="shared" si="2"/>
        <v>-158499395</v>
      </c>
      <c r="G251" s="1786">
        <v>0</v>
      </c>
      <c r="H251" s="1786">
        <v>0</v>
      </c>
      <c r="I251" s="1786">
        <v>0</v>
      </c>
      <c r="J251" s="1785" t="s">
        <v>1223</v>
      </c>
    </row>
    <row r="252" spans="1:10" ht="66" customHeight="1">
      <c r="A252" s="1782">
        <v>287607</v>
      </c>
      <c r="B252" s="2626">
        <v>105.117</v>
      </c>
      <c r="C252" s="2628" t="s">
        <v>2079</v>
      </c>
      <c r="D252" s="2290"/>
      <c r="E252" s="1786">
        <v>-9518340</v>
      </c>
      <c r="F252" s="1786">
        <f t="shared" si="2"/>
        <v>-9518340</v>
      </c>
      <c r="G252" s="1786">
        <v>0</v>
      </c>
      <c r="H252" s="1786">
        <v>0</v>
      </c>
      <c r="I252" s="1786">
        <v>0</v>
      </c>
      <c r="J252" s="1785" t="s">
        <v>2080</v>
      </c>
    </row>
    <row r="253" spans="1:10" ht="102">
      <c r="A253" s="1782">
        <v>287605</v>
      </c>
      <c r="B253" s="2626">
        <v>105.11499999999999</v>
      </c>
      <c r="C253" s="2628" t="s">
        <v>1478</v>
      </c>
      <c r="D253" s="2290"/>
      <c r="E253" s="1786">
        <f>-76217905-1581649853</f>
        <v>-1657867758</v>
      </c>
      <c r="F253" s="1786">
        <f t="shared" si="2"/>
        <v>-1657867758</v>
      </c>
      <c r="G253" s="1786">
        <v>0</v>
      </c>
      <c r="H253" s="1786">
        <v>0</v>
      </c>
      <c r="I253" s="1786">
        <v>0</v>
      </c>
      <c r="J253" s="1785" t="s">
        <v>2081</v>
      </c>
    </row>
    <row r="254" spans="1:10" ht="63.75">
      <c r="A254" s="1782">
        <v>287605</v>
      </c>
      <c r="B254" s="2626">
        <v>105.139</v>
      </c>
      <c r="C254" s="2628" t="s">
        <v>1583</v>
      </c>
      <c r="D254" s="2290"/>
      <c r="E254" s="1786">
        <v>-71386792</v>
      </c>
      <c r="F254" s="1786">
        <f t="shared" si="2"/>
        <v>-71386792</v>
      </c>
      <c r="G254" s="1786">
        <v>0</v>
      </c>
      <c r="H254" s="1786">
        <v>0</v>
      </c>
      <c r="I254" s="1786">
        <v>0</v>
      </c>
      <c r="J254" s="1807" t="s">
        <v>1223</v>
      </c>
    </row>
    <row r="255" spans="1:10" ht="38.25">
      <c r="A255" s="1782">
        <v>287928</v>
      </c>
      <c r="B255" s="2626">
        <v>425.31</v>
      </c>
      <c r="C255" s="2628" t="s">
        <v>1287</v>
      </c>
      <c r="D255" s="2290"/>
      <c r="E255" s="1786">
        <v>-4353420</v>
      </c>
      <c r="F255" s="1786">
        <f t="shared" si="2"/>
        <v>-4353420</v>
      </c>
      <c r="G255" s="1786">
        <v>0</v>
      </c>
      <c r="H255" s="1786">
        <v>0</v>
      </c>
      <c r="I255" s="1786">
        <v>0</v>
      </c>
      <c r="J255" s="1807" t="s">
        <v>1670</v>
      </c>
    </row>
    <row r="256" spans="1:10" ht="12.75">
      <c r="A256" s="1782">
        <v>287605</v>
      </c>
      <c r="B256" s="2626" t="s">
        <v>563</v>
      </c>
      <c r="C256" s="2628" t="s">
        <v>1479</v>
      </c>
      <c r="D256" s="2290"/>
      <c r="E256" s="1786">
        <v>0</v>
      </c>
      <c r="F256" s="1786">
        <f t="shared" si="2"/>
        <v>0</v>
      </c>
      <c r="G256" s="1786">
        <v>0</v>
      </c>
      <c r="H256" s="1786">
        <v>0</v>
      </c>
      <c r="I256" s="1786">
        <v>0</v>
      </c>
      <c r="J256" s="1785" t="s">
        <v>1178</v>
      </c>
    </row>
    <row r="257" spans="1:10" ht="12.75">
      <c r="A257" s="1782">
        <v>287605</v>
      </c>
      <c r="B257" s="2626">
        <v>105.125</v>
      </c>
      <c r="C257" s="2628" t="s">
        <v>577</v>
      </c>
      <c r="D257" s="2290"/>
      <c r="E257" s="1786">
        <v>-4468258225</v>
      </c>
      <c r="F257" s="1786">
        <f t="shared" si="2"/>
        <v>-4468258225</v>
      </c>
      <c r="G257" s="1786">
        <v>0</v>
      </c>
      <c r="H257" s="1786">
        <v>0</v>
      </c>
      <c r="I257" s="1786">
        <v>0</v>
      </c>
      <c r="J257" s="1785" t="s">
        <v>1217</v>
      </c>
    </row>
    <row r="258" spans="1:10" ht="12.75">
      <c r="A258" s="1782">
        <v>287605</v>
      </c>
      <c r="B258" s="2626">
        <v>105.152</v>
      </c>
      <c r="C258" s="2628" t="s">
        <v>1588</v>
      </c>
      <c r="D258" s="2290"/>
      <c r="E258" s="1786">
        <v>-55958664</v>
      </c>
      <c r="F258" s="1786">
        <f t="shared" si="2"/>
        <v>-55958664</v>
      </c>
      <c r="G258" s="1786">
        <v>0</v>
      </c>
      <c r="H258" s="1786">
        <v>0</v>
      </c>
      <c r="I258" s="1786">
        <v>0</v>
      </c>
      <c r="J258" s="1785" t="s">
        <v>1228</v>
      </c>
    </row>
    <row r="259" spans="1:10" ht="40.5" customHeight="1">
      <c r="A259" s="1782">
        <v>287605</v>
      </c>
      <c r="B259" s="2626">
        <v>105.129</v>
      </c>
      <c r="C259" s="2628" t="s">
        <v>1480</v>
      </c>
      <c r="D259" s="2290"/>
      <c r="E259" s="1786">
        <v>21860875</v>
      </c>
      <c r="F259" s="1786">
        <v>0</v>
      </c>
      <c r="G259" s="1786">
        <v>0</v>
      </c>
      <c r="H259" s="1786">
        <f>+E259</f>
        <v>21860875</v>
      </c>
      <c r="I259" s="1786">
        <v>0</v>
      </c>
      <c r="J259" s="1785" t="s">
        <v>1240</v>
      </c>
    </row>
    <row r="260" spans="1:10" ht="38.25">
      <c r="A260" s="1782">
        <v>287605</v>
      </c>
      <c r="B260" s="2626">
        <v>105.148</v>
      </c>
      <c r="C260" s="2628" t="s">
        <v>1481</v>
      </c>
      <c r="D260" s="2290"/>
      <c r="E260" s="1786">
        <v>-306514</v>
      </c>
      <c r="F260" s="1786">
        <f t="shared" ref="F260:F282" si="3">E260</f>
        <v>-306514</v>
      </c>
      <c r="G260" s="1786">
        <v>0</v>
      </c>
      <c r="H260" s="1786">
        <v>0</v>
      </c>
      <c r="I260" s="1786">
        <v>0</v>
      </c>
      <c r="J260" s="1785" t="s">
        <v>1227</v>
      </c>
    </row>
    <row r="261" spans="1:10" ht="12.75">
      <c r="A261" s="1782">
        <v>287929</v>
      </c>
      <c r="B261" s="2626">
        <v>105.46</v>
      </c>
      <c r="C261" s="2628" t="s">
        <v>1482</v>
      </c>
      <c r="D261" s="2290"/>
      <c r="E261" s="1786">
        <v>-237671838</v>
      </c>
      <c r="F261" s="1786">
        <f t="shared" si="3"/>
        <v>-237671838</v>
      </c>
      <c r="G261" s="1786">
        <v>0</v>
      </c>
      <c r="H261" s="1786">
        <v>0</v>
      </c>
      <c r="I261" s="1786">
        <v>0</v>
      </c>
      <c r="J261" s="1785" t="s">
        <v>1210</v>
      </c>
    </row>
    <row r="262" spans="1:10" ht="25.5">
      <c r="A262" s="1782">
        <v>287740</v>
      </c>
      <c r="B262" s="2626">
        <v>110.2</v>
      </c>
      <c r="C262" s="2628" t="s">
        <v>1483</v>
      </c>
      <c r="D262" s="2290"/>
      <c r="E262" s="1786">
        <v>0</v>
      </c>
      <c r="F262" s="1786">
        <f t="shared" si="3"/>
        <v>0</v>
      </c>
      <c r="G262" s="1786">
        <v>0</v>
      </c>
      <c r="H262" s="1786">
        <v>0</v>
      </c>
      <c r="I262" s="1786">
        <v>0</v>
      </c>
      <c r="J262" s="1785" t="s">
        <v>1238</v>
      </c>
    </row>
    <row r="263" spans="1:10" ht="38.25">
      <c r="A263" s="1782">
        <v>286605</v>
      </c>
      <c r="B263" s="2626">
        <v>105.136</v>
      </c>
      <c r="C263" s="2628" t="s">
        <v>2082</v>
      </c>
      <c r="D263" s="2290"/>
      <c r="E263" s="1786">
        <v>-6333516</v>
      </c>
      <c r="F263" s="1786">
        <f>E263</f>
        <v>-6333516</v>
      </c>
      <c r="G263" s="1786">
        <v>0</v>
      </c>
      <c r="H263" s="1786">
        <v>0</v>
      </c>
      <c r="I263" s="1786">
        <v>0</v>
      </c>
      <c r="J263" s="1785" t="s">
        <v>2083</v>
      </c>
    </row>
    <row r="264" spans="1:10" ht="50.25" customHeight="1">
      <c r="A264" s="1782">
        <v>287605</v>
      </c>
      <c r="B264" s="2626">
        <v>320.20999999999998</v>
      </c>
      <c r="C264" s="2628" t="s">
        <v>584</v>
      </c>
      <c r="D264" s="2290"/>
      <c r="E264" s="1786">
        <v>-7719946</v>
      </c>
      <c r="F264" s="1786">
        <f t="shared" si="3"/>
        <v>-7719946</v>
      </c>
      <c r="G264" s="1786">
        <v>0</v>
      </c>
      <c r="H264" s="1786">
        <v>0</v>
      </c>
      <c r="I264" s="1786">
        <v>0</v>
      </c>
      <c r="J264" s="1785" t="s">
        <v>1233</v>
      </c>
    </row>
    <row r="265" spans="1:10" ht="54" customHeight="1">
      <c r="A265" s="1782">
        <v>287648</v>
      </c>
      <c r="B265" s="2626">
        <v>100.12</v>
      </c>
      <c r="C265" s="2628" t="s">
        <v>1484</v>
      </c>
      <c r="D265" s="2290"/>
      <c r="E265" s="1786">
        <v>0</v>
      </c>
      <c r="F265" s="1786">
        <f t="shared" si="3"/>
        <v>0</v>
      </c>
      <c r="G265" s="1786">
        <v>0</v>
      </c>
      <c r="H265" s="1786">
        <v>0</v>
      </c>
      <c r="I265" s="1786">
        <v>0</v>
      </c>
      <c r="J265" s="1785" t="s">
        <v>1213</v>
      </c>
    </row>
    <row r="266" spans="1:10" ht="53.25" customHeight="1">
      <c r="A266" s="1782">
        <v>287605</v>
      </c>
      <c r="B266" s="2626">
        <v>100.11</v>
      </c>
      <c r="C266" s="2628" t="s">
        <v>1671</v>
      </c>
      <c r="D266" s="2290"/>
      <c r="E266" s="1786">
        <v>-28775</v>
      </c>
      <c r="F266" s="1786">
        <f t="shared" si="3"/>
        <v>-28775</v>
      </c>
      <c r="G266" s="1786">
        <v>0</v>
      </c>
      <c r="H266" s="1786">
        <v>0</v>
      </c>
      <c r="I266" s="1786">
        <v>0</v>
      </c>
      <c r="J266" s="1785" t="s">
        <v>1672</v>
      </c>
    </row>
    <row r="267" spans="1:10" ht="25.5">
      <c r="A267" s="1782">
        <v>287605</v>
      </c>
      <c r="B267" s="2626">
        <v>105.158</v>
      </c>
      <c r="C267" s="2628" t="s">
        <v>1978</v>
      </c>
      <c r="D267" s="2290"/>
      <c r="E267" s="1786">
        <v>293718</v>
      </c>
      <c r="F267" s="1786">
        <v>0</v>
      </c>
      <c r="G267" s="1786">
        <v>0</v>
      </c>
      <c r="H267" s="1786">
        <v>0</v>
      </c>
      <c r="I267" s="1786">
        <f>E267</f>
        <v>293718</v>
      </c>
      <c r="J267" s="2465" t="s">
        <v>2071</v>
      </c>
    </row>
    <row r="268" spans="1:10" ht="25.5">
      <c r="A268" s="1782">
        <v>287605</v>
      </c>
      <c r="B268" s="2626">
        <v>105.15900000000001</v>
      </c>
      <c r="C268" s="2628" t="s">
        <v>1979</v>
      </c>
      <c r="D268" s="2290"/>
      <c r="E268" s="1786">
        <v>6889481</v>
      </c>
      <c r="F268" s="1786">
        <v>0</v>
      </c>
      <c r="G268" s="1786">
        <f>+E268</f>
        <v>6889481</v>
      </c>
      <c r="H268" s="1786">
        <v>0</v>
      </c>
      <c r="I268" s="1786">
        <v>0</v>
      </c>
      <c r="J268" s="2465" t="s">
        <v>2071</v>
      </c>
    </row>
    <row r="269" spans="1:10" ht="25.5">
      <c r="A269" s="1782">
        <v>287605</v>
      </c>
      <c r="B269" s="2626">
        <v>105.131</v>
      </c>
      <c r="C269" s="2628" t="s">
        <v>585</v>
      </c>
      <c r="D269" s="2290"/>
      <c r="E269" s="1786">
        <v>185416334</v>
      </c>
      <c r="F269" s="1786">
        <f t="shared" si="3"/>
        <v>185416334</v>
      </c>
      <c r="G269" s="1786">
        <v>0</v>
      </c>
      <c r="H269" s="1786">
        <v>0</v>
      </c>
      <c r="I269" s="1786">
        <v>0</v>
      </c>
      <c r="J269" s="1785" t="s">
        <v>1234</v>
      </c>
    </row>
    <row r="270" spans="1:10" ht="49.5" customHeight="1">
      <c r="A270" s="1782">
        <v>287605</v>
      </c>
      <c r="B270" s="2626">
        <v>105.14</v>
      </c>
      <c r="C270" s="2628" t="s">
        <v>579</v>
      </c>
      <c r="D270" s="2290"/>
      <c r="E270" s="1786">
        <v>21156038</v>
      </c>
      <c r="F270" s="1786">
        <f t="shared" si="3"/>
        <v>21156038</v>
      </c>
      <c r="G270" s="1786">
        <v>0</v>
      </c>
      <c r="H270" s="1786">
        <v>0</v>
      </c>
      <c r="I270" s="1786">
        <v>0</v>
      </c>
      <c r="J270" s="1785" t="s">
        <v>1222</v>
      </c>
    </row>
    <row r="271" spans="1:10" ht="38.25" customHeight="1">
      <c r="A271" s="1782">
        <v>287605</v>
      </c>
      <c r="B271" s="2626">
        <v>105.122</v>
      </c>
      <c r="C271" s="2628" t="s">
        <v>1485</v>
      </c>
      <c r="D271" s="2290"/>
      <c r="E271" s="1786">
        <v>-339593180</v>
      </c>
      <c r="F271" s="1786">
        <f t="shared" si="3"/>
        <v>-339593180</v>
      </c>
      <c r="G271" s="1786">
        <v>0</v>
      </c>
      <c r="H271" s="1786">
        <v>0</v>
      </c>
      <c r="I271" s="1786">
        <v>0</v>
      </c>
      <c r="J271" s="1785" t="s">
        <v>1215</v>
      </c>
    </row>
    <row r="272" spans="1:10" ht="52.5" customHeight="1">
      <c r="A272" s="1782">
        <v>287221</v>
      </c>
      <c r="B272" s="2626">
        <v>415.93299999999999</v>
      </c>
      <c r="C272" s="2628" t="s">
        <v>1673</v>
      </c>
      <c r="D272" s="2290"/>
      <c r="E272" s="1786">
        <v>-306766</v>
      </c>
      <c r="F272" s="1786">
        <f t="shared" si="3"/>
        <v>-306766</v>
      </c>
      <c r="G272" s="1786">
        <v>0</v>
      </c>
      <c r="H272" s="1786">
        <v>0</v>
      </c>
      <c r="I272" s="1786">
        <v>0</v>
      </c>
      <c r="J272" s="1785" t="s">
        <v>1674</v>
      </c>
    </row>
    <row r="273" spans="1:10" ht="51">
      <c r="A273" s="1782">
        <v>287222</v>
      </c>
      <c r="B273" s="2626">
        <v>415.93400000000003</v>
      </c>
      <c r="C273" s="2628" t="s">
        <v>1675</v>
      </c>
      <c r="D273" s="2290"/>
      <c r="E273" s="1786">
        <v>-2219066</v>
      </c>
      <c r="F273" s="1786">
        <f t="shared" si="3"/>
        <v>-2219066</v>
      </c>
      <c r="G273" s="1786">
        <v>0</v>
      </c>
      <c r="H273" s="1786">
        <v>0</v>
      </c>
      <c r="I273" s="1786">
        <v>0</v>
      </c>
      <c r="J273" s="1785" t="s">
        <v>1676</v>
      </c>
    </row>
    <row r="274" spans="1:10" ht="51">
      <c r="A274" s="1782">
        <v>287223</v>
      </c>
      <c r="B274" s="2626">
        <v>415.935</v>
      </c>
      <c r="C274" s="2628" t="s">
        <v>1677</v>
      </c>
      <c r="D274" s="2290"/>
      <c r="E274" s="1786">
        <v>-394782</v>
      </c>
      <c r="F274" s="1786">
        <f t="shared" si="3"/>
        <v>-394782</v>
      </c>
      <c r="G274" s="1786">
        <v>0</v>
      </c>
      <c r="H274" s="1786">
        <v>0</v>
      </c>
      <c r="I274" s="1786">
        <v>0</v>
      </c>
      <c r="J274" s="1785" t="s">
        <v>1678</v>
      </c>
    </row>
    <row r="275" spans="1:10" ht="64.5" customHeight="1">
      <c r="A275" s="1782">
        <v>287189</v>
      </c>
      <c r="B275" s="2626">
        <v>100.122</v>
      </c>
      <c r="C275" s="2628" t="s">
        <v>2084</v>
      </c>
      <c r="D275" s="2290"/>
      <c r="E275" s="1786">
        <v>9518340</v>
      </c>
      <c r="F275" s="1786">
        <f t="shared" si="3"/>
        <v>9518340</v>
      </c>
      <c r="G275" s="1786">
        <v>0</v>
      </c>
      <c r="H275" s="1786">
        <v>0</v>
      </c>
      <c r="I275" s="1786">
        <v>0</v>
      </c>
      <c r="J275" s="1785" t="s">
        <v>2080</v>
      </c>
    </row>
    <row r="276" spans="1:10" ht="102">
      <c r="A276" s="1782">
        <v>287187</v>
      </c>
      <c r="B276" s="2626">
        <v>100.121</v>
      </c>
      <c r="C276" s="2628" t="s">
        <v>2085</v>
      </c>
      <c r="D276" s="2290"/>
      <c r="E276" s="1786">
        <f>-162593212+1581649853</f>
        <v>1419056641</v>
      </c>
      <c r="F276" s="1786">
        <f t="shared" si="3"/>
        <v>1419056641</v>
      </c>
      <c r="G276" s="1786">
        <v>0</v>
      </c>
      <c r="H276" s="1786">
        <v>0</v>
      </c>
      <c r="I276" s="1786">
        <v>0</v>
      </c>
      <c r="J276" s="2466" t="s">
        <v>2081</v>
      </c>
    </row>
    <row r="277" spans="1:10" ht="12.75">
      <c r="A277" s="1782">
        <v>287313</v>
      </c>
      <c r="B277" s="2626">
        <v>105.45</v>
      </c>
      <c r="C277" s="2628" t="s">
        <v>1486</v>
      </c>
      <c r="D277" s="2290"/>
      <c r="E277" s="1786">
        <v>237671838</v>
      </c>
      <c r="F277" s="1786">
        <f t="shared" si="3"/>
        <v>237671838</v>
      </c>
      <c r="G277" s="1786">
        <v>0</v>
      </c>
      <c r="H277" s="1786">
        <v>0</v>
      </c>
      <c r="I277" s="1786">
        <v>0</v>
      </c>
      <c r="J277" s="1785" t="s">
        <v>1210</v>
      </c>
    </row>
    <row r="278" spans="1:10" s="1343" customFormat="1" ht="25.5">
      <c r="A278" s="1782">
        <v>287605</v>
      </c>
      <c r="B278" s="2626">
        <v>105.13500000000001</v>
      </c>
      <c r="C278" s="2628" t="s">
        <v>1219</v>
      </c>
      <c r="D278" s="2290"/>
      <c r="E278" s="1786">
        <v>306439</v>
      </c>
      <c r="F278" s="1786">
        <f t="shared" si="3"/>
        <v>306439</v>
      </c>
      <c r="G278" s="1786">
        <v>0</v>
      </c>
      <c r="H278" s="1786">
        <v>0</v>
      </c>
      <c r="I278" s="1786">
        <v>0</v>
      </c>
      <c r="J278" s="1785" t="s">
        <v>1220</v>
      </c>
    </row>
    <row r="279" spans="1:10" s="1343" customFormat="1" ht="89.25">
      <c r="A279" s="1782">
        <v>287605</v>
      </c>
      <c r="B279" s="2626">
        <v>105.123</v>
      </c>
      <c r="C279" s="2628" t="s">
        <v>576</v>
      </c>
      <c r="D279" s="2290"/>
      <c r="E279" s="1786">
        <v>-154568137</v>
      </c>
      <c r="F279" s="1786">
        <f t="shared" si="3"/>
        <v>-154568137</v>
      </c>
      <c r="G279" s="1786">
        <v>0</v>
      </c>
      <c r="H279" s="1786">
        <v>0</v>
      </c>
      <c r="I279" s="1786">
        <v>0</v>
      </c>
      <c r="J279" s="1785" t="s">
        <v>1216</v>
      </c>
    </row>
    <row r="280" spans="1:10" s="1343" customFormat="1" ht="51">
      <c r="A280" s="1782">
        <v>287605</v>
      </c>
      <c r="B280" s="2626">
        <v>105.116</v>
      </c>
      <c r="C280" s="2628" t="s">
        <v>1679</v>
      </c>
      <c r="D280" s="2290"/>
      <c r="E280" s="1786">
        <v>-5732</v>
      </c>
      <c r="F280" s="1786">
        <f t="shared" si="3"/>
        <v>-5732</v>
      </c>
      <c r="G280" s="1786">
        <v>0</v>
      </c>
      <c r="H280" s="1786">
        <v>0</v>
      </c>
      <c r="I280" s="1786">
        <v>0</v>
      </c>
      <c r="J280" s="1785" t="s">
        <v>1680</v>
      </c>
    </row>
    <row r="281" spans="1:10" s="1343" customFormat="1" ht="25.5">
      <c r="A281" s="1782">
        <v>287771</v>
      </c>
      <c r="B281" s="2626">
        <v>110.205</v>
      </c>
      <c r="C281" s="2628" t="s">
        <v>588</v>
      </c>
      <c r="D281" s="2290"/>
      <c r="E281" s="1786">
        <v>162913</v>
      </c>
      <c r="F281" s="1786">
        <f t="shared" si="3"/>
        <v>162913</v>
      </c>
      <c r="G281" s="1786">
        <v>0</v>
      </c>
      <c r="H281" s="1786">
        <v>0</v>
      </c>
      <c r="I281" s="1786">
        <v>0</v>
      </c>
      <c r="J281" s="1785" t="s">
        <v>1238</v>
      </c>
    </row>
    <row r="282" spans="1:10" s="1343" customFormat="1" ht="12.75">
      <c r="A282" s="1782">
        <v>287301</v>
      </c>
      <c r="B282" s="2626">
        <v>105.471</v>
      </c>
      <c r="C282" s="2628" t="s">
        <v>1487</v>
      </c>
      <c r="D282" s="2290"/>
      <c r="E282" s="1786">
        <v>8680735</v>
      </c>
      <c r="F282" s="1786">
        <f t="shared" si="3"/>
        <v>8680735</v>
      </c>
      <c r="G282" s="1786">
        <v>0</v>
      </c>
      <c r="H282" s="1786">
        <v>0</v>
      </c>
      <c r="I282" s="1786">
        <v>0</v>
      </c>
      <c r="J282" s="1785" t="s">
        <v>2072</v>
      </c>
    </row>
    <row r="283" spans="1:10" s="1343" customFormat="1" ht="15">
      <c r="A283" s="2298"/>
      <c r="B283" s="2298" t="s">
        <v>439</v>
      </c>
      <c r="C283" s="2537"/>
      <c r="D283" s="2539"/>
      <c r="E283" s="2168">
        <v>-4</v>
      </c>
      <c r="F283" s="2168">
        <f>E283</f>
        <v>-4</v>
      </c>
      <c r="G283" s="2168"/>
      <c r="H283" s="2168"/>
      <c r="I283" s="2168"/>
      <c r="J283" s="2169"/>
    </row>
    <row r="284" spans="1:10" ht="12.75">
      <c r="A284" s="2301" t="s">
        <v>323</v>
      </c>
      <c r="B284" s="2542"/>
      <c r="C284" s="2474"/>
      <c r="D284" s="2478"/>
      <c r="E284" s="2305">
        <f>SUM(E226:E283)</f>
        <v>-2972737275</v>
      </c>
      <c r="F284" s="2305">
        <f>SUM(F226:F283)</f>
        <v>-1619601485</v>
      </c>
      <c r="G284" s="2305">
        <f>SUM(G226:G283)</f>
        <v>-1126053513</v>
      </c>
      <c r="H284" s="2305">
        <f>SUM(H226:H283)</f>
        <v>19603379</v>
      </c>
      <c r="I284" s="2305">
        <f>SUM(I226:I283)</f>
        <v>-246685656</v>
      </c>
      <c r="J284" s="2306"/>
    </row>
    <row r="285" spans="1:10" ht="12.75">
      <c r="A285" s="2301" t="s">
        <v>198</v>
      </c>
      <c r="B285" s="2542"/>
      <c r="C285" s="2474"/>
      <c r="D285" s="2478"/>
      <c r="E285" s="2634">
        <f>E265+E275+E276</f>
        <v>1428574981</v>
      </c>
      <c r="F285" s="2634">
        <f>E285</f>
        <v>1428574981</v>
      </c>
      <c r="G285" s="2634">
        <f>+G265</f>
        <v>0</v>
      </c>
      <c r="H285" s="2634">
        <f>+H265</f>
        <v>0</v>
      </c>
      <c r="I285" s="2634">
        <f>+I265</f>
        <v>0</v>
      </c>
      <c r="J285" s="2308"/>
    </row>
    <row r="286" spans="1:10" ht="12.75">
      <c r="A286" s="2543" t="s">
        <v>199</v>
      </c>
      <c r="B286" s="2544"/>
      <c r="C286" s="2311"/>
      <c r="D286" s="2545"/>
      <c r="E286" s="2634">
        <v>0</v>
      </c>
      <c r="F286" s="2634">
        <v>0</v>
      </c>
      <c r="G286" s="2634">
        <v>0</v>
      </c>
      <c r="H286" s="2634">
        <v>0</v>
      </c>
      <c r="I286" s="2634">
        <v>0</v>
      </c>
      <c r="J286" s="2308"/>
    </row>
    <row r="287" spans="1:10" ht="12.75">
      <c r="A287" s="2313" t="s">
        <v>282</v>
      </c>
      <c r="B287" s="2477"/>
      <c r="C287" s="2474"/>
      <c r="D287" s="2478"/>
      <c r="E287" s="2305">
        <f>+E284-E285-E286</f>
        <v>-4401312256</v>
      </c>
      <c r="F287" s="2305">
        <f>+F284-F285-F286</f>
        <v>-3048176466</v>
      </c>
      <c r="G287" s="2305">
        <f>+G284-G285-G286</f>
        <v>-1126053513</v>
      </c>
      <c r="H287" s="2305">
        <f>+H284-H285-H286</f>
        <v>19603379</v>
      </c>
      <c r="I287" s="2305">
        <f>+I284-I285-I286</f>
        <v>-246685656</v>
      </c>
      <c r="J287" s="2308"/>
    </row>
    <row r="288" spans="1:10" ht="15">
      <c r="A288" s="2546"/>
      <c r="B288" s="2546"/>
      <c r="C288" s="2526"/>
      <c r="D288" s="2547"/>
      <c r="E288" s="2547"/>
      <c r="F288" s="2547"/>
      <c r="G288" s="2548"/>
      <c r="H288" s="2548"/>
      <c r="I288" s="2485"/>
      <c r="J288" s="1378"/>
    </row>
    <row r="289" spans="1:10">
      <c r="A289" s="2546"/>
      <c r="B289" s="2546"/>
      <c r="C289" s="2486" t="s">
        <v>70</v>
      </c>
      <c r="D289" s="2311"/>
      <c r="E289" s="2311"/>
      <c r="F289" s="2311"/>
      <c r="G289" s="2528"/>
      <c r="H289" s="2529"/>
      <c r="I289" s="2485"/>
      <c r="J289" s="1378"/>
    </row>
    <row r="290" spans="1:10" ht="25.5">
      <c r="A290" s="2546"/>
      <c r="B290" s="2546"/>
      <c r="C290" s="2549" t="s">
        <v>132</v>
      </c>
      <c r="D290" s="2492"/>
      <c r="E290" s="2492"/>
      <c r="F290" s="2492"/>
      <c r="G290" s="2492"/>
      <c r="H290" s="2493"/>
      <c r="I290" s="2485"/>
      <c r="J290" s="1378"/>
    </row>
    <row r="291" spans="1:10">
      <c r="A291" s="2546"/>
      <c r="B291" s="2546"/>
      <c r="C291" s="2491" t="s">
        <v>133</v>
      </c>
      <c r="D291" s="2335"/>
      <c r="E291" s="2335"/>
      <c r="F291" s="2335"/>
      <c r="G291" s="2530"/>
      <c r="H291" s="2531"/>
      <c r="I291" s="2485"/>
      <c r="J291" s="1378"/>
    </row>
    <row r="292" spans="1:10">
      <c r="A292" s="2546"/>
      <c r="B292" s="2546"/>
      <c r="C292" s="2491" t="s">
        <v>262</v>
      </c>
      <c r="D292" s="2335"/>
      <c r="E292" s="2335"/>
      <c r="F292" s="2335"/>
      <c r="G292" s="2530"/>
      <c r="H292" s="2531"/>
      <c r="I292" s="2485"/>
      <c r="J292" s="1378"/>
    </row>
    <row r="293" spans="1:10">
      <c r="A293" s="2546"/>
      <c r="B293" s="2546"/>
      <c r="C293" s="2491" t="s">
        <v>264</v>
      </c>
      <c r="D293" s="2335"/>
      <c r="E293" s="2335"/>
      <c r="F293" s="2335"/>
      <c r="G293" s="2530"/>
      <c r="H293" s="2531"/>
      <c r="I293" s="2485"/>
      <c r="J293" s="1378"/>
    </row>
    <row r="294" spans="1:10">
      <c r="A294" s="2546"/>
      <c r="B294" s="2546"/>
      <c r="C294" s="2673" t="s">
        <v>18</v>
      </c>
      <c r="D294" s="2671"/>
      <c r="E294" s="2671"/>
      <c r="F294" s="2671"/>
      <c r="G294" s="2671"/>
      <c r="H294" s="2672"/>
      <c r="I294" s="2550"/>
      <c r="J294" s="1378"/>
    </row>
    <row r="295" spans="1:10">
      <c r="A295" s="2546"/>
      <c r="B295" s="2546"/>
      <c r="C295" s="2492"/>
      <c r="D295" s="2492"/>
      <c r="E295" s="2492"/>
      <c r="F295" s="2492"/>
      <c r="G295" s="2492"/>
      <c r="H295" s="2492"/>
      <c r="I295" s="2550"/>
      <c r="J295" s="1378"/>
    </row>
    <row r="296" spans="1:10" ht="15">
      <c r="A296" s="2551" t="s">
        <v>365</v>
      </c>
      <c r="B296" s="2551"/>
      <c r="C296" s="2552"/>
      <c r="D296" s="2530"/>
      <c r="E296" s="2530"/>
      <c r="F296" s="2530"/>
      <c r="G296" s="2530"/>
      <c r="H296" s="2530"/>
      <c r="I296" s="2553"/>
      <c r="J296" s="1378"/>
    </row>
    <row r="297" spans="1:10" ht="15">
      <c r="A297" s="2554"/>
      <c r="B297" s="2554"/>
      <c r="C297" s="2554"/>
      <c r="D297" s="2555"/>
      <c r="E297" s="2555"/>
      <c r="F297" s="2555"/>
      <c r="G297" s="2555"/>
      <c r="H297" s="2555"/>
      <c r="I297" s="2554"/>
      <c r="J297" s="1378"/>
    </row>
    <row r="298" spans="1:10">
      <c r="A298" s="2502" t="s">
        <v>661</v>
      </c>
      <c r="B298" s="2546"/>
      <c r="C298" s="2550"/>
      <c r="D298" s="2335"/>
      <c r="E298" s="2335"/>
      <c r="F298" s="2335"/>
      <c r="G298" s="2335"/>
      <c r="H298" s="2556"/>
      <c r="I298" s="2485"/>
      <c r="J298" s="1378"/>
    </row>
    <row r="299" spans="1:10" ht="15">
      <c r="A299" s="2504" t="s">
        <v>663</v>
      </c>
      <c r="B299" s="2546"/>
      <c r="C299" s="2550"/>
      <c r="D299" s="2335"/>
      <c r="E299" s="2335"/>
      <c r="F299" s="2335"/>
      <c r="G299" s="2335"/>
      <c r="H299" s="2556"/>
      <c r="I299" s="2485"/>
      <c r="J299" s="1378"/>
    </row>
    <row r="300" spans="1:10">
      <c r="A300" s="2546"/>
      <c r="B300" s="2546"/>
      <c r="C300" s="2507" t="s">
        <v>227</v>
      </c>
      <c r="D300" s="2508"/>
      <c r="E300" s="2507" t="s">
        <v>283</v>
      </c>
      <c r="F300" s="2507" t="s">
        <v>215</v>
      </c>
      <c r="G300" s="2507" t="s">
        <v>228</v>
      </c>
      <c r="H300" s="2507" t="s">
        <v>226</v>
      </c>
      <c r="I300" s="2507" t="s">
        <v>107</v>
      </c>
      <c r="J300" s="2507" t="s">
        <v>229</v>
      </c>
    </row>
    <row r="301" spans="1:10" s="437" customFormat="1">
      <c r="A301" s="2546"/>
      <c r="B301" s="2546"/>
      <c r="C301" s="2550"/>
      <c r="D301" s="1378"/>
      <c r="E301" s="1463"/>
      <c r="F301" s="2019" t="s">
        <v>257</v>
      </c>
      <c r="G301" s="1463"/>
      <c r="H301" s="2019"/>
      <c r="I301" s="2019"/>
      <c r="J301" s="2557"/>
    </row>
    <row r="302" spans="1:10" s="437" customFormat="1" ht="15">
      <c r="A302" s="2504"/>
      <c r="B302" s="2546"/>
      <c r="C302" s="2526"/>
      <c r="D302" s="1378"/>
      <c r="E302" s="2019" t="s">
        <v>282</v>
      </c>
      <c r="F302" s="2019" t="s">
        <v>258</v>
      </c>
      <c r="G302" s="2019" t="s">
        <v>57</v>
      </c>
      <c r="H302" s="2019" t="s">
        <v>61</v>
      </c>
      <c r="I302" s="2019" t="s">
        <v>63</v>
      </c>
      <c r="J302" s="2557"/>
    </row>
    <row r="303" spans="1:10" s="437" customFormat="1" ht="15">
      <c r="A303" s="2546"/>
      <c r="B303" s="2546"/>
      <c r="C303" s="2550"/>
      <c r="D303" s="1378"/>
      <c r="E303" s="2019"/>
      <c r="F303" s="2019" t="s">
        <v>62</v>
      </c>
      <c r="G303" s="2019" t="s">
        <v>62</v>
      </c>
      <c r="H303" s="2019" t="s">
        <v>62</v>
      </c>
      <c r="I303" s="2019" t="s">
        <v>62</v>
      </c>
      <c r="J303" s="2535" t="s">
        <v>208</v>
      </c>
    </row>
    <row r="304" spans="1:10" ht="15">
      <c r="A304" s="2536" t="s">
        <v>256</v>
      </c>
      <c r="B304" s="2537"/>
      <c r="C304" s="2537"/>
      <c r="D304" s="2558"/>
      <c r="E304" s="2559"/>
      <c r="F304" s="2559"/>
      <c r="G304" s="2559"/>
      <c r="H304" s="2559"/>
      <c r="I304" s="2559"/>
      <c r="J304" s="2541"/>
    </row>
    <row r="305" spans="1:10" ht="15">
      <c r="A305" s="2473" t="s">
        <v>1488</v>
      </c>
      <c r="B305" s="2560"/>
      <c r="C305" s="2537"/>
      <c r="D305" s="2558"/>
      <c r="E305" s="2559"/>
      <c r="F305" s="2559"/>
      <c r="G305" s="2559"/>
      <c r="H305" s="2559"/>
      <c r="I305" s="2559"/>
      <c r="J305" s="2541"/>
    </row>
    <row r="306" spans="1:10" ht="37.5" customHeight="1">
      <c r="A306" s="1782">
        <v>287847</v>
      </c>
      <c r="B306" s="2626">
        <v>415.423</v>
      </c>
      <c r="C306" s="2628" t="s">
        <v>1681</v>
      </c>
      <c r="D306" s="2290"/>
      <c r="E306" s="1786">
        <v>0</v>
      </c>
      <c r="F306" s="1786">
        <f>E306</f>
        <v>0</v>
      </c>
      <c r="G306" s="1786">
        <v>0</v>
      </c>
      <c r="H306" s="1786">
        <v>0</v>
      </c>
      <c r="I306" s="1786">
        <v>0</v>
      </c>
      <c r="J306" s="2465" t="s">
        <v>2086</v>
      </c>
    </row>
    <row r="307" spans="1:10" ht="26.25" customHeight="1">
      <c r="A307" s="1782">
        <v>287849</v>
      </c>
      <c r="B307" s="2626">
        <v>415.42399999999998</v>
      </c>
      <c r="C307" s="2628" t="s">
        <v>1682</v>
      </c>
      <c r="D307" s="2290"/>
      <c r="E307" s="1786">
        <v>17785014</v>
      </c>
      <c r="F307" s="1786">
        <f>E307</f>
        <v>17785014</v>
      </c>
      <c r="G307" s="1786">
        <v>0</v>
      </c>
      <c r="H307" s="1786">
        <v>0</v>
      </c>
      <c r="I307" s="1786">
        <v>0</v>
      </c>
      <c r="J307" s="1785" t="s">
        <v>1779</v>
      </c>
    </row>
    <row r="308" spans="1:10" ht="26.25" customHeight="1">
      <c r="A308" s="1782">
        <v>287841</v>
      </c>
      <c r="B308" s="2626">
        <v>415.411</v>
      </c>
      <c r="C308" s="2628" t="s">
        <v>1778</v>
      </c>
      <c r="D308" s="2290"/>
      <c r="E308" s="1786">
        <v>580518</v>
      </c>
      <c r="F308" s="1786">
        <f t="shared" ref="F308:F370" si="4">E308</f>
        <v>580518</v>
      </c>
      <c r="G308" s="1786">
        <v>0</v>
      </c>
      <c r="H308" s="1786">
        <v>0</v>
      </c>
      <c r="I308" s="1786">
        <v>0</v>
      </c>
      <c r="J308" s="2465" t="s">
        <v>1777</v>
      </c>
    </row>
    <row r="309" spans="1:10" ht="26.25" customHeight="1">
      <c r="A309" s="1782">
        <v>287842</v>
      </c>
      <c r="B309" s="2626">
        <v>415.41199999999998</v>
      </c>
      <c r="C309" s="2628" t="s">
        <v>1776</v>
      </c>
      <c r="D309" s="2290"/>
      <c r="E309" s="1786">
        <v>311999</v>
      </c>
      <c r="F309" s="1786">
        <f t="shared" si="4"/>
        <v>311999</v>
      </c>
      <c r="G309" s="1786">
        <v>0</v>
      </c>
      <c r="H309" s="1786">
        <v>0</v>
      </c>
      <c r="I309" s="1786">
        <v>0</v>
      </c>
      <c r="J309" s="2465" t="s">
        <v>1775</v>
      </c>
    </row>
    <row r="310" spans="1:10" ht="26.25" customHeight="1">
      <c r="A310" s="1782">
        <v>287843</v>
      </c>
      <c r="B310" s="2626">
        <v>415.41300000000001</v>
      </c>
      <c r="C310" s="2628" t="s">
        <v>1774</v>
      </c>
      <c r="D310" s="2290"/>
      <c r="E310" s="1786">
        <v>1388107</v>
      </c>
      <c r="F310" s="1786">
        <f t="shared" si="4"/>
        <v>1388107</v>
      </c>
      <c r="G310" s="1786">
        <v>0</v>
      </c>
      <c r="H310" s="1786">
        <v>0</v>
      </c>
      <c r="I310" s="1786">
        <v>0</v>
      </c>
      <c r="J310" s="2465" t="s">
        <v>1773</v>
      </c>
    </row>
    <row r="311" spans="1:10" ht="26.25" customHeight="1">
      <c r="A311" s="1782">
        <v>287844</v>
      </c>
      <c r="B311" s="2626">
        <v>415.41399999999999</v>
      </c>
      <c r="C311" s="2628" t="s">
        <v>1772</v>
      </c>
      <c r="D311" s="2290"/>
      <c r="E311" s="1786">
        <v>972474</v>
      </c>
      <c r="F311" s="1786">
        <f t="shared" si="4"/>
        <v>972474</v>
      </c>
      <c r="G311" s="1786">
        <v>0</v>
      </c>
      <c r="H311" s="1786">
        <v>0</v>
      </c>
      <c r="I311" s="1786">
        <v>0</v>
      </c>
      <c r="J311" s="2465" t="s">
        <v>1771</v>
      </c>
    </row>
    <row r="312" spans="1:10" ht="26.25" customHeight="1">
      <c r="A312" s="1782">
        <v>287845</v>
      </c>
      <c r="B312" s="2626">
        <v>415.41500000000002</v>
      </c>
      <c r="C312" s="2628" t="s">
        <v>1770</v>
      </c>
      <c r="D312" s="2290"/>
      <c r="E312" s="1786">
        <v>2603813</v>
      </c>
      <c r="F312" s="1786">
        <f t="shared" si="4"/>
        <v>2603813</v>
      </c>
      <c r="G312" s="1786">
        <v>0</v>
      </c>
      <c r="H312" s="1786">
        <v>0</v>
      </c>
      <c r="I312" s="1786">
        <v>0</v>
      </c>
      <c r="J312" s="2465" t="s">
        <v>1769</v>
      </c>
    </row>
    <row r="313" spans="1:10" ht="26.25" customHeight="1">
      <c r="A313" s="1782">
        <v>287846</v>
      </c>
      <c r="B313" s="2626">
        <v>415.416</v>
      </c>
      <c r="C313" s="2628" t="s">
        <v>1768</v>
      </c>
      <c r="D313" s="2290"/>
      <c r="E313" s="1786">
        <v>92367</v>
      </c>
      <c r="F313" s="1786">
        <f t="shared" si="4"/>
        <v>92367</v>
      </c>
      <c r="G313" s="1786">
        <v>0</v>
      </c>
      <c r="H313" s="1786">
        <v>0</v>
      </c>
      <c r="I313" s="1786">
        <v>0</v>
      </c>
      <c r="J313" s="2465" t="s">
        <v>1767</v>
      </c>
    </row>
    <row r="314" spans="1:10" ht="38.25">
      <c r="A314" s="1782">
        <v>287850</v>
      </c>
      <c r="B314" s="2626">
        <v>415.42500000000001</v>
      </c>
      <c r="C314" s="2628" t="s">
        <v>1766</v>
      </c>
      <c r="D314" s="2290"/>
      <c r="E314" s="1786">
        <v>1056972</v>
      </c>
      <c r="F314" s="1786">
        <f t="shared" si="4"/>
        <v>1056972</v>
      </c>
      <c r="G314" s="1786">
        <v>0</v>
      </c>
      <c r="H314" s="1786">
        <v>0</v>
      </c>
      <c r="I314" s="1786">
        <v>0</v>
      </c>
      <c r="J314" s="2465" t="s">
        <v>1765</v>
      </c>
    </row>
    <row r="315" spans="1:10" ht="39" customHeight="1">
      <c r="A315" s="1782">
        <v>287851</v>
      </c>
      <c r="B315" s="2626">
        <v>415.41699999999997</v>
      </c>
      <c r="C315" s="2628" t="s">
        <v>1764</v>
      </c>
      <c r="D315" s="2290"/>
      <c r="E315" s="1786">
        <v>445650</v>
      </c>
      <c r="F315" s="1786">
        <f t="shared" si="4"/>
        <v>445650</v>
      </c>
      <c r="G315" s="1786">
        <v>0</v>
      </c>
      <c r="H315" s="1786">
        <v>0</v>
      </c>
      <c r="I315" s="1786">
        <v>0</v>
      </c>
      <c r="J315" s="2465" t="s">
        <v>1763</v>
      </c>
    </row>
    <row r="316" spans="1:10" ht="39.75" customHeight="1">
      <c r="A316" s="1782">
        <v>287855</v>
      </c>
      <c r="B316" s="2626">
        <v>415.42099999999999</v>
      </c>
      <c r="C316" s="2628" t="s">
        <v>1762</v>
      </c>
      <c r="D316" s="2290"/>
      <c r="E316" s="1786">
        <v>1998887</v>
      </c>
      <c r="F316" s="1786">
        <f t="shared" si="4"/>
        <v>1998887</v>
      </c>
      <c r="G316" s="1786">
        <v>0</v>
      </c>
      <c r="H316" s="1786">
        <v>0</v>
      </c>
      <c r="I316" s="1786">
        <v>0</v>
      </c>
      <c r="J316" s="2465" t="s">
        <v>1761</v>
      </c>
    </row>
    <row r="317" spans="1:10" ht="25.5">
      <c r="A317" s="1782">
        <v>287747</v>
      </c>
      <c r="B317" s="2626">
        <v>705.24</v>
      </c>
      <c r="C317" s="2628" t="s">
        <v>1760</v>
      </c>
      <c r="D317" s="2290"/>
      <c r="E317" s="1786">
        <v>-128957</v>
      </c>
      <c r="F317" s="1786">
        <f t="shared" si="4"/>
        <v>-128957</v>
      </c>
      <c r="G317" s="1786">
        <v>0</v>
      </c>
      <c r="H317" s="1786">
        <v>0</v>
      </c>
      <c r="I317" s="1786">
        <v>0</v>
      </c>
      <c r="J317" s="2465" t="s">
        <v>1759</v>
      </c>
    </row>
    <row r="318" spans="1:10" ht="25.5">
      <c r="A318" s="1782">
        <v>287642</v>
      </c>
      <c r="B318" s="2626">
        <v>105.401</v>
      </c>
      <c r="C318" s="2628" t="s">
        <v>1489</v>
      </c>
      <c r="D318" s="2290"/>
      <c r="E318" s="1786">
        <v>-24558057</v>
      </c>
      <c r="F318" s="1786">
        <f t="shared" si="4"/>
        <v>-24558057</v>
      </c>
      <c r="G318" s="1786">
        <v>0</v>
      </c>
      <c r="H318" s="1786">
        <v>0</v>
      </c>
      <c r="I318" s="1786">
        <v>0</v>
      </c>
      <c r="J318" s="1785" t="s">
        <v>1255</v>
      </c>
    </row>
    <row r="319" spans="1:10" ht="52.5" customHeight="1">
      <c r="A319" s="1782">
        <v>287911</v>
      </c>
      <c r="B319" s="2626">
        <v>415.69900000000001</v>
      </c>
      <c r="C319" s="2628" t="s">
        <v>1683</v>
      </c>
      <c r="D319" s="2290"/>
      <c r="E319" s="1786">
        <v>-1511263</v>
      </c>
      <c r="F319" s="1786">
        <f t="shared" ref="F319:F326" si="5">E319</f>
        <v>-1511263</v>
      </c>
      <c r="G319" s="1786">
        <v>0</v>
      </c>
      <c r="H319" s="1786">
        <v>0</v>
      </c>
      <c r="I319" s="1786">
        <v>0</v>
      </c>
      <c r="J319" s="2465" t="s">
        <v>1758</v>
      </c>
    </row>
    <row r="320" spans="1:10" ht="25.5">
      <c r="A320" s="1782">
        <v>287997</v>
      </c>
      <c r="B320" s="2626">
        <v>415.86200000000002</v>
      </c>
      <c r="C320" s="2628" t="s">
        <v>1757</v>
      </c>
      <c r="D320" s="2290"/>
      <c r="E320" s="1786">
        <v>-18150</v>
      </c>
      <c r="F320" s="1786">
        <f t="shared" si="5"/>
        <v>-18150</v>
      </c>
      <c r="G320" s="1786">
        <v>0</v>
      </c>
      <c r="H320" s="1786">
        <v>0</v>
      </c>
      <c r="I320" s="1786">
        <v>0</v>
      </c>
      <c r="J320" s="2465" t="s">
        <v>1756</v>
      </c>
    </row>
    <row r="321" spans="1:10" ht="25.5">
      <c r="A321" s="1782">
        <v>287935</v>
      </c>
      <c r="B321" s="2626">
        <v>415.93599999999998</v>
      </c>
      <c r="C321" s="2628" t="s">
        <v>1980</v>
      </c>
      <c r="D321" s="2290"/>
      <c r="E321" s="1786">
        <v>-847911</v>
      </c>
      <c r="F321" s="1786">
        <f t="shared" si="5"/>
        <v>-847911</v>
      </c>
      <c r="G321" s="1786">
        <v>0</v>
      </c>
      <c r="H321" s="1786">
        <v>0</v>
      </c>
      <c r="I321" s="1786">
        <v>0</v>
      </c>
      <c r="J321" s="2465" t="s">
        <v>1981</v>
      </c>
    </row>
    <row r="322" spans="1:10" ht="39.75" customHeight="1">
      <c r="A322" s="1782">
        <v>286901</v>
      </c>
      <c r="B322" s="2626">
        <v>415.93799999999999</v>
      </c>
      <c r="C322" s="2628" t="s">
        <v>1982</v>
      </c>
      <c r="D322" s="2290"/>
      <c r="E322" s="1786">
        <v>12797</v>
      </c>
      <c r="F322" s="1786">
        <f t="shared" si="5"/>
        <v>12797</v>
      </c>
      <c r="G322" s="1786">
        <v>0</v>
      </c>
      <c r="H322" s="1786">
        <v>0</v>
      </c>
      <c r="I322" s="1786">
        <v>0</v>
      </c>
      <c r="J322" s="2465" t="s">
        <v>1983</v>
      </c>
    </row>
    <row r="323" spans="1:10" ht="39.75" customHeight="1">
      <c r="A323" s="1782">
        <v>286900</v>
      </c>
      <c r="B323" s="2626">
        <v>415.93700000000001</v>
      </c>
      <c r="C323" s="2628" t="s">
        <v>1984</v>
      </c>
      <c r="D323" s="2290"/>
      <c r="E323" s="1786">
        <v>68301</v>
      </c>
      <c r="F323" s="1786">
        <f t="shared" si="5"/>
        <v>68301</v>
      </c>
      <c r="G323" s="1786">
        <v>0</v>
      </c>
      <c r="H323" s="1786">
        <v>0</v>
      </c>
      <c r="I323" s="1786">
        <v>0</v>
      </c>
      <c r="J323" s="2465" t="s">
        <v>1985</v>
      </c>
    </row>
    <row r="324" spans="1:10" ht="42.75" customHeight="1">
      <c r="A324" s="1782">
        <v>287984</v>
      </c>
      <c r="B324" s="2626">
        <v>415.923</v>
      </c>
      <c r="C324" s="2628" t="s">
        <v>1684</v>
      </c>
      <c r="D324" s="2290"/>
      <c r="E324" s="1786">
        <v>-353043</v>
      </c>
      <c r="F324" s="1786">
        <f t="shared" si="5"/>
        <v>-353043</v>
      </c>
      <c r="G324" s="1786">
        <v>0</v>
      </c>
      <c r="H324" s="1786">
        <v>0</v>
      </c>
      <c r="I324" s="1786">
        <v>0</v>
      </c>
      <c r="J324" s="1785" t="s">
        <v>1685</v>
      </c>
    </row>
    <row r="325" spans="1:10" ht="42.75" customHeight="1">
      <c r="A325" s="1782">
        <v>287985</v>
      </c>
      <c r="B325" s="2626">
        <v>415.92399999999998</v>
      </c>
      <c r="C325" s="2628" t="s">
        <v>1686</v>
      </c>
      <c r="D325" s="2290"/>
      <c r="E325" s="1786">
        <v>-2540760</v>
      </c>
      <c r="F325" s="1786">
        <f t="shared" si="5"/>
        <v>-2540760</v>
      </c>
      <c r="G325" s="1786">
        <v>0</v>
      </c>
      <c r="H325" s="1786">
        <v>0</v>
      </c>
      <c r="I325" s="1786">
        <v>0</v>
      </c>
      <c r="J325" s="1785" t="s">
        <v>1687</v>
      </c>
    </row>
    <row r="326" spans="1:10" ht="42.75" customHeight="1">
      <c r="A326" s="1782">
        <v>287986</v>
      </c>
      <c r="B326" s="2626">
        <v>415.92500000000001</v>
      </c>
      <c r="C326" s="2628" t="s">
        <v>1688</v>
      </c>
      <c r="D326" s="2290"/>
      <c r="E326" s="1786">
        <v>-854277</v>
      </c>
      <c r="F326" s="1786">
        <f t="shared" si="5"/>
        <v>-854277</v>
      </c>
      <c r="G326" s="1786">
        <v>0</v>
      </c>
      <c r="H326" s="1786">
        <v>0</v>
      </c>
      <c r="I326" s="1786">
        <v>0</v>
      </c>
      <c r="J326" s="1785" t="s">
        <v>1689</v>
      </c>
    </row>
    <row r="327" spans="1:10" ht="38.25">
      <c r="A327" s="1782">
        <v>287760</v>
      </c>
      <c r="B327" s="2626">
        <v>415.89600000000002</v>
      </c>
      <c r="C327" s="2628" t="s">
        <v>1490</v>
      </c>
      <c r="D327" s="2290"/>
      <c r="E327" s="1786">
        <v>0</v>
      </c>
      <c r="F327" s="1786">
        <f t="shared" si="4"/>
        <v>0</v>
      </c>
      <c r="G327" s="1786">
        <v>0</v>
      </c>
      <c r="H327" s="1786">
        <v>0</v>
      </c>
      <c r="I327" s="1786">
        <v>0</v>
      </c>
      <c r="J327" s="1785" t="s">
        <v>1260</v>
      </c>
    </row>
    <row r="328" spans="1:10" ht="25.5">
      <c r="A328" s="1782">
        <v>287635</v>
      </c>
      <c r="B328" s="2626">
        <v>415.5</v>
      </c>
      <c r="C328" s="2628" t="s">
        <v>1491</v>
      </c>
      <c r="D328" s="2290"/>
      <c r="E328" s="1786">
        <v>0</v>
      </c>
      <c r="F328" s="1786">
        <f t="shared" si="4"/>
        <v>0</v>
      </c>
      <c r="G328" s="1786">
        <v>0</v>
      </c>
      <c r="H328" s="1786">
        <v>0</v>
      </c>
      <c r="I328" s="1786">
        <v>0</v>
      </c>
      <c r="J328" s="1785" t="s">
        <v>1252</v>
      </c>
    </row>
    <row r="329" spans="1:10" ht="39.75" customHeight="1">
      <c r="A329" s="1782">
        <v>287947</v>
      </c>
      <c r="B329" s="2626">
        <v>415.50099999999998</v>
      </c>
      <c r="C329" s="2628" t="s">
        <v>1492</v>
      </c>
      <c r="D329" s="2290"/>
      <c r="E329" s="1786">
        <v>0</v>
      </c>
      <c r="F329" s="1786">
        <f t="shared" si="4"/>
        <v>0</v>
      </c>
      <c r="G329" s="1786">
        <v>0</v>
      </c>
      <c r="H329" s="1786">
        <v>0</v>
      </c>
      <c r="I329" s="1786">
        <v>0</v>
      </c>
      <c r="J329" s="1785" t="s">
        <v>1276</v>
      </c>
    </row>
    <row r="330" spans="1:10" ht="39.75" customHeight="1">
      <c r="A330" s="1782">
        <v>287948</v>
      </c>
      <c r="B330" s="2626">
        <v>415.50200000000001</v>
      </c>
      <c r="C330" s="2628" t="s">
        <v>1493</v>
      </c>
      <c r="D330" s="2290"/>
      <c r="E330" s="1786">
        <v>0</v>
      </c>
      <c r="F330" s="1786">
        <f t="shared" si="4"/>
        <v>0</v>
      </c>
      <c r="G330" s="1786">
        <v>0</v>
      </c>
      <c r="H330" s="1786">
        <v>0</v>
      </c>
      <c r="I330" s="1786">
        <v>0</v>
      </c>
      <c r="J330" s="1785" t="s">
        <v>1277</v>
      </c>
    </row>
    <row r="331" spans="1:10" ht="39.75" customHeight="1">
      <c r="A331" s="1782">
        <v>287949</v>
      </c>
      <c r="B331" s="2626">
        <v>415.50299999999999</v>
      </c>
      <c r="C331" s="2628" t="s">
        <v>1494</v>
      </c>
      <c r="D331" s="2290"/>
      <c r="E331" s="1786">
        <v>0</v>
      </c>
      <c r="F331" s="1786">
        <f t="shared" si="4"/>
        <v>0</v>
      </c>
      <c r="G331" s="1786">
        <v>0</v>
      </c>
      <c r="H331" s="1786">
        <v>0</v>
      </c>
      <c r="I331" s="1786">
        <v>0</v>
      </c>
      <c r="J331" s="1785" t="s">
        <v>1278</v>
      </c>
    </row>
    <row r="332" spans="1:10" ht="39.75" customHeight="1">
      <c r="A332" s="1782">
        <v>287581</v>
      </c>
      <c r="B332" s="2626">
        <v>415.82400000000001</v>
      </c>
      <c r="C332" s="2628" t="s">
        <v>1495</v>
      </c>
      <c r="D332" s="2290"/>
      <c r="E332" s="1786">
        <v>22136</v>
      </c>
      <c r="F332" s="1786">
        <f t="shared" si="4"/>
        <v>22136</v>
      </c>
      <c r="G332" s="1786">
        <v>0</v>
      </c>
      <c r="H332" s="1786">
        <v>0</v>
      </c>
      <c r="I332" s="1786">
        <v>0</v>
      </c>
      <c r="J332" s="1785" t="s">
        <v>1245</v>
      </c>
    </row>
    <row r="333" spans="1:10" ht="39.75" customHeight="1">
      <c r="A333" s="1782">
        <v>287577</v>
      </c>
      <c r="B333" s="2626">
        <v>415.82</v>
      </c>
      <c r="C333" s="2628" t="s">
        <v>1496</v>
      </c>
      <c r="D333" s="2290"/>
      <c r="E333" s="1786">
        <v>247711</v>
      </c>
      <c r="F333" s="1786">
        <f t="shared" si="4"/>
        <v>247711</v>
      </c>
      <c r="G333" s="1786">
        <v>0</v>
      </c>
      <c r="H333" s="1786">
        <v>0</v>
      </c>
      <c r="I333" s="1786">
        <v>0</v>
      </c>
      <c r="J333" s="1785" t="s">
        <v>1243</v>
      </c>
    </row>
    <row r="334" spans="1:10" ht="39.75" customHeight="1">
      <c r="A334" s="1782">
        <v>286903</v>
      </c>
      <c r="B334" s="2626">
        <v>320.27100000000002</v>
      </c>
      <c r="C334" s="2628" t="s">
        <v>1986</v>
      </c>
      <c r="D334" s="2290"/>
      <c r="E334" s="1786">
        <v>806924</v>
      </c>
      <c r="F334" s="1786">
        <f t="shared" si="4"/>
        <v>806924</v>
      </c>
      <c r="G334" s="1786">
        <v>0</v>
      </c>
      <c r="H334" s="1786">
        <v>0</v>
      </c>
      <c r="I334" s="1786">
        <v>0</v>
      </c>
      <c r="J334" s="2465" t="s">
        <v>2073</v>
      </c>
    </row>
    <row r="335" spans="1:10" ht="27.75" customHeight="1">
      <c r="A335" s="1782">
        <v>287781</v>
      </c>
      <c r="B335" s="2626">
        <v>415.87</v>
      </c>
      <c r="C335" s="2628" t="s">
        <v>1497</v>
      </c>
      <c r="D335" s="2290"/>
      <c r="E335" s="1786">
        <v>-861405</v>
      </c>
      <c r="F335" s="1786">
        <f t="shared" si="4"/>
        <v>-861405</v>
      </c>
      <c r="G335" s="1786">
        <v>0</v>
      </c>
      <c r="H335" s="1786">
        <v>0</v>
      </c>
      <c r="I335" s="1786">
        <v>0</v>
      </c>
      <c r="J335" s="2466" t="s">
        <v>1498</v>
      </c>
    </row>
    <row r="336" spans="1:10" ht="27.75" customHeight="1">
      <c r="A336" s="1782">
        <v>287596</v>
      </c>
      <c r="B336" s="2626">
        <v>415.892</v>
      </c>
      <c r="C336" s="2628" t="s">
        <v>1499</v>
      </c>
      <c r="D336" s="2290"/>
      <c r="E336" s="1786">
        <v>-2331964</v>
      </c>
      <c r="F336" s="1786">
        <f t="shared" si="4"/>
        <v>-2331964</v>
      </c>
      <c r="G336" s="1786">
        <v>0</v>
      </c>
      <c r="H336" s="1786">
        <v>0</v>
      </c>
      <c r="I336" s="1786">
        <v>0</v>
      </c>
      <c r="J336" s="2466" t="s">
        <v>1500</v>
      </c>
    </row>
    <row r="337" spans="1:10" ht="27.75" customHeight="1">
      <c r="A337" s="1782">
        <v>287896</v>
      </c>
      <c r="B337" s="2626">
        <v>415.875</v>
      </c>
      <c r="C337" s="2628" t="s">
        <v>1501</v>
      </c>
      <c r="D337" s="2290"/>
      <c r="E337" s="1786">
        <v>-1858551</v>
      </c>
      <c r="F337" s="1786">
        <f t="shared" si="4"/>
        <v>-1858551</v>
      </c>
      <c r="G337" s="1786">
        <v>0</v>
      </c>
      <c r="H337" s="1786">
        <v>0</v>
      </c>
      <c r="I337" s="1786">
        <v>0</v>
      </c>
      <c r="J337" s="2466" t="s">
        <v>1502</v>
      </c>
    </row>
    <row r="338" spans="1:10" ht="40.5" customHeight="1">
      <c r="A338" s="1782">
        <v>287593</v>
      </c>
      <c r="B338" s="2626">
        <v>415.87400000000002</v>
      </c>
      <c r="C338" s="2628" t="s">
        <v>1503</v>
      </c>
      <c r="D338" s="2290"/>
      <c r="E338" s="1786">
        <v>0</v>
      </c>
      <c r="F338" s="1786">
        <f t="shared" si="4"/>
        <v>0</v>
      </c>
      <c r="G338" s="1786">
        <v>0</v>
      </c>
      <c r="H338" s="1786">
        <v>0</v>
      </c>
      <c r="I338" s="1786">
        <v>0</v>
      </c>
      <c r="J338" s="2466" t="s">
        <v>1504</v>
      </c>
    </row>
    <row r="339" spans="1:10" ht="25.5" customHeight="1">
      <c r="A339" s="1782">
        <v>287783</v>
      </c>
      <c r="B339" s="2626">
        <v>415.88</v>
      </c>
      <c r="C339" s="2628" t="s">
        <v>1505</v>
      </c>
      <c r="D339" s="2290"/>
      <c r="E339" s="1786">
        <v>60836</v>
      </c>
      <c r="F339" s="1786">
        <f t="shared" si="4"/>
        <v>60836</v>
      </c>
      <c r="G339" s="1786">
        <v>0</v>
      </c>
      <c r="H339" s="1786">
        <v>0</v>
      </c>
      <c r="I339" s="1786">
        <v>0</v>
      </c>
      <c r="J339" s="1785" t="s">
        <v>1262</v>
      </c>
    </row>
    <row r="340" spans="1:10" ht="27.75" customHeight="1">
      <c r="A340" s="1782">
        <v>287570</v>
      </c>
      <c r="B340" s="2626">
        <v>415.70100000000002</v>
      </c>
      <c r="C340" s="2628" t="s">
        <v>1506</v>
      </c>
      <c r="D340" s="2290"/>
      <c r="E340" s="1786">
        <v>-10085</v>
      </c>
      <c r="F340" s="1786">
        <f t="shared" si="4"/>
        <v>-10085</v>
      </c>
      <c r="G340" s="1786">
        <v>0</v>
      </c>
      <c r="H340" s="1786">
        <v>0</v>
      </c>
      <c r="I340" s="1786">
        <v>0</v>
      </c>
      <c r="J340" s="1785" t="s">
        <v>1241</v>
      </c>
    </row>
    <row r="341" spans="1:10" ht="26.25" customHeight="1">
      <c r="A341" s="1782">
        <v>287647</v>
      </c>
      <c r="B341" s="2626">
        <v>425.1</v>
      </c>
      <c r="C341" s="2628" t="s">
        <v>1507</v>
      </c>
      <c r="D341" s="2290"/>
      <c r="E341" s="1786">
        <v>-6605</v>
      </c>
      <c r="F341" s="1786">
        <f t="shared" si="4"/>
        <v>-6605</v>
      </c>
      <c r="G341" s="1786">
        <v>0</v>
      </c>
      <c r="H341" s="1786">
        <v>0</v>
      </c>
      <c r="I341" s="1786">
        <v>0</v>
      </c>
      <c r="J341" s="1785" t="s">
        <v>1256</v>
      </c>
    </row>
    <row r="342" spans="1:10" ht="26.25" customHeight="1">
      <c r="A342" s="1782">
        <v>287640</v>
      </c>
      <c r="B342" s="2626">
        <v>415.68</v>
      </c>
      <c r="C342" s="2628" t="s">
        <v>1508</v>
      </c>
      <c r="D342" s="2290"/>
      <c r="E342" s="1786">
        <v>-131663</v>
      </c>
      <c r="F342" s="1786">
        <f t="shared" si="4"/>
        <v>-131663</v>
      </c>
      <c r="G342" s="1786">
        <v>0</v>
      </c>
      <c r="H342" s="1786">
        <v>0</v>
      </c>
      <c r="I342" s="1786">
        <v>0</v>
      </c>
      <c r="J342" s="1785" t="s">
        <v>1254</v>
      </c>
    </row>
    <row r="343" spans="1:10" ht="25.5">
      <c r="A343" s="1782">
        <v>287861</v>
      </c>
      <c r="B343" s="2626">
        <v>415.85700000000003</v>
      </c>
      <c r="C343" s="2628" t="s">
        <v>1509</v>
      </c>
      <c r="D343" s="2290"/>
      <c r="E343" s="1786">
        <v>-87091</v>
      </c>
      <c r="F343" s="1786">
        <f t="shared" si="4"/>
        <v>-87091</v>
      </c>
      <c r="G343" s="1786">
        <v>0</v>
      </c>
      <c r="H343" s="1786">
        <v>0</v>
      </c>
      <c r="I343" s="1786">
        <v>0</v>
      </c>
      <c r="J343" s="1785" t="s">
        <v>1263</v>
      </c>
    </row>
    <row r="344" spans="1:10" ht="25.5">
      <c r="A344" s="1782">
        <v>287868</v>
      </c>
      <c r="B344" s="2626">
        <v>415.858</v>
      </c>
      <c r="C344" s="2628" t="s">
        <v>1510</v>
      </c>
      <c r="D344" s="2290"/>
      <c r="E344" s="1786">
        <v>-245051</v>
      </c>
      <c r="F344" s="1786">
        <f t="shared" si="4"/>
        <v>-245051</v>
      </c>
      <c r="G344" s="1786">
        <v>0</v>
      </c>
      <c r="H344" s="1786">
        <v>0</v>
      </c>
      <c r="I344" s="1786">
        <v>0</v>
      </c>
      <c r="J344" s="1785" t="s">
        <v>1266</v>
      </c>
    </row>
    <row r="345" spans="1:10" ht="41.25" customHeight="1">
      <c r="A345" s="1782">
        <v>287614</v>
      </c>
      <c r="B345" s="2626">
        <v>430.1</v>
      </c>
      <c r="C345" s="2628" t="s">
        <v>1511</v>
      </c>
      <c r="D345" s="2290"/>
      <c r="E345" s="1786">
        <v>-1912257</v>
      </c>
      <c r="F345" s="1786">
        <f t="shared" si="4"/>
        <v>-1912257</v>
      </c>
      <c r="G345" s="1786">
        <v>0</v>
      </c>
      <c r="H345" s="1786">
        <v>0</v>
      </c>
      <c r="I345" s="1786">
        <v>0</v>
      </c>
      <c r="J345" s="2466" t="s">
        <v>1512</v>
      </c>
    </row>
    <row r="346" spans="1:10" ht="41.25" customHeight="1">
      <c r="A346" s="1782">
        <v>287981</v>
      </c>
      <c r="B346" s="2626">
        <v>415.92</v>
      </c>
      <c r="C346" s="2628" t="s">
        <v>1690</v>
      </c>
      <c r="D346" s="2290"/>
      <c r="E346" s="1786">
        <v>-1016232</v>
      </c>
      <c r="F346" s="1786">
        <f t="shared" si="4"/>
        <v>-1016232</v>
      </c>
      <c r="G346" s="1786">
        <v>0</v>
      </c>
      <c r="H346" s="1786">
        <v>0</v>
      </c>
      <c r="I346" s="1786">
        <v>0</v>
      </c>
      <c r="J346" s="2466" t="s">
        <v>1691</v>
      </c>
    </row>
    <row r="347" spans="1:10" ht="41.25" customHeight="1">
      <c r="A347" s="1782">
        <v>287982</v>
      </c>
      <c r="B347" s="2626">
        <v>415.92099999999999</v>
      </c>
      <c r="C347" s="2628" t="s">
        <v>1692</v>
      </c>
      <c r="D347" s="2290"/>
      <c r="E347" s="1786">
        <v>-425000</v>
      </c>
      <c r="F347" s="1786">
        <f t="shared" si="4"/>
        <v>-425000</v>
      </c>
      <c r="G347" s="1786">
        <v>0</v>
      </c>
      <c r="H347" s="1786">
        <v>0</v>
      </c>
      <c r="I347" s="1786">
        <v>0</v>
      </c>
      <c r="J347" s="2466" t="s">
        <v>1693</v>
      </c>
    </row>
    <row r="348" spans="1:10" ht="41.25" customHeight="1">
      <c r="A348" s="1782">
        <v>287983</v>
      </c>
      <c r="B348" s="2626">
        <v>415.92200000000003</v>
      </c>
      <c r="C348" s="2628" t="s">
        <v>1694</v>
      </c>
      <c r="D348" s="2290"/>
      <c r="E348" s="1786">
        <v>-1467716</v>
      </c>
      <c r="F348" s="1786">
        <f t="shared" si="4"/>
        <v>-1467716</v>
      </c>
      <c r="G348" s="1786">
        <v>0</v>
      </c>
      <c r="H348" s="1786">
        <v>0</v>
      </c>
      <c r="I348" s="1786">
        <v>0</v>
      </c>
      <c r="J348" s="2466" t="s">
        <v>1695</v>
      </c>
    </row>
    <row r="349" spans="1:10" ht="25.5">
      <c r="A349" s="1782">
        <v>287576</v>
      </c>
      <c r="B349" s="2626">
        <v>430.11</v>
      </c>
      <c r="C349" s="2628" t="s">
        <v>1513</v>
      </c>
      <c r="D349" s="2290"/>
      <c r="E349" s="1786">
        <v>-566167</v>
      </c>
      <c r="F349" s="1786">
        <f t="shared" si="4"/>
        <v>-566167</v>
      </c>
      <c r="G349" s="1786">
        <v>0</v>
      </c>
      <c r="H349" s="1786">
        <v>0</v>
      </c>
      <c r="I349" s="1786">
        <v>0</v>
      </c>
      <c r="J349" s="1785" t="s">
        <v>2065</v>
      </c>
    </row>
    <row r="350" spans="1:10" ht="52.5" customHeight="1">
      <c r="A350" s="1782">
        <v>287648</v>
      </c>
      <c r="B350" s="2626">
        <v>100.12</v>
      </c>
      <c r="C350" s="2628" t="s">
        <v>1514</v>
      </c>
      <c r="D350" s="2290"/>
      <c r="E350" s="1786">
        <v>0</v>
      </c>
      <c r="F350" s="1786">
        <f t="shared" si="4"/>
        <v>0</v>
      </c>
      <c r="G350" s="1786">
        <v>0</v>
      </c>
      <c r="H350" s="1786">
        <v>0</v>
      </c>
      <c r="I350" s="1786">
        <v>0</v>
      </c>
      <c r="J350" s="1785" t="s">
        <v>1213</v>
      </c>
    </row>
    <row r="351" spans="1:10" ht="39.75" customHeight="1">
      <c r="A351" s="1782">
        <v>287946</v>
      </c>
      <c r="B351" s="2626">
        <v>100.105</v>
      </c>
      <c r="C351" s="2628" t="s">
        <v>1696</v>
      </c>
      <c r="D351" s="2290"/>
      <c r="E351" s="1786">
        <v>0</v>
      </c>
      <c r="F351" s="1786">
        <f t="shared" si="4"/>
        <v>0</v>
      </c>
      <c r="G351" s="1786">
        <v>0</v>
      </c>
      <c r="H351" s="1786">
        <v>0</v>
      </c>
      <c r="I351" s="1786">
        <v>0</v>
      </c>
      <c r="J351" s="1785" t="s">
        <v>1697</v>
      </c>
    </row>
    <row r="352" spans="1:10" ht="50.25" customHeight="1">
      <c r="A352" s="1782">
        <v>287840</v>
      </c>
      <c r="B352" s="2626">
        <v>415.41</v>
      </c>
      <c r="C352" s="2628" t="s">
        <v>1698</v>
      </c>
      <c r="D352" s="2290"/>
      <c r="E352" s="1786">
        <v>-65569069</v>
      </c>
      <c r="F352" s="1786">
        <f t="shared" si="4"/>
        <v>-65569069</v>
      </c>
      <c r="G352" s="1786">
        <v>0</v>
      </c>
      <c r="H352" s="1786">
        <v>0</v>
      </c>
      <c r="I352" s="1786">
        <v>0</v>
      </c>
      <c r="J352" s="1785" t="s">
        <v>1699</v>
      </c>
    </row>
    <row r="353" spans="1:10" ht="39" customHeight="1">
      <c r="A353" s="1782">
        <v>287634</v>
      </c>
      <c r="B353" s="2626">
        <v>415.3</v>
      </c>
      <c r="C353" s="2628" t="s">
        <v>1515</v>
      </c>
      <c r="D353" s="2290"/>
      <c r="E353" s="1786">
        <v>-19860715</v>
      </c>
      <c r="F353" s="1786">
        <f t="shared" si="4"/>
        <v>-19860715</v>
      </c>
      <c r="G353" s="1786">
        <v>0</v>
      </c>
      <c r="H353" s="1786">
        <v>0</v>
      </c>
      <c r="I353" s="1786">
        <v>0</v>
      </c>
      <c r="J353" s="1785" t="s">
        <v>1251</v>
      </c>
    </row>
    <row r="354" spans="1:10" ht="26.25" customHeight="1">
      <c r="A354" s="1782">
        <v>287591</v>
      </c>
      <c r="B354" s="2626">
        <v>415.30099999999999</v>
      </c>
      <c r="C354" s="2628" t="s">
        <v>1516</v>
      </c>
      <c r="D354" s="2290"/>
      <c r="E354" s="1786">
        <v>490770</v>
      </c>
      <c r="F354" s="1786">
        <f t="shared" si="4"/>
        <v>490770</v>
      </c>
      <c r="G354" s="1786">
        <v>0</v>
      </c>
      <c r="H354" s="1786">
        <v>0</v>
      </c>
      <c r="I354" s="1786">
        <v>0</v>
      </c>
      <c r="J354" s="1785" t="s">
        <v>1249</v>
      </c>
    </row>
    <row r="355" spans="1:10" ht="25.5">
      <c r="A355" s="1782">
        <v>287738</v>
      </c>
      <c r="B355" s="2626">
        <v>320.27</v>
      </c>
      <c r="C355" s="2628" t="s">
        <v>1517</v>
      </c>
      <c r="D355" s="2290"/>
      <c r="E355" s="1786">
        <v>-103749222</v>
      </c>
      <c r="F355" s="1786">
        <f t="shared" si="4"/>
        <v>-103749222</v>
      </c>
      <c r="G355" s="1786">
        <v>0</v>
      </c>
      <c r="H355" s="1786">
        <v>0</v>
      </c>
      <c r="I355" s="1786">
        <v>0</v>
      </c>
      <c r="J355" s="1785" t="s">
        <v>1258</v>
      </c>
    </row>
    <row r="356" spans="1:10" ht="25.5">
      <c r="A356" s="1782">
        <v>287739</v>
      </c>
      <c r="B356" s="2626">
        <v>320.27999999999997</v>
      </c>
      <c r="C356" s="2628" t="s">
        <v>1518</v>
      </c>
      <c r="D356" s="2290"/>
      <c r="E356" s="1786">
        <v>0</v>
      </c>
      <c r="F356" s="1786">
        <f t="shared" si="4"/>
        <v>0</v>
      </c>
      <c r="G356" s="1786">
        <v>0</v>
      </c>
      <c r="H356" s="1786">
        <v>0</v>
      </c>
      <c r="I356" s="1786">
        <v>0</v>
      </c>
      <c r="J356" s="1785" t="s">
        <v>1259</v>
      </c>
    </row>
    <row r="357" spans="1:10" ht="66" customHeight="1">
      <c r="A357" s="1782">
        <v>287975</v>
      </c>
      <c r="B357" s="2626">
        <v>415.65499999999997</v>
      </c>
      <c r="C357" s="2628" t="s">
        <v>1755</v>
      </c>
      <c r="D357" s="2290"/>
      <c r="E357" s="1786">
        <v>0</v>
      </c>
      <c r="F357" s="1786">
        <f t="shared" si="4"/>
        <v>0</v>
      </c>
      <c r="G357" s="1786">
        <v>0</v>
      </c>
      <c r="H357" s="1786">
        <v>0</v>
      </c>
      <c r="I357" s="1786">
        <v>0</v>
      </c>
      <c r="J357" s="2466" t="s">
        <v>1754</v>
      </c>
    </row>
    <row r="358" spans="1:10" ht="27.75" customHeight="1">
      <c r="A358" s="1782">
        <v>287597</v>
      </c>
      <c r="B358" s="2626">
        <v>415.70299999999997</v>
      </c>
      <c r="C358" s="2628" t="s">
        <v>1519</v>
      </c>
      <c r="D358" s="2290"/>
      <c r="E358" s="1786">
        <v>-83594</v>
      </c>
      <c r="F358" s="1786">
        <f t="shared" si="4"/>
        <v>-83594</v>
      </c>
      <c r="G358" s="1786">
        <v>0</v>
      </c>
      <c r="H358" s="1786">
        <v>0</v>
      </c>
      <c r="I358" s="1786">
        <v>0</v>
      </c>
      <c r="J358" s="1785" t="s">
        <v>1250</v>
      </c>
    </row>
    <row r="359" spans="1:10" ht="12.75">
      <c r="A359" s="1782">
        <v>287897</v>
      </c>
      <c r="B359" s="2626">
        <v>425.4</v>
      </c>
      <c r="C359" s="2628" t="s">
        <v>1520</v>
      </c>
      <c r="D359" s="2290"/>
      <c r="E359" s="1786">
        <v>-4730953</v>
      </c>
      <c r="F359" s="1786">
        <f t="shared" si="4"/>
        <v>-4730953</v>
      </c>
      <c r="G359" s="1786">
        <v>0</v>
      </c>
      <c r="H359" s="1786">
        <v>0</v>
      </c>
      <c r="I359" s="1786">
        <v>0</v>
      </c>
      <c r="J359" s="1785" t="s">
        <v>1291</v>
      </c>
    </row>
    <row r="360" spans="1:10" ht="25.5" customHeight="1">
      <c r="A360" s="1782">
        <v>287571</v>
      </c>
      <c r="B360" s="2626">
        <v>415.702</v>
      </c>
      <c r="C360" s="2628" t="s">
        <v>1521</v>
      </c>
      <c r="D360" s="2290"/>
      <c r="E360" s="1786">
        <v>-199912</v>
      </c>
      <c r="F360" s="1786">
        <f t="shared" si="4"/>
        <v>-199912</v>
      </c>
      <c r="G360" s="1786">
        <v>0</v>
      </c>
      <c r="H360" s="1786">
        <v>0</v>
      </c>
      <c r="I360" s="1786">
        <v>0</v>
      </c>
      <c r="J360" s="1785" t="s">
        <v>1242</v>
      </c>
    </row>
    <row r="361" spans="1:10" ht="54" customHeight="1">
      <c r="A361" s="1782">
        <v>287903</v>
      </c>
      <c r="B361" s="2626">
        <v>415.87900000000002</v>
      </c>
      <c r="C361" s="2628" t="s">
        <v>1522</v>
      </c>
      <c r="D361" s="2290"/>
      <c r="E361" s="1786">
        <v>-22453</v>
      </c>
      <c r="F361" s="1786">
        <f t="shared" si="4"/>
        <v>-22453</v>
      </c>
      <c r="G361" s="1786">
        <v>0</v>
      </c>
      <c r="H361" s="1786">
        <v>0</v>
      </c>
      <c r="I361" s="1786">
        <v>0</v>
      </c>
      <c r="J361" s="2466" t="s">
        <v>1523</v>
      </c>
    </row>
    <row r="362" spans="1:10" ht="27.75" customHeight="1">
      <c r="A362" s="1782">
        <v>287979</v>
      </c>
      <c r="B362" s="2626">
        <v>415.91699999999997</v>
      </c>
      <c r="C362" s="2628" t="s">
        <v>1524</v>
      </c>
      <c r="D362" s="2290"/>
      <c r="E362" s="1786">
        <v>0</v>
      </c>
      <c r="F362" s="1786">
        <f t="shared" si="4"/>
        <v>0</v>
      </c>
      <c r="G362" s="1786">
        <v>0</v>
      </c>
      <c r="H362" s="1786">
        <v>0</v>
      </c>
      <c r="I362" s="1786">
        <v>0</v>
      </c>
      <c r="J362" s="2466" t="s">
        <v>1525</v>
      </c>
    </row>
    <row r="363" spans="1:10" ht="15" customHeight="1">
      <c r="A363" s="1782">
        <v>287974</v>
      </c>
      <c r="B363" s="2626">
        <v>415.916</v>
      </c>
      <c r="C363" s="2628" t="s">
        <v>1526</v>
      </c>
      <c r="D363" s="2290"/>
      <c r="E363" s="1786">
        <v>0</v>
      </c>
      <c r="F363" s="1786">
        <f t="shared" si="4"/>
        <v>0</v>
      </c>
      <c r="G363" s="1786">
        <v>0</v>
      </c>
      <c r="H363" s="1786">
        <v>0</v>
      </c>
      <c r="I363" s="1786">
        <v>0</v>
      </c>
      <c r="J363" s="1785" t="s">
        <v>1298</v>
      </c>
    </row>
    <row r="364" spans="1:10" ht="15" customHeight="1">
      <c r="A364" s="1782">
        <v>287968</v>
      </c>
      <c r="B364" s="2626">
        <v>415.91399999999999</v>
      </c>
      <c r="C364" s="2628" t="s">
        <v>1527</v>
      </c>
      <c r="D364" s="2290"/>
      <c r="E364" s="1786">
        <v>0</v>
      </c>
      <c r="F364" s="1786">
        <f t="shared" si="4"/>
        <v>0</v>
      </c>
      <c r="G364" s="1786">
        <v>0</v>
      </c>
      <c r="H364" s="1786">
        <v>0</v>
      </c>
      <c r="I364" s="1786">
        <v>0</v>
      </c>
      <c r="J364" s="1785" t="s">
        <v>1295</v>
      </c>
    </row>
    <row r="365" spans="1:10" ht="15" customHeight="1">
      <c r="A365" s="1782">
        <v>287969</v>
      </c>
      <c r="B365" s="2626">
        <v>415.91500000000002</v>
      </c>
      <c r="C365" s="2628" t="s">
        <v>1528</v>
      </c>
      <c r="D365" s="2290"/>
      <c r="E365" s="1786">
        <v>0</v>
      </c>
      <c r="F365" s="1786">
        <f t="shared" si="4"/>
        <v>0</v>
      </c>
      <c r="G365" s="1786">
        <v>0</v>
      </c>
      <c r="H365" s="1786">
        <v>0</v>
      </c>
      <c r="I365" s="1786">
        <v>0</v>
      </c>
      <c r="J365" s="1785" t="s">
        <v>1296</v>
      </c>
    </row>
    <row r="366" spans="1:10" ht="51">
      <c r="A366" s="1782">
        <v>287977</v>
      </c>
      <c r="B366" s="2626">
        <v>415.88499999999999</v>
      </c>
      <c r="C366" s="2628" t="s">
        <v>1529</v>
      </c>
      <c r="D366" s="2290"/>
      <c r="E366" s="1786">
        <v>-60836</v>
      </c>
      <c r="F366" s="1786">
        <f t="shared" si="4"/>
        <v>-60836</v>
      </c>
      <c r="G366" s="1786">
        <v>0</v>
      </c>
      <c r="H366" s="1786">
        <v>0</v>
      </c>
      <c r="I366" s="1786">
        <v>0</v>
      </c>
      <c r="J366" s="2466" t="s">
        <v>1584</v>
      </c>
    </row>
    <row r="367" spans="1:10" ht="29.25" customHeight="1">
      <c r="A367" s="1782">
        <v>287919</v>
      </c>
      <c r="B367" s="2626">
        <v>425.10500000000002</v>
      </c>
      <c r="C367" s="2628" t="s">
        <v>1530</v>
      </c>
      <c r="D367" s="2290"/>
      <c r="E367" s="1786">
        <v>-79407</v>
      </c>
      <c r="F367" s="1786">
        <f t="shared" si="4"/>
        <v>-79407</v>
      </c>
      <c r="G367" s="1786">
        <v>0</v>
      </c>
      <c r="H367" s="1786">
        <v>0</v>
      </c>
      <c r="I367" s="1786">
        <v>0</v>
      </c>
      <c r="J367" s="2466" t="s">
        <v>2074</v>
      </c>
    </row>
    <row r="368" spans="1:10" ht="38.25">
      <c r="A368" s="1782">
        <v>287904</v>
      </c>
      <c r="B368" s="2626">
        <v>415.84500000000003</v>
      </c>
      <c r="C368" s="2628" t="s">
        <v>1531</v>
      </c>
      <c r="D368" s="2290"/>
      <c r="E368" s="1786">
        <v>0</v>
      </c>
      <c r="F368" s="1786">
        <f t="shared" si="4"/>
        <v>0</v>
      </c>
      <c r="G368" s="1786">
        <v>0</v>
      </c>
      <c r="H368" s="1786">
        <v>0</v>
      </c>
      <c r="I368" s="1786">
        <v>0</v>
      </c>
      <c r="J368" s="2466" t="s">
        <v>1532</v>
      </c>
    </row>
    <row r="369" spans="1:10" ht="25.5">
      <c r="A369" s="1782">
        <v>287942</v>
      </c>
      <c r="B369" s="2626">
        <v>430.11200000000002</v>
      </c>
      <c r="C369" s="2628" t="s">
        <v>1533</v>
      </c>
      <c r="D369" s="2290"/>
      <c r="E369" s="1786">
        <v>-67774</v>
      </c>
      <c r="F369" s="1786">
        <f t="shared" si="4"/>
        <v>-67774</v>
      </c>
      <c r="G369" s="1786">
        <v>0</v>
      </c>
      <c r="H369" s="1786">
        <v>0</v>
      </c>
      <c r="I369" s="1786">
        <v>0</v>
      </c>
      <c r="J369" s="1785" t="s">
        <v>2065</v>
      </c>
    </row>
    <row r="370" spans="1:10" ht="37.5" customHeight="1">
      <c r="A370" s="1782">
        <v>287579</v>
      </c>
      <c r="B370" s="2626">
        <v>415.822</v>
      </c>
      <c r="C370" s="2628" t="s">
        <v>1534</v>
      </c>
      <c r="D370" s="2290"/>
      <c r="E370" s="1786">
        <v>0</v>
      </c>
      <c r="F370" s="1786">
        <f t="shared" si="4"/>
        <v>0</v>
      </c>
      <c r="G370" s="1786">
        <v>0</v>
      </c>
      <c r="H370" s="1786">
        <v>0</v>
      </c>
      <c r="I370" s="1786">
        <v>0</v>
      </c>
      <c r="J370" s="1785" t="s">
        <v>1244</v>
      </c>
    </row>
    <row r="371" spans="1:10" ht="26.25" customHeight="1">
      <c r="A371" s="1782">
        <v>287972</v>
      </c>
      <c r="B371" s="2626">
        <v>320.28500000000003</v>
      </c>
      <c r="C371" s="2628" t="s">
        <v>1535</v>
      </c>
      <c r="D371" s="2290"/>
      <c r="E371" s="1786">
        <v>-329161</v>
      </c>
      <c r="F371" s="1786">
        <v>0</v>
      </c>
      <c r="G371" s="1786">
        <v>0</v>
      </c>
      <c r="H371" s="1786">
        <v>0</v>
      </c>
      <c r="I371" s="1786">
        <f>E371</f>
        <v>-329161</v>
      </c>
      <c r="J371" s="1785" t="s">
        <v>1297</v>
      </c>
    </row>
    <row r="372" spans="1:10" ht="38.25" customHeight="1">
      <c r="A372" s="1782">
        <v>287675</v>
      </c>
      <c r="B372" s="2626">
        <v>740.1</v>
      </c>
      <c r="C372" s="2628" t="s">
        <v>1987</v>
      </c>
      <c r="D372" s="2290"/>
      <c r="E372" s="1786">
        <v>-1263701</v>
      </c>
      <c r="F372" s="1786">
        <f t="shared" ref="F372:F411" si="6">E372</f>
        <v>-1263701</v>
      </c>
      <c r="G372" s="1786">
        <v>0</v>
      </c>
      <c r="H372" s="1786">
        <v>0</v>
      </c>
      <c r="I372" s="1786">
        <v>0</v>
      </c>
      <c r="J372" s="1785" t="s">
        <v>1285</v>
      </c>
    </row>
    <row r="373" spans="1:10" ht="38.25" customHeight="1">
      <c r="A373" s="1782">
        <v>287588</v>
      </c>
      <c r="B373" s="2626">
        <v>415.83100000000002</v>
      </c>
      <c r="C373" s="2628" t="s">
        <v>1536</v>
      </c>
      <c r="D373" s="2290"/>
      <c r="E373" s="1786">
        <v>0</v>
      </c>
      <c r="F373" s="1786">
        <f t="shared" si="6"/>
        <v>0</v>
      </c>
      <c r="G373" s="1786">
        <v>0</v>
      </c>
      <c r="H373" s="1786">
        <v>0</v>
      </c>
      <c r="I373" s="1786">
        <v>0</v>
      </c>
      <c r="J373" s="1785" t="s">
        <v>1248</v>
      </c>
    </row>
    <row r="374" spans="1:10" ht="38.25" customHeight="1">
      <c r="A374" s="1782">
        <v>287584</v>
      </c>
      <c r="B374" s="2626">
        <v>415.827</v>
      </c>
      <c r="C374" s="2628" t="s">
        <v>1537</v>
      </c>
      <c r="D374" s="2290"/>
      <c r="E374" s="1786">
        <v>0</v>
      </c>
      <c r="F374" s="1786">
        <f t="shared" si="6"/>
        <v>0</v>
      </c>
      <c r="G374" s="1786">
        <v>0</v>
      </c>
      <c r="H374" s="1786">
        <v>0</v>
      </c>
      <c r="I374" s="1786">
        <v>0</v>
      </c>
      <c r="J374" s="1785" t="s">
        <v>1246</v>
      </c>
    </row>
    <row r="375" spans="1:10" ht="38.25" customHeight="1">
      <c r="A375" s="1782">
        <v>287586</v>
      </c>
      <c r="B375" s="2626">
        <v>415.82900000000001</v>
      </c>
      <c r="C375" s="2628" t="s">
        <v>1538</v>
      </c>
      <c r="D375" s="2290"/>
      <c r="E375" s="1786">
        <v>0</v>
      </c>
      <c r="F375" s="1786">
        <f t="shared" si="6"/>
        <v>0</v>
      </c>
      <c r="G375" s="1786">
        <v>0</v>
      </c>
      <c r="H375" s="1786">
        <v>0</v>
      </c>
      <c r="I375" s="1786">
        <v>0</v>
      </c>
      <c r="J375" s="1785" t="s">
        <v>1247</v>
      </c>
    </row>
    <row r="376" spans="1:10" ht="63.75">
      <c r="A376" s="1782">
        <v>287779</v>
      </c>
      <c r="B376" s="2626">
        <v>415.85</v>
      </c>
      <c r="C376" s="2628" t="s">
        <v>1539</v>
      </c>
      <c r="D376" s="2290"/>
      <c r="E376" s="1786">
        <v>0</v>
      </c>
      <c r="F376" s="1786">
        <f t="shared" si="6"/>
        <v>0</v>
      </c>
      <c r="G376" s="1786">
        <v>0</v>
      </c>
      <c r="H376" s="1786">
        <v>0</v>
      </c>
      <c r="I376" s="1786">
        <v>0</v>
      </c>
      <c r="J376" s="1785" t="s">
        <v>1261</v>
      </c>
    </row>
    <row r="377" spans="1:10" ht="66" customHeight="1">
      <c r="A377" s="1782">
        <v>287864</v>
      </c>
      <c r="B377" s="2626">
        <v>415.85199999999998</v>
      </c>
      <c r="C377" s="2628" t="s">
        <v>1540</v>
      </c>
      <c r="D377" s="2290"/>
      <c r="E377" s="1786">
        <v>-19108</v>
      </c>
      <c r="F377" s="1786">
        <f t="shared" si="6"/>
        <v>-19108</v>
      </c>
      <c r="G377" s="1786">
        <v>0</v>
      </c>
      <c r="H377" s="1786">
        <v>0</v>
      </c>
      <c r="I377" s="1786">
        <v>0</v>
      </c>
      <c r="J377" s="1785" t="s">
        <v>1264</v>
      </c>
    </row>
    <row r="378" spans="1:10" ht="66" customHeight="1">
      <c r="A378" s="1782">
        <v>287866</v>
      </c>
      <c r="B378" s="2626">
        <v>415.85399999999998</v>
      </c>
      <c r="C378" s="2628" t="s">
        <v>1541</v>
      </c>
      <c r="D378" s="2290"/>
      <c r="E378" s="1786">
        <v>0</v>
      </c>
      <c r="F378" s="1786">
        <f t="shared" si="6"/>
        <v>0</v>
      </c>
      <c r="G378" s="1786">
        <v>0</v>
      </c>
      <c r="H378" s="1786">
        <v>0</v>
      </c>
      <c r="I378" s="1786">
        <v>0</v>
      </c>
      <c r="J378" s="1785" t="s">
        <v>1265</v>
      </c>
    </row>
    <row r="379" spans="1:10" ht="25.5">
      <c r="A379" s="1782">
        <v>287858</v>
      </c>
      <c r="B379" s="2626">
        <v>415.67599999999999</v>
      </c>
      <c r="C379" s="2628" t="s">
        <v>1700</v>
      </c>
      <c r="D379" s="2290"/>
      <c r="E379" s="1786">
        <v>-43414</v>
      </c>
      <c r="F379" s="1786">
        <f t="shared" si="6"/>
        <v>-43414</v>
      </c>
      <c r="G379" s="1786">
        <v>0</v>
      </c>
      <c r="H379" s="1786">
        <v>0</v>
      </c>
      <c r="I379" s="1786">
        <v>0</v>
      </c>
      <c r="J379" s="1785" t="s">
        <v>1701</v>
      </c>
    </row>
    <row r="380" spans="1:10" ht="25.5">
      <c r="A380" s="1782">
        <v>287996</v>
      </c>
      <c r="B380" s="2626">
        <v>415.67500000000001</v>
      </c>
      <c r="C380" s="2628" t="s">
        <v>1702</v>
      </c>
      <c r="D380" s="2290"/>
      <c r="E380" s="1786">
        <v>-125976</v>
      </c>
      <c r="F380" s="1786">
        <f t="shared" si="6"/>
        <v>-125976</v>
      </c>
      <c r="G380" s="1786">
        <v>0</v>
      </c>
      <c r="H380" s="1786">
        <v>0</v>
      </c>
      <c r="I380" s="1786">
        <v>0</v>
      </c>
      <c r="J380" s="1785" t="s">
        <v>1703</v>
      </c>
    </row>
    <row r="381" spans="1:10" ht="27.75" customHeight="1">
      <c r="A381" s="1782">
        <v>287601</v>
      </c>
      <c r="B381" s="2626">
        <v>415.67700000000002</v>
      </c>
      <c r="C381" s="2628" t="s">
        <v>1753</v>
      </c>
      <c r="D381" s="2290"/>
      <c r="E381" s="1786">
        <v>-20192</v>
      </c>
      <c r="F381" s="1786">
        <f t="shared" si="6"/>
        <v>-20192</v>
      </c>
      <c r="G381" s="1786">
        <v>0</v>
      </c>
      <c r="H381" s="1786">
        <v>0</v>
      </c>
      <c r="I381" s="1786">
        <v>0</v>
      </c>
      <c r="J381" s="2465" t="s">
        <v>1752</v>
      </c>
    </row>
    <row r="382" spans="1:10" ht="25.5" customHeight="1">
      <c r="A382" s="1782">
        <v>287932</v>
      </c>
      <c r="B382" s="2626">
        <v>415.89400000000001</v>
      </c>
      <c r="C382" s="2628" t="s">
        <v>1751</v>
      </c>
      <c r="D382" s="2290"/>
      <c r="E382" s="1786">
        <v>0</v>
      </c>
      <c r="F382" s="1786">
        <f t="shared" si="6"/>
        <v>0</v>
      </c>
      <c r="G382" s="1786">
        <v>0</v>
      </c>
      <c r="H382" s="1786">
        <v>0</v>
      </c>
      <c r="I382" s="1786">
        <v>0</v>
      </c>
      <c r="J382" s="2465" t="s">
        <v>1750</v>
      </c>
    </row>
    <row r="383" spans="1:10" ht="38.25">
      <c r="A383" s="1782">
        <v>287978</v>
      </c>
      <c r="B383" s="2626">
        <v>415.90600000000001</v>
      </c>
      <c r="C383" s="2628" t="s">
        <v>1542</v>
      </c>
      <c r="D383" s="2290"/>
      <c r="E383" s="1786">
        <v>-74065</v>
      </c>
      <c r="F383" s="1786">
        <f t="shared" si="6"/>
        <v>-74065</v>
      </c>
      <c r="G383" s="1786">
        <v>0</v>
      </c>
      <c r="H383" s="1786">
        <v>0</v>
      </c>
      <c r="I383" s="1786">
        <v>0</v>
      </c>
      <c r="J383" s="2466" t="s">
        <v>2075</v>
      </c>
    </row>
    <row r="384" spans="1:10" ht="38.25">
      <c r="A384" s="1782">
        <v>287887</v>
      </c>
      <c r="B384" s="2626">
        <v>415.88099999999997</v>
      </c>
      <c r="C384" s="2628" t="s">
        <v>1543</v>
      </c>
      <c r="D384" s="2290"/>
      <c r="E384" s="1786">
        <v>-20524</v>
      </c>
      <c r="F384" s="1786">
        <f t="shared" si="6"/>
        <v>-20524</v>
      </c>
      <c r="G384" s="1786">
        <v>0</v>
      </c>
      <c r="H384" s="1786">
        <v>0</v>
      </c>
      <c r="I384" s="1786">
        <v>0</v>
      </c>
      <c r="J384" s="2466" t="s">
        <v>1585</v>
      </c>
    </row>
    <row r="385" spans="1:10" ht="38.25">
      <c r="A385" s="1782">
        <v>287888</v>
      </c>
      <c r="B385" s="2626">
        <v>415.88200000000001</v>
      </c>
      <c r="C385" s="2628" t="s">
        <v>1704</v>
      </c>
      <c r="D385" s="2290"/>
      <c r="E385" s="1786">
        <v>-8110</v>
      </c>
      <c r="F385" s="1786">
        <f t="shared" si="6"/>
        <v>-8110</v>
      </c>
      <c r="G385" s="1786">
        <v>0</v>
      </c>
      <c r="H385" s="1786">
        <v>0</v>
      </c>
      <c r="I385" s="1786">
        <v>0</v>
      </c>
      <c r="J385" s="2466" t="s">
        <v>1705</v>
      </c>
    </row>
    <row r="386" spans="1:10" ht="40.5" customHeight="1">
      <c r="A386" s="1782">
        <v>287889</v>
      </c>
      <c r="B386" s="2626">
        <v>415.88299999999998</v>
      </c>
      <c r="C386" s="2628" t="s">
        <v>1544</v>
      </c>
      <c r="D386" s="2290"/>
      <c r="E386" s="1786">
        <v>-109936</v>
      </c>
      <c r="F386" s="1786">
        <f t="shared" si="6"/>
        <v>-109936</v>
      </c>
      <c r="G386" s="1786">
        <v>0</v>
      </c>
      <c r="H386" s="1786">
        <v>0</v>
      </c>
      <c r="I386" s="1786">
        <v>0</v>
      </c>
      <c r="J386" s="2466" t="s">
        <v>1586</v>
      </c>
    </row>
    <row r="387" spans="1:10" ht="37.5" customHeight="1">
      <c r="A387" s="1782">
        <v>286902</v>
      </c>
      <c r="B387" s="2626">
        <v>415.91800000000001</v>
      </c>
      <c r="C387" s="2628" t="s">
        <v>1988</v>
      </c>
      <c r="D387" s="2290"/>
      <c r="E387" s="1786">
        <v>0</v>
      </c>
      <c r="F387" s="1786">
        <f t="shared" si="6"/>
        <v>0</v>
      </c>
      <c r="G387" s="1786">
        <v>0</v>
      </c>
      <c r="H387" s="1786">
        <v>0</v>
      </c>
      <c r="I387" s="1786">
        <v>0</v>
      </c>
      <c r="J387" s="2466" t="s">
        <v>1989</v>
      </c>
    </row>
    <row r="388" spans="1:10" ht="38.25" customHeight="1">
      <c r="A388" s="1782">
        <v>287871</v>
      </c>
      <c r="B388" s="2626">
        <v>415.86599999999999</v>
      </c>
      <c r="C388" s="2628" t="s">
        <v>1545</v>
      </c>
      <c r="D388" s="2290"/>
      <c r="E388" s="1786">
        <v>-1310252</v>
      </c>
      <c r="F388" s="1786">
        <f t="shared" si="6"/>
        <v>-1310252</v>
      </c>
      <c r="G388" s="1786">
        <v>0</v>
      </c>
      <c r="H388" s="1786">
        <v>0</v>
      </c>
      <c r="I388" s="1786">
        <v>0</v>
      </c>
      <c r="J388" s="2466" t="s">
        <v>1546</v>
      </c>
    </row>
    <row r="389" spans="1:10" ht="15.75" customHeight="1">
      <c r="A389" s="1782">
        <v>287971</v>
      </c>
      <c r="B389" s="2626">
        <v>415.86799999999999</v>
      </c>
      <c r="C389" s="2628" t="s">
        <v>2087</v>
      </c>
      <c r="D389" s="2290"/>
      <c r="E389" s="1786">
        <v>-1349307</v>
      </c>
      <c r="F389" s="1786">
        <f t="shared" si="6"/>
        <v>-1349307</v>
      </c>
      <c r="G389" s="1786">
        <v>0</v>
      </c>
      <c r="H389" s="1786">
        <v>0</v>
      </c>
      <c r="I389" s="1786">
        <v>0</v>
      </c>
      <c r="J389" s="2466" t="s">
        <v>2088</v>
      </c>
    </row>
    <row r="390" spans="1:10" ht="25.5">
      <c r="A390" s="1782">
        <v>286906</v>
      </c>
      <c r="B390" s="2626">
        <v>415.53100000000001</v>
      </c>
      <c r="C390" s="2628" t="s">
        <v>2089</v>
      </c>
      <c r="D390" s="2290"/>
      <c r="E390" s="1786">
        <v>-1081810</v>
      </c>
      <c r="F390" s="1786">
        <f t="shared" si="6"/>
        <v>-1081810</v>
      </c>
      <c r="G390" s="1786">
        <v>0</v>
      </c>
      <c r="H390" s="1786">
        <v>0</v>
      </c>
      <c r="I390" s="1786">
        <v>0</v>
      </c>
      <c r="J390" s="2466" t="s">
        <v>2090</v>
      </c>
    </row>
    <row r="391" spans="1:10" ht="27.75" customHeight="1">
      <c r="A391" s="1782">
        <v>287860</v>
      </c>
      <c r="B391" s="2626">
        <v>415.85500000000002</v>
      </c>
      <c r="C391" s="2628" t="s">
        <v>1990</v>
      </c>
      <c r="D391" s="2290"/>
      <c r="E391" s="1786">
        <v>0</v>
      </c>
      <c r="F391" s="1786">
        <f t="shared" si="6"/>
        <v>0</v>
      </c>
      <c r="G391" s="1786">
        <v>0</v>
      </c>
      <c r="H391" s="1786">
        <v>0</v>
      </c>
      <c r="I391" s="1786">
        <v>0</v>
      </c>
      <c r="J391" s="2466" t="s">
        <v>2076</v>
      </c>
    </row>
    <row r="392" spans="1:10" ht="41.25" customHeight="1">
      <c r="A392" s="1782">
        <v>287881</v>
      </c>
      <c r="B392" s="2626">
        <v>415.70499999999998</v>
      </c>
      <c r="C392" s="2628" t="s">
        <v>1547</v>
      </c>
      <c r="D392" s="2290"/>
      <c r="E392" s="1786">
        <v>0</v>
      </c>
      <c r="F392" s="1786">
        <f t="shared" si="6"/>
        <v>0</v>
      </c>
      <c r="G392" s="1786">
        <v>0</v>
      </c>
      <c r="H392" s="1786">
        <v>0</v>
      </c>
      <c r="I392" s="1786">
        <v>0</v>
      </c>
      <c r="J392" s="1785" t="s">
        <v>1274</v>
      </c>
    </row>
    <row r="393" spans="1:10" ht="15.75" customHeight="1">
      <c r="A393" s="1782">
        <v>287899</v>
      </c>
      <c r="B393" s="2626">
        <v>415.87799999999999</v>
      </c>
      <c r="C393" s="2628" t="s">
        <v>1548</v>
      </c>
      <c r="D393" s="2290"/>
      <c r="E393" s="1786">
        <v>-137685</v>
      </c>
      <c r="F393" s="1786">
        <f t="shared" si="6"/>
        <v>-137685</v>
      </c>
      <c r="G393" s="1786">
        <v>0</v>
      </c>
      <c r="H393" s="1786">
        <v>0</v>
      </c>
      <c r="I393" s="1786">
        <v>0</v>
      </c>
      <c r="J393" s="2466" t="s">
        <v>1549</v>
      </c>
    </row>
    <row r="394" spans="1:10" ht="38.25">
      <c r="A394" s="1782">
        <v>287878</v>
      </c>
      <c r="B394" s="2626">
        <v>415.40600000000001</v>
      </c>
      <c r="C394" s="2628" t="s">
        <v>1550</v>
      </c>
      <c r="D394" s="2290"/>
      <c r="E394" s="1786">
        <v>0</v>
      </c>
      <c r="F394" s="1786">
        <f t="shared" si="6"/>
        <v>0</v>
      </c>
      <c r="G394" s="1786">
        <v>0</v>
      </c>
      <c r="H394" s="1786">
        <v>0</v>
      </c>
      <c r="I394" s="1786">
        <v>0</v>
      </c>
      <c r="J394" s="1785" t="s">
        <v>1272</v>
      </c>
    </row>
    <row r="395" spans="1:10" ht="12.75">
      <c r="A395" s="1782">
        <v>287906</v>
      </c>
      <c r="B395" s="2626">
        <v>415.863</v>
      </c>
      <c r="C395" s="2628" t="s">
        <v>1749</v>
      </c>
      <c r="D395" s="2290"/>
      <c r="E395" s="1786">
        <v>-381338</v>
      </c>
      <c r="F395" s="1786">
        <f t="shared" si="6"/>
        <v>-381338</v>
      </c>
      <c r="G395" s="1786">
        <v>0</v>
      </c>
      <c r="H395" s="1786">
        <v>0</v>
      </c>
      <c r="I395" s="1786">
        <v>0</v>
      </c>
      <c r="J395" s="2465" t="s">
        <v>1748</v>
      </c>
    </row>
    <row r="396" spans="1:10" ht="40.5" customHeight="1">
      <c r="A396" s="1782">
        <v>287939</v>
      </c>
      <c r="B396" s="2626">
        <v>415.11500000000001</v>
      </c>
      <c r="C396" s="2628" t="s">
        <v>2091</v>
      </c>
      <c r="D396" s="2290"/>
      <c r="E396" s="1786">
        <v>1349307</v>
      </c>
      <c r="F396" s="1786">
        <f t="shared" si="6"/>
        <v>1349307</v>
      </c>
      <c r="G396" s="1786">
        <v>0</v>
      </c>
      <c r="H396" s="1786">
        <v>0</v>
      </c>
      <c r="I396" s="1786">
        <v>0</v>
      </c>
      <c r="J396" s="2465" t="s">
        <v>2092</v>
      </c>
    </row>
    <row r="397" spans="1:10" ht="25.5">
      <c r="A397" s="1782">
        <v>287639</v>
      </c>
      <c r="B397" s="2626">
        <v>415.51</v>
      </c>
      <c r="C397" s="2628" t="s">
        <v>1551</v>
      </c>
      <c r="D397" s="2290"/>
      <c r="E397" s="1786">
        <v>-39571</v>
      </c>
      <c r="F397" s="1786">
        <f t="shared" si="6"/>
        <v>-39571</v>
      </c>
      <c r="G397" s="1786">
        <v>0</v>
      </c>
      <c r="H397" s="1786">
        <v>0</v>
      </c>
      <c r="I397" s="1786">
        <v>0</v>
      </c>
      <c r="J397" s="1785" t="s">
        <v>1253</v>
      </c>
    </row>
    <row r="398" spans="1:10" ht="63" customHeight="1">
      <c r="A398" s="1782">
        <v>287872</v>
      </c>
      <c r="B398" s="2626">
        <v>720.84100000000001</v>
      </c>
      <c r="C398" s="2628" t="s">
        <v>1552</v>
      </c>
      <c r="D398" s="2290"/>
      <c r="E398" s="1786">
        <v>0</v>
      </c>
      <c r="F398" s="1786">
        <f t="shared" si="6"/>
        <v>0</v>
      </c>
      <c r="G398" s="1786">
        <v>0</v>
      </c>
      <c r="H398" s="1786">
        <v>0</v>
      </c>
      <c r="I398" s="1786">
        <v>0</v>
      </c>
      <c r="J398" s="1785" t="s">
        <v>1267</v>
      </c>
    </row>
    <row r="399" spans="1:10" ht="66" customHeight="1">
      <c r="A399" s="1782">
        <v>287873</v>
      </c>
      <c r="B399" s="2626">
        <v>720.84199999999998</v>
      </c>
      <c r="C399" s="2628" t="s">
        <v>1553</v>
      </c>
      <c r="D399" s="2290"/>
      <c r="E399" s="1786">
        <v>0</v>
      </c>
      <c r="F399" s="1786">
        <f t="shared" si="6"/>
        <v>0</v>
      </c>
      <c r="G399" s="1786">
        <v>0</v>
      </c>
      <c r="H399" s="1786">
        <v>0</v>
      </c>
      <c r="I399" s="1786">
        <v>0</v>
      </c>
      <c r="J399" s="1785" t="s">
        <v>1268</v>
      </c>
    </row>
    <row r="400" spans="1:10" ht="38.25">
      <c r="A400" s="1782">
        <v>287857</v>
      </c>
      <c r="B400" s="2626">
        <v>415.54500000000002</v>
      </c>
      <c r="C400" s="2628" t="s">
        <v>1747</v>
      </c>
      <c r="D400" s="2290"/>
      <c r="E400" s="1786">
        <v>844</v>
      </c>
      <c r="F400" s="1786">
        <f t="shared" si="6"/>
        <v>844</v>
      </c>
      <c r="G400" s="1786">
        <v>0</v>
      </c>
      <c r="H400" s="1786">
        <v>0</v>
      </c>
      <c r="I400" s="1786">
        <v>0</v>
      </c>
      <c r="J400" s="2465" t="s">
        <v>2077</v>
      </c>
    </row>
    <row r="401" spans="1:10" ht="25.5">
      <c r="A401" s="1782">
        <v>286907</v>
      </c>
      <c r="B401" s="2635">
        <v>415.53199999999998</v>
      </c>
      <c r="C401" s="2628" t="s">
        <v>2093</v>
      </c>
      <c r="D401" s="2290"/>
      <c r="E401" s="1786">
        <v>-196692</v>
      </c>
      <c r="F401" s="1786">
        <f t="shared" si="6"/>
        <v>-196692</v>
      </c>
      <c r="G401" s="1786">
        <v>0</v>
      </c>
      <c r="H401" s="1786">
        <v>0</v>
      </c>
      <c r="I401" s="1786">
        <v>0</v>
      </c>
      <c r="J401" s="2466" t="s">
        <v>2094</v>
      </c>
    </row>
    <row r="402" spans="1:10" ht="63.75">
      <c r="A402" s="1782">
        <v>287874</v>
      </c>
      <c r="B402" s="2626">
        <v>720.84299999999996</v>
      </c>
      <c r="C402" s="2628" t="s">
        <v>1554</v>
      </c>
      <c r="D402" s="2290"/>
      <c r="E402" s="1786">
        <v>0</v>
      </c>
      <c r="F402" s="1786">
        <f t="shared" si="6"/>
        <v>0</v>
      </c>
      <c r="G402" s="1786">
        <v>0</v>
      </c>
      <c r="H402" s="1786">
        <v>0</v>
      </c>
      <c r="I402" s="1786">
        <v>0</v>
      </c>
      <c r="J402" s="1785" t="s">
        <v>1269</v>
      </c>
    </row>
    <row r="403" spans="1:10" ht="63.75">
      <c r="A403" s="1782">
        <v>287875</v>
      </c>
      <c r="B403" s="2626">
        <v>720.84400000000005</v>
      </c>
      <c r="C403" s="2628" t="s">
        <v>1555</v>
      </c>
      <c r="D403" s="2290"/>
      <c r="E403" s="1786">
        <v>0</v>
      </c>
      <c r="F403" s="1786">
        <f t="shared" si="6"/>
        <v>0</v>
      </c>
      <c r="G403" s="1786">
        <v>0</v>
      </c>
      <c r="H403" s="1786">
        <v>0</v>
      </c>
      <c r="I403" s="1786">
        <v>0</v>
      </c>
      <c r="J403" s="1785" t="s">
        <v>1270</v>
      </c>
    </row>
    <row r="404" spans="1:10" ht="63.75">
      <c r="A404" s="1782">
        <v>287877</v>
      </c>
      <c r="B404" s="2626">
        <v>720.846</v>
      </c>
      <c r="C404" s="2628" t="s">
        <v>1556</v>
      </c>
      <c r="D404" s="2290"/>
      <c r="E404" s="1786">
        <v>0</v>
      </c>
      <c r="F404" s="1786">
        <f t="shared" si="6"/>
        <v>0</v>
      </c>
      <c r="G404" s="1786">
        <v>0</v>
      </c>
      <c r="H404" s="1786">
        <v>0</v>
      </c>
      <c r="I404" s="1786">
        <v>0</v>
      </c>
      <c r="J404" s="1785" t="s">
        <v>1271</v>
      </c>
    </row>
    <row r="405" spans="1:10" ht="24.75" customHeight="1">
      <c r="A405" s="1782">
        <v>287848</v>
      </c>
      <c r="B405" s="2626">
        <v>320.28100000000001</v>
      </c>
      <c r="C405" s="2628" t="s">
        <v>1746</v>
      </c>
      <c r="D405" s="2290"/>
      <c r="E405" s="1786">
        <v>0</v>
      </c>
      <c r="F405" s="1786">
        <f t="shared" si="6"/>
        <v>0</v>
      </c>
      <c r="G405" s="1786">
        <v>0</v>
      </c>
      <c r="H405" s="1786">
        <v>0</v>
      </c>
      <c r="I405" s="1786">
        <v>0</v>
      </c>
      <c r="J405" s="2465" t="s">
        <v>1745</v>
      </c>
    </row>
    <row r="406" spans="1:10" ht="38.25">
      <c r="A406" s="1782">
        <v>287933</v>
      </c>
      <c r="B406" s="2626">
        <v>320.28199999999998</v>
      </c>
      <c r="C406" s="2628" t="s">
        <v>1744</v>
      </c>
      <c r="D406" s="2290"/>
      <c r="E406" s="1786">
        <v>0</v>
      </c>
      <c r="F406" s="1786">
        <f t="shared" si="6"/>
        <v>0</v>
      </c>
      <c r="G406" s="1786">
        <v>0</v>
      </c>
      <c r="H406" s="1786">
        <v>0</v>
      </c>
      <c r="I406" s="1786">
        <v>0</v>
      </c>
      <c r="J406" s="2465" t="s">
        <v>2066</v>
      </c>
    </row>
    <row r="407" spans="1:10" ht="38.25">
      <c r="A407" s="1782">
        <v>287934</v>
      </c>
      <c r="B407" s="2626">
        <v>320.28300000000002</v>
      </c>
      <c r="C407" s="2628" t="s">
        <v>1743</v>
      </c>
      <c r="D407" s="2290"/>
      <c r="E407" s="1786">
        <v>0</v>
      </c>
      <c r="F407" s="1786">
        <f t="shared" si="6"/>
        <v>0</v>
      </c>
      <c r="G407" s="1786">
        <v>0</v>
      </c>
      <c r="H407" s="1786">
        <v>0</v>
      </c>
      <c r="I407" s="1786">
        <v>0</v>
      </c>
      <c r="J407" s="2465" t="s">
        <v>1742</v>
      </c>
    </row>
    <row r="408" spans="1:10" ht="38.25">
      <c r="A408" s="1782">
        <v>287917</v>
      </c>
      <c r="B408" s="2626">
        <v>705.45100000000002</v>
      </c>
      <c r="C408" s="2628" t="s">
        <v>1557</v>
      </c>
      <c r="D408" s="2290"/>
      <c r="E408" s="1786">
        <v>-1644200</v>
      </c>
      <c r="F408" s="1786">
        <f t="shared" si="6"/>
        <v>-1644200</v>
      </c>
      <c r="G408" s="1786">
        <v>0</v>
      </c>
      <c r="H408" s="1786">
        <v>0</v>
      </c>
      <c r="I408" s="1786">
        <v>0</v>
      </c>
      <c r="J408" s="1785" t="s">
        <v>1162</v>
      </c>
    </row>
    <row r="409" spans="1:10" ht="27.75" customHeight="1">
      <c r="A409" s="1782">
        <v>287916</v>
      </c>
      <c r="B409" s="2626">
        <v>705.45500000000004</v>
      </c>
      <c r="C409" s="2628" t="s">
        <v>1558</v>
      </c>
      <c r="D409" s="2290"/>
      <c r="E409" s="1786">
        <v>0</v>
      </c>
      <c r="F409" s="1786">
        <f t="shared" si="6"/>
        <v>0</v>
      </c>
      <c r="G409" s="1786">
        <v>0</v>
      </c>
      <c r="H409" s="1786">
        <v>0</v>
      </c>
      <c r="I409" s="1786">
        <v>0</v>
      </c>
      <c r="J409" s="1785" t="s">
        <v>1165</v>
      </c>
    </row>
    <row r="410" spans="1:10" ht="38.25">
      <c r="A410" s="1782">
        <v>287649</v>
      </c>
      <c r="B410" s="2626">
        <v>730.17</v>
      </c>
      <c r="C410" s="2628" t="s">
        <v>1559</v>
      </c>
      <c r="D410" s="2290"/>
      <c r="E410" s="1786">
        <v>-24906645</v>
      </c>
      <c r="F410" s="1786">
        <f t="shared" si="6"/>
        <v>-24906645</v>
      </c>
      <c r="G410" s="1786">
        <v>0</v>
      </c>
      <c r="H410" s="1786">
        <v>0</v>
      </c>
      <c r="I410" s="1786">
        <v>0</v>
      </c>
      <c r="J410" s="1785" t="s">
        <v>1257</v>
      </c>
    </row>
    <row r="411" spans="1:10" ht="25.5">
      <c r="A411" s="1782">
        <v>287886</v>
      </c>
      <c r="B411" s="2626">
        <v>415.83699999999999</v>
      </c>
      <c r="C411" s="2628" t="s">
        <v>1560</v>
      </c>
      <c r="D411" s="2290"/>
      <c r="E411" s="1786">
        <v>-21834988</v>
      </c>
      <c r="F411" s="1786">
        <f t="shared" si="6"/>
        <v>-21834988</v>
      </c>
      <c r="G411" s="1786">
        <v>0</v>
      </c>
      <c r="H411" s="1786">
        <v>0</v>
      </c>
      <c r="I411" s="1786">
        <v>0</v>
      </c>
      <c r="J411" s="1785" t="s">
        <v>1275</v>
      </c>
    </row>
    <row r="412" spans="1:10" ht="12.75">
      <c r="A412" s="1779" t="s">
        <v>1561</v>
      </c>
      <c r="B412" s="2626"/>
      <c r="C412" s="2628"/>
      <c r="D412" s="2290"/>
      <c r="E412" s="1786"/>
      <c r="F412" s="2632"/>
      <c r="G412" s="2632"/>
      <c r="H412" s="2632"/>
      <c r="I412" s="2632"/>
      <c r="J412" s="1785"/>
    </row>
    <row r="413" spans="1:10" ht="38.25">
      <c r="A413" s="2165">
        <v>287995</v>
      </c>
      <c r="B413" s="2626">
        <v>720.55</v>
      </c>
      <c r="C413" s="2628" t="s">
        <v>556</v>
      </c>
      <c r="D413" s="2290"/>
      <c r="E413" s="1786">
        <v>0</v>
      </c>
      <c r="F413" s="1786">
        <v>0</v>
      </c>
      <c r="G413" s="1786">
        <v>0</v>
      </c>
      <c r="H413" s="1786">
        <v>0</v>
      </c>
      <c r="I413" s="1786">
        <f>E413</f>
        <v>0</v>
      </c>
      <c r="J413" s="1785" t="s">
        <v>1706</v>
      </c>
    </row>
    <row r="414" spans="1:10" ht="27.75" customHeight="1">
      <c r="A414" s="1782">
        <v>287891</v>
      </c>
      <c r="B414" s="2626">
        <v>505.18</v>
      </c>
      <c r="C414" s="2628" t="s">
        <v>571</v>
      </c>
      <c r="D414" s="2290"/>
      <c r="E414" s="1786">
        <v>0</v>
      </c>
      <c r="F414" s="1786">
        <f t="shared" ref="F414:F422" si="7">E414</f>
        <v>0</v>
      </c>
      <c r="G414" s="1786">
        <v>0</v>
      </c>
      <c r="H414" s="1786">
        <v>0</v>
      </c>
      <c r="I414" s="1786">
        <v>0</v>
      </c>
      <c r="J414" s="1785" t="s">
        <v>1707</v>
      </c>
    </row>
    <row r="415" spans="1:10" ht="25.5">
      <c r="A415" s="1782">
        <v>287650</v>
      </c>
      <c r="B415" s="2626">
        <v>205.1</v>
      </c>
      <c r="C415" s="2628" t="s">
        <v>570</v>
      </c>
      <c r="D415" s="2290"/>
      <c r="E415" s="1786">
        <v>-107969</v>
      </c>
      <c r="F415" s="1786">
        <f t="shared" si="7"/>
        <v>-107969</v>
      </c>
      <c r="G415" s="1786">
        <v>0</v>
      </c>
      <c r="H415" s="1786">
        <v>0</v>
      </c>
      <c r="I415" s="1786">
        <v>0</v>
      </c>
      <c r="J415" s="1785" t="s">
        <v>2078</v>
      </c>
    </row>
    <row r="416" spans="1:10" ht="38.25">
      <c r="A416" s="1782">
        <v>287879</v>
      </c>
      <c r="B416" s="2626">
        <v>415.89800000000002</v>
      </c>
      <c r="C416" s="2628" t="s">
        <v>589</v>
      </c>
      <c r="D416" s="2290"/>
      <c r="E416" s="1786">
        <v>0</v>
      </c>
      <c r="F416" s="1786">
        <f t="shared" si="7"/>
        <v>0</v>
      </c>
      <c r="G416" s="1786">
        <v>0</v>
      </c>
      <c r="H416" s="1786">
        <v>0</v>
      </c>
      <c r="I416" s="1786">
        <v>0</v>
      </c>
      <c r="J416" s="1785" t="s">
        <v>1273</v>
      </c>
    </row>
    <row r="417" spans="1:10" ht="51">
      <c r="A417" s="1782">
        <v>287661</v>
      </c>
      <c r="B417" s="2626">
        <v>425.36</v>
      </c>
      <c r="C417" s="2628" t="s">
        <v>592</v>
      </c>
      <c r="D417" s="2290"/>
      <c r="E417" s="1786">
        <v>-784468</v>
      </c>
      <c r="F417" s="1786">
        <f t="shared" si="7"/>
        <v>-784468</v>
      </c>
      <c r="G417" s="1786">
        <v>0</v>
      </c>
      <c r="H417" s="1786">
        <v>0</v>
      </c>
      <c r="I417" s="1786">
        <v>0</v>
      </c>
      <c r="J417" s="1785" t="s">
        <v>1280</v>
      </c>
    </row>
    <row r="418" spans="1:10" ht="25.5">
      <c r="A418" s="1782">
        <v>287341</v>
      </c>
      <c r="B418" s="2626">
        <v>910.53</v>
      </c>
      <c r="C418" s="2627" t="s">
        <v>1991</v>
      </c>
      <c r="D418" s="2290"/>
      <c r="E418" s="1786">
        <v>0</v>
      </c>
      <c r="F418" s="1786">
        <f t="shared" si="7"/>
        <v>0</v>
      </c>
      <c r="G418" s="1786">
        <v>0</v>
      </c>
      <c r="H418" s="1786">
        <v>0</v>
      </c>
      <c r="I418" s="1786">
        <v>0</v>
      </c>
      <c r="J418" s="1785" t="s">
        <v>1190</v>
      </c>
    </row>
    <row r="419" spans="1:10" ht="25.5">
      <c r="A419" s="1782">
        <v>287970</v>
      </c>
      <c r="B419" s="2626">
        <v>415.815</v>
      </c>
      <c r="C419" s="2627" t="s">
        <v>1992</v>
      </c>
      <c r="D419" s="2290"/>
      <c r="E419" s="1786">
        <v>0</v>
      </c>
      <c r="F419" s="1786">
        <f t="shared" si="7"/>
        <v>0</v>
      </c>
      <c r="G419" s="1786">
        <v>0</v>
      </c>
      <c r="H419" s="1786">
        <v>0</v>
      </c>
      <c r="I419" s="1786">
        <v>0</v>
      </c>
      <c r="J419" s="1785" t="s">
        <v>1665</v>
      </c>
    </row>
    <row r="420" spans="1:10" ht="25.5">
      <c r="A420" s="1782">
        <v>286909</v>
      </c>
      <c r="B420" s="2626">
        <v>720.81500000000005</v>
      </c>
      <c r="C420" s="2627" t="s">
        <v>2095</v>
      </c>
      <c r="D420" s="2290"/>
      <c r="E420" s="1786">
        <v>605443</v>
      </c>
      <c r="F420" s="1786">
        <f t="shared" si="7"/>
        <v>605443</v>
      </c>
      <c r="G420" s="1786">
        <v>0</v>
      </c>
      <c r="H420" s="1786">
        <v>0</v>
      </c>
      <c r="I420" s="1786">
        <v>0</v>
      </c>
      <c r="J420" s="2465" t="s">
        <v>2096</v>
      </c>
    </row>
    <row r="421" spans="1:10" ht="28.5" customHeight="1">
      <c r="A421" s="1782">
        <v>287750</v>
      </c>
      <c r="B421" s="2626">
        <v>425.31</v>
      </c>
      <c r="C421" s="2628" t="s">
        <v>1287</v>
      </c>
      <c r="D421" s="2290"/>
      <c r="E421" s="1786">
        <v>0</v>
      </c>
      <c r="F421" s="1786">
        <f t="shared" si="7"/>
        <v>0</v>
      </c>
      <c r="G421" s="1786">
        <v>0</v>
      </c>
      <c r="H421" s="1786">
        <v>0</v>
      </c>
      <c r="I421" s="1786">
        <v>0</v>
      </c>
      <c r="J421" s="1785" t="s">
        <v>1708</v>
      </c>
    </row>
    <row r="422" spans="1:10" ht="37.5" customHeight="1">
      <c r="A422" s="1782">
        <v>287656</v>
      </c>
      <c r="B422" s="2626">
        <v>425.28</v>
      </c>
      <c r="C422" s="2628" t="s">
        <v>591</v>
      </c>
      <c r="D422" s="2290"/>
      <c r="E422" s="1786">
        <v>-2815</v>
      </c>
      <c r="F422" s="1786">
        <f t="shared" si="7"/>
        <v>-2815</v>
      </c>
      <c r="G422" s="1786">
        <v>0</v>
      </c>
      <c r="H422" s="1786">
        <v>0</v>
      </c>
      <c r="I422" s="1786">
        <v>0</v>
      </c>
      <c r="J422" s="1785" t="s">
        <v>1279</v>
      </c>
    </row>
    <row r="423" spans="1:10" ht="25.5">
      <c r="A423" s="1782">
        <v>287967</v>
      </c>
      <c r="B423" s="2626">
        <v>320.29000000000002</v>
      </c>
      <c r="C423" s="2628" t="s">
        <v>1562</v>
      </c>
      <c r="D423" s="2290"/>
      <c r="E423" s="1786">
        <v>0</v>
      </c>
      <c r="F423" s="1786">
        <v>0</v>
      </c>
      <c r="G423" s="1786">
        <v>0</v>
      </c>
      <c r="H423" s="1786">
        <v>0</v>
      </c>
      <c r="I423" s="1786">
        <f>E423</f>
        <v>0</v>
      </c>
      <c r="J423" s="1785" t="s">
        <v>1294</v>
      </c>
    </row>
    <row r="424" spans="1:10" ht="38.25">
      <c r="A424" s="1782">
        <v>287609</v>
      </c>
      <c r="B424" s="2626">
        <v>105.241</v>
      </c>
      <c r="C424" s="2628" t="s">
        <v>1563</v>
      </c>
      <c r="D424" s="2290"/>
      <c r="E424" s="1786">
        <v>0</v>
      </c>
      <c r="F424" s="1786">
        <f t="shared" ref="F424:F429" si="8">E424</f>
        <v>0</v>
      </c>
      <c r="G424" s="1786">
        <v>0</v>
      </c>
      <c r="H424" s="1786">
        <v>0</v>
      </c>
      <c r="I424" s="1786">
        <v>0</v>
      </c>
      <c r="J424" s="1785" t="s">
        <v>1290</v>
      </c>
    </row>
    <row r="425" spans="1:10" ht="25.5">
      <c r="A425" s="1782">
        <v>287669</v>
      </c>
      <c r="B425" s="2626">
        <v>210.18</v>
      </c>
      <c r="C425" s="2628" t="s">
        <v>596</v>
      </c>
      <c r="D425" s="2290"/>
      <c r="E425" s="1786">
        <v>-1049902</v>
      </c>
      <c r="F425" s="1786">
        <f t="shared" si="8"/>
        <v>-1049902</v>
      </c>
      <c r="G425" s="1786">
        <v>0</v>
      </c>
      <c r="H425" s="1786">
        <v>0</v>
      </c>
      <c r="I425" s="1786">
        <v>0</v>
      </c>
      <c r="J425" s="1785" t="s">
        <v>1284</v>
      </c>
    </row>
    <row r="426" spans="1:10" ht="12.75">
      <c r="A426" s="1782">
        <v>287907</v>
      </c>
      <c r="B426" s="2626">
        <v>210.185</v>
      </c>
      <c r="C426" s="2628" t="s">
        <v>1564</v>
      </c>
      <c r="D426" s="2290"/>
      <c r="E426" s="1786">
        <v>-14996</v>
      </c>
      <c r="F426" s="1786">
        <f t="shared" si="8"/>
        <v>-14996</v>
      </c>
      <c r="G426" s="1786">
        <v>0</v>
      </c>
      <c r="H426" s="1786">
        <v>0</v>
      </c>
      <c r="I426" s="1786">
        <v>0</v>
      </c>
      <c r="J426" s="2465" t="s">
        <v>2097</v>
      </c>
    </row>
    <row r="427" spans="1:10" ht="38.25">
      <c r="A427" s="1782">
        <v>287909</v>
      </c>
      <c r="B427" s="2626">
        <v>210.19499999999999</v>
      </c>
      <c r="C427" s="2628" t="s">
        <v>1391</v>
      </c>
      <c r="D427" s="2290"/>
      <c r="E427" s="1786">
        <v>0</v>
      </c>
      <c r="F427" s="1786">
        <f t="shared" si="8"/>
        <v>0</v>
      </c>
      <c r="G427" s="1786">
        <v>0</v>
      </c>
      <c r="H427" s="1786">
        <v>0</v>
      </c>
      <c r="I427" s="1786">
        <v>0</v>
      </c>
      <c r="J427" s="2465" t="s">
        <v>1993</v>
      </c>
    </row>
    <row r="428" spans="1:10" ht="25.5">
      <c r="A428" s="1782">
        <v>287665</v>
      </c>
      <c r="B428" s="2626">
        <v>210.13</v>
      </c>
      <c r="C428" s="2628" t="s">
        <v>595</v>
      </c>
      <c r="D428" s="2290"/>
      <c r="E428" s="1786">
        <v>-81964</v>
      </c>
      <c r="F428" s="1786">
        <f t="shared" si="8"/>
        <v>-81964</v>
      </c>
      <c r="G428" s="1786">
        <v>0</v>
      </c>
      <c r="H428" s="1786">
        <v>0</v>
      </c>
      <c r="I428" s="1786">
        <v>0</v>
      </c>
      <c r="J428" s="1785" t="s">
        <v>1283</v>
      </c>
    </row>
    <row r="429" spans="1:10" ht="25.5">
      <c r="A429" s="1782">
        <v>287662</v>
      </c>
      <c r="B429" s="2626">
        <v>210.1</v>
      </c>
      <c r="C429" s="2628" t="s">
        <v>593</v>
      </c>
      <c r="D429" s="2290"/>
      <c r="E429" s="1786">
        <v>-250896</v>
      </c>
      <c r="F429" s="1786">
        <f t="shared" si="8"/>
        <v>-250896</v>
      </c>
      <c r="G429" s="1786">
        <v>0</v>
      </c>
      <c r="H429" s="1786">
        <v>0</v>
      </c>
      <c r="I429" s="1786">
        <v>0</v>
      </c>
      <c r="J429" s="1785" t="s">
        <v>1281</v>
      </c>
    </row>
    <row r="430" spans="1:10" ht="25.5">
      <c r="A430" s="1782">
        <v>287708</v>
      </c>
      <c r="B430" s="2626">
        <v>210.2</v>
      </c>
      <c r="C430" s="2628" t="s">
        <v>597</v>
      </c>
      <c r="D430" s="2290"/>
      <c r="E430" s="1786">
        <v>-3341029</v>
      </c>
      <c r="F430" s="1786">
        <v>0</v>
      </c>
      <c r="G430" s="1786">
        <v>0</v>
      </c>
      <c r="H430" s="1786">
        <f>E430</f>
        <v>-3341029</v>
      </c>
      <c r="I430" s="1786">
        <v>0</v>
      </c>
      <c r="J430" s="1785" t="s">
        <v>1286</v>
      </c>
    </row>
    <row r="431" spans="1:10" ht="38.25">
      <c r="A431" s="1782">
        <v>286908</v>
      </c>
      <c r="B431" s="2626">
        <v>210.20099999999999</v>
      </c>
      <c r="C431" s="2628" t="s">
        <v>2098</v>
      </c>
      <c r="D431" s="2290"/>
      <c r="E431" s="1786">
        <v>-3391794</v>
      </c>
      <c r="F431" s="1786">
        <v>0</v>
      </c>
      <c r="G431" s="1786">
        <v>0</v>
      </c>
      <c r="H431" s="1786">
        <f>+E431</f>
        <v>-3391794</v>
      </c>
      <c r="I431" s="1786">
        <v>0</v>
      </c>
      <c r="J431" s="1785" t="s">
        <v>2099</v>
      </c>
    </row>
    <row r="432" spans="1:10" ht="25.5">
      <c r="A432" s="1782">
        <v>287664</v>
      </c>
      <c r="B432" s="2626">
        <v>210.12</v>
      </c>
      <c r="C432" s="2628" t="s">
        <v>594</v>
      </c>
      <c r="D432" s="2290"/>
      <c r="E432" s="1786">
        <v>-773246</v>
      </c>
      <c r="F432" s="1786">
        <f t="shared" ref="F432:F437" si="9">E432</f>
        <v>-773246</v>
      </c>
      <c r="G432" s="1786">
        <v>0</v>
      </c>
      <c r="H432" s="1786">
        <v>0</v>
      </c>
      <c r="I432" s="1786">
        <v>0</v>
      </c>
      <c r="J432" s="1785" t="s">
        <v>1282</v>
      </c>
    </row>
    <row r="433" spans="1:10" ht="25.5">
      <c r="A433" s="1782">
        <v>287908</v>
      </c>
      <c r="B433" s="2626">
        <v>210.19</v>
      </c>
      <c r="C433" s="2628" t="s">
        <v>1709</v>
      </c>
      <c r="D433" s="2290"/>
      <c r="E433" s="1786">
        <v>-184423</v>
      </c>
      <c r="F433" s="1786">
        <f t="shared" si="9"/>
        <v>-184423</v>
      </c>
      <c r="G433" s="1786">
        <v>0</v>
      </c>
      <c r="H433" s="1786">
        <v>0</v>
      </c>
      <c r="I433" s="1786">
        <v>0</v>
      </c>
      <c r="J433" s="2465" t="s">
        <v>1741</v>
      </c>
    </row>
    <row r="434" spans="1:10" ht="63.75">
      <c r="A434" s="1782">
        <v>287927</v>
      </c>
      <c r="B434" s="2626">
        <v>100.11</v>
      </c>
      <c r="C434" s="2628" t="s">
        <v>1710</v>
      </c>
      <c r="D434" s="2290"/>
      <c r="E434" s="1786">
        <v>-9381</v>
      </c>
      <c r="F434" s="1786">
        <f t="shared" si="9"/>
        <v>-9381</v>
      </c>
      <c r="G434" s="1786">
        <v>0</v>
      </c>
      <c r="H434" s="1786">
        <v>0</v>
      </c>
      <c r="I434" s="1786">
        <v>0</v>
      </c>
      <c r="J434" s="1785" t="s">
        <v>1994</v>
      </c>
    </row>
    <row r="435" spans="1:10" ht="51">
      <c r="A435" s="1782">
        <v>287289</v>
      </c>
      <c r="B435" s="2626">
        <v>425.13</v>
      </c>
      <c r="C435" s="2628" t="s">
        <v>1451</v>
      </c>
      <c r="D435" s="2290"/>
      <c r="E435" s="1786">
        <v>-19071</v>
      </c>
      <c r="F435" s="1786">
        <f t="shared" si="9"/>
        <v>-19071</v>
      </c>
      <c r="G435" s="1786">
        <v>0</v>
      </c>
      <c r="H435" s="1786">
        <v>0</v>
      </c>
      <c r="I435" s="1786">
        <v>0</v>
      </c>
      <c r="J435" s="1785" t="s">
        <v>1182</v>
      </c>
    </row>
    <row r="436" spans="1:10" ht="40.5" customHeight="1">
      <c r="A436" s="1782">
        <v>287653</v>
      </c>
      <c r="B436" s="2626">
        <v>425.25</v>
      </c>
      <c r="C436" s="2628" t="s">
        <v>590</v>
      </c>
      <c r="D436" s="2290"/>
      <c r="E436" s="1786">
        <v>-7927</v>
      </c>
      <c r="F436" s="1786">
        <f t="shared" si="9"/>
        <v>-7927</v>
      </c>
      <c r="G436" s="1786">
        <v>0</v>
      </c>
      <c r="H436" s="1786">
        <v>0</v>
      </c>
      <c r="I436" s="1786">
        <v>0</v>
      </c>
      <c r="J436" s="1785" t="s">
        <v>1279</v>
      </c>
    </row>
    <row r="437" spans="1:10" ht="30" customHeight="1">
      <c r="A437" s="1782">
        <v>287770</v>
      </c>
      <c r="B437" s="2626">
        <v>120.205</v>
      </c>
      <c r="C437" s="2628" t="s">
        <v>598</v>
      </c>
      <c r="D437" s="2290"/>
      <c r="E437" s="1786">
        <v>-829642</v>
      </c>
      <c r="F437" s="1786">
        <f t="shared" si="9"/>
        <v>-829642</v>
      </c>
      <c r="G437" s="1786">
        <v>0</v>
      </c>
      <c r="H437" s="1786">
        <v>0</v>
      </c>
      <c r="I437" s="1786">
        <v>0</v>
      </c>
      <c r="J437" s="1785" t="s">
        <v>1288</v>
      </c>
    </row>
    <row r="438" spans="1:10" ht="63.75">
      <c r="A438" s="1782">
        <v>287859</v>
      </c>
      <c r="B438" s="2626">
        <v>910.93499999999995</v>
      </c>
      <c r="C438" s="2628" t="s">
        <v>2100</v>
      </c>
      <c r="D438" s="2290"/>
      <c r="E438" s="1786">
        <v>-461537</v>
      </c>
      <c r="F438" s="1786">
        <v>0</v>
      </c>
      <c r="G438" s="1786">
        <v>0</v>
      </c>
      <c r="H438" s="1786">
        <v>0</v>
      </c>
      <c r="I438" s="1786">
        <f>E438</f>
        <v>-461537</v>
      </c>
      <c r="J438" s="2465" t="s">
        <v>2101</v>
      </c>
    </row>
    <row r="439" spans="1:10" ht="15" customHeight="1">
      <c r="A439" s="1782">
        <v>287217</v>
      </c>
      <c r="B439" s="2626">
        <v>910.93700000000001</v>
      </c>
      <c r="C439" s="2628" t="s">
        <v>1794</v>
      </c>
      <c r="D439" s="2290"/>
      <c r="E439" s="1786">
        <v>-392165</v>
      </c>
      <c r="F439" s="1786">
        <v>0</v>
      </c>
      <c r="G439" s="1786">
        <v>0</v>
      </c>
      <c r="H439" s="1786">
        <v>0</v>
      </c>
      <c r="I439" s="1786">
        <f>E439</f>
        <v>-392165</v>
      </c>
      <c r="J439" s="1785" t="s">
        <v>1793</v>
      </c>
    </row>
    <row r="440" spans="1:10" ht="30" customHeight="1">
      <c r="A440" s="1782">
        <v>287966</v>
      </c>
      <c r="B440" s="2626">
        <v>415.834</v>
      </c>
      <c r="C440" s="2628" t="s">
        <v>1565</v>
      </c>
      <c r="D440" s="2290"/>
      <c r="E440" s="1786">
        <v>-895821</v>
      </c>
      <c r="F440" s="1786">
        <f>E440</f>
        <v>-895821</v>
      </c>
      <c r="G440" s="1786">
        <v>0</v>
      </c>
      <c r="H440" s="1786">
        <v>0</v>
      </c>
      <c r="I440" s="1786">
        <v>0</v>
      </c>
      <c r="J440" s="1785" t="s">
        <v>1293</v>
      </c>
    </row>
    <row r="441" spans="1:10" ht="30" customHeight="1">
      <c r="A441" s="1782">
        <v>287965</v>
      </c>
      <c r="B441" s="2626">
        <v>415.83600000000001</v>
      </c>
      <c r="C441" s="2628" t="s">
        <v>1292</v>
      </c>
      <c r="D441" s="2290"/>
      <c r="E441" s="1786">
        <v>0</v>
      </c>
      <c r="F441" s="1786">
        <f>E441</f>
        <v>0</v>
      </c>
      <c r="G441" s="1786">
        <v>0</v>
      </c>
      <c r="H441" s="1786">
        <v>0</v>
      </c>
      <c r="I441" s="1786">
        <v>0</v>
      </c>
      <c r="J441" s="1785" t="s">
        <v>1293</v>
      </c>
    </row>
    <row r="442" spans="1:10" ht="30" customHeight="1">
      <c r="A442" s="1782">
        <v>287492</v>
      </c>
      <c r="B442" s="2626" t="s">
        <v>563</v>
      </c>
      <c r="C442" s="2628" t="s">
        <v>1566</v>
      </c>
      <c r="D442" s="2290"/>
      <c r="E442" s="1786">
        <v>-163932</v>
      </c>
      <c r="F442" s="1786">
        <f>E442</f>
        <v>-163932</v>
      </c>
      <c r="G442" s="1786">
        <v>0</v>
      </c>
      <c r="H442" s="1786">
        <v>0</v>
      </c>
      <c r="I442" s="1786">
        <v>0</v>
      </c>
      <c r="J442" s="2465" t="s">
        <v>1587</v>
      </c>
    </row>
    <row r="443" spans="1:10" ht="15">
      <c r="A443" s="2536"/>
      <c r="B443" s="2537"/>
      <c r="C443" s="2537"/>
      <c r="D443" s="2558"/>
      <c r="E443" s="2559"/>
      <c r="F443" s="2559"/>
      <c r="G443" s="2559"/>
      <c r="H443" s="2559"/>
      <c r="I443" s="2559"/>
      <c r="J443" s="2541"/>
    </row>
    <row r="444" spans="1:10" ht="12.75">
      <c r="A444" s="2315"/>
      <c r="B444" s="2518"/>
      <c r="C444" s="2518"/>
      <c r="D444" s="2467"/>
      <c r="E444" s="2168"/>
      <c r="F444" s="2168"/>
      <c r="G444" s="2168"/>
      <c r="H444" s="2168"/>
      <c r="I444" s="2168"/>
      <c r="J444" s="1830"/>
    </row>
    <row r="445" spans="1:10" s="2468" customFormat="1" ht="12.75">
      <c r="A445" s="2316"/>
      <c r="B445" s="2317"/>
      <c r="C445" s="2318"/>
      <c r="D445" s="925"/>
      <c r="E445" s="2168"/>
      <c r="F445" s="2168"/>
      <c r="G445" s="2168"/>
      <c r="H445" s="2168"/>
      <c r="I445" s="2168"/>
      <c r="J445" s="1831"/>
    </row>
    <row r="446" spans="1:10" s="2468" customFormat="1" ht="12.75">
      <c r="A446" s="2316"/>
      <c r="B446" s="2561"/>
      <c r="C446" s="2562"/>
      <c r="D446" s="2469"/>
      <c r="E446" s="2168"/>
      <c r="F446" s="2168"/>
      <c r="G446" s="2168"/>
      <c r="H446" s="2168"/>
      <c r="I446" s="2168"/>
      <c r="J446" s="1785"/>
    </row>
    <row r="447" spans="1:10" s="1343" customFormat="1" ht="12.75">
      <c r="A447" s="2668" t="s">
        <v>439</v>
      </c>
      <c r="B447" s="2677"/>
      <c r="C447" s="2677"/>
      <c r="D447" s="2563"/>
      <c r="E447" s="2168">
        <v>-3</v>
      </c>
      <c r="F447" s="2168">
        <f>E447</f>
        <v>-3</v>
      </c>
      <c r="G447" s="2168"/>
      <c r="H447" s="2168"/>
      <c r="I447" s="2168"/>
      <c r="J447" s="1832"/>
    </row>
    <row r="448" spans="1:10" s="1379" customFormat="1" ht="12.75">
      <c r="A448" s="2313" t="s">
        <v>322</v>
      </c>
      <c r="B448" s="2477"/>
      <c r="C448" s="2474"/>
      <c r="D448" s="2478"/>
      <c r="E448" s="2305">
        <f>SUBTOTAL(9,E306:E447)</f>
        <v>-272914926</v>
      </c>
      <c r="F448" s="2305">
        <f>SUBTOTAL(9,F306:F447)</f>
        <v>-264999240</v>
      </c>
      <c r="G448" s="2305">
        <f>SUBTOTAL(9,G306:G447)</f>
        <v>0</v>
      </c>
      <c r="H448" s="2305">
        <f>SUBTOTAL(9,H306:H447)</f>
        <v>-6732823</v>
      </c>
      <c r="I448" s="2305">
        <f>SUBTOTAL(9,I306:I447)</f>
        <v>-1182863</v>
      </c>
      <c r="J448" s="2308"/>
    </row>
    <row r="449" spans="1:10" s="1379" customFormat="1" ht="12.75">
      <c r="A449" s="2313" t="s">
        <v>198</v>
      </c>
      <c r="B449" s="2477"/>
      <c r="C449" s="2474"/>
      <c r="D449" s="2478"/>
      <c r="E449" s="2633">
        <f>E350+E434</f>
        <v>-9381</v>
      </c>
      <c r="F449" s="2633">
        <f>F350+F434</f>
        <v>-9381</v>
      </c>
      <c r="G449" s="2633">
        <f>G350+G434</f>
        <v>0</v>
      </c>
      <c r="H449" s="2633">
        <f>H350+H434</f>
        <v>0</v>
      </c>
      <c r="I449" s="2633">
        <f>I350+I434</f>
        <v>0</v>
      </c>
      <c r="J449" s="2308"/>
    </row>
    <row r="450" spans="1:10" s="1379" customFormat="1" ht="12.75">
      <c r="A450" s="2313" t="s">
        <v>199</v>
      </c>
      <c r="B450" s="2477"/>
      <c r="C450" s="2474"/>
      <c r="D450" s="2478"/>
      <c r="E450" s="2633">
        <v>0</v>
      </c>
      <c r="F450" s="2633">
        <v>0</v>
      </c>
      <c r="G450" s="2633">
        <v>0</v>
      </c>
      <c r="H450" s="2633">
        <v>0</v>
      </c>
      <c r="I450" s="2633">
        <v>0</v>
      </c>
      <c r="J450" s="2308"/>
    </row>
    <row r="451" spans="1:10" s="1379" customFormat="1" ht="12.75">
      <c r="A451" s="2320" t="s">
        <v>282</v>
      </c>
      <c r="B451" s="2321"/>
      <c r="C451" s="2322"/>
      <c r="D451" s="2323"/>
      <c r="E451" s="2324">
        <f>SUM(E448-E449-E450)</f>
        <v>-272905545</v>
      </c>
      <c r="F451" s="2324">
        <f>SUM(F448-F449-F450)</f>
        <v>-264989859</v>
      </c>
      <c r="G451" s="2324">
        <f>SUM(G448-G449-G450)</f>
        <v>0</v>
      </c>
      <c r="H451" s="2324">
        <f>SUM(H448-H449-H450)</f>
        <v>-6732823</v>
      </c>
      <c r="I451" s="2324">
        <f>SUM(I448-I449-I450)</f>
        <v>-1182863</v>
      </c>
      <c r="J451" s="2308"/>
    </row>
    <row r="452" spans="1:10" s="1379" customFormat="1" ht="12.75">
      <c r="A452" s="2527"/>
      <c r="B452" s="2527"/>
      <c r="C452" s="2564"/>
      <c r="D452" s="2565"/>
      <c r="E452" s="2565"/>
      <c r="F452" s="2565"/>
      <c r="G452" s="2565"/>
      <c r="H452" s="2565"/>
      <c r="I452" s="1381"/>
      <c r="J452" s="1378"/>
    </row>
    <row r="453" spans="1:10" s="1379" customFormat="1" ht="12.75">
      <c r="A453" s="2527"/>
      <c r="B453" s="2527"/>
      <c r="C453" s="2486" t="s">
        <v>65</v>
      </c>
      <c r="D453" s="2311"/>
      <c r="E453" s="2311"/>
      <c r="F453" s="2311"/>
      <c r="G453" s="2528"/>
      <c r="H453" s="2529"/>
      <c r="I453" s="1381"/>
      <c r="J453" s="1378"/>
    </row>
    <row r="454" spans="1:10" s="1379" customFormat="1" ht="25.5">
      <c r="A454" s="2527"/>
      <c r="B454" s="2527"/>
      <c r="C454" s="2566" t="s">
        <v>132</v>
      </c>
      <c r="D454" s="1381"/>
      <c r="E454" s="1381"/>
      <c r="F454" s="1381"/>
      <c r="G454" s="1381"/>
      <c r="H454" s="2567"/>
      <c r="I454" s="1381"/>
      <c r="J454" s="1378"/>
    </row>
    <row r="455" spans="1:10" s="1379" customFormat="1" ht="12.75">
      <c r="A455" s="2527"/>
      <c r="B455" s="2527"/>
      <c r="C455" s="2491" t="s">
        <v>133</v>
      </c>
      <c r="D455" s="2335"/>
      <c r="E455" s="2335"/>
      <c r="F455" s="2335"/>
      <c r="G455" s="2530"/>
      <c r="H455" s="2531"/>
      <c r="I455" s="1381"/>
      <c r="J455" s="1378"/>
    </row>
    <row r="456" spans="1:10" s="1379" customFormat="1" ht="12.75">
      <c r="A456" s="2527"/>
      <c r="B456" s="2527"/>
      <c r="C456" s="2491" t="s">
        <v>262</v>
      </c>
      <c r="D456" s="2335"/>
      <c r="E456" s="2335"/>
      <c r="F456" s="2335"/>
      <c r="G456" s="2530"/>
      <c r="H456" s="2531"/>
      <c r="I456" s="1381"/>
      <c r="J456" s="1378"/>
    </row>
    <row r="457" spans="1:10" s="1379" customFormat="1" ht="12.75">
      <c r="A457" s="2527"/>
      <c r="B457" s="2527"/>
      <c r="C457" s="2491" t="s">
        <v>264</v>
      </c>
      <c r="D457" s="2335"/>
      <c r="E457" s="2335"/>
      <c r="F457" s="2335"/>
      <c r="G457" s="2335"/>
      <c r="H457" s="2336"/>
      <c r="I457" s="2568"/>
      <c r="J457" s="1378"/>
    </row>
    <row r="458" spans="1:10" s="1379" customFormat="1" ht="24.75" customHeight="1">
      <c r="A458" s="2527"/>
      <c r="B458" s="2527"/>
      <c r="C458" s="2670" t="s">
        <v>18</v>
      </c>
      <c r="D458" s="2671"/>
      <c r="E458" s="2671"/>
      <c r="F458" s="2671"/>
      <c r="G458" s="2671"/>
      <c r="H458" s="2672"/>
      <c r="I458" s="1381"/>
      <c r="J458" s="1378"/>
    </row>
    <row r="459" spans="1:10">
      <c r="A459" s="2546"/>
      <c r="B459" s="2546"/>
      <c r="C459" s="2550"/>
      <c r="D459" s="2569"/>
      <c r="E459" s="2569"/>
      <c r="F459" s="2569"/>
      <c r="G459" s="2569"/>
      <c r="H459" s="2569"/>
      <c r="I459" s="2550"/>
      <c r="J459" s="1379"/>
    </row>
    <row r="460" spans="1:10">
      <c r="A460" s="2546"/>
      <c r="B460" s="2546"/>
      <c r="C460" s="2550"/>
      <c r="D460" s="2569"/>
      <c r="E460" s="1835"/>
      <c r="F460" s="1835"/>
      <c r="G460" s="1326"/>
      <c r="H460" s="1326"/>
      <c r="I460" s="1373"/>
    </row>
    <row r="461" spans="1:10">
      <c r="A461" s="1369"/>
      <c r="B461" s="1369"/>
      <c r="C461" s="1373"/>
      <c r="D461" s="1308"/>
      <c r="E461" s="1835"/>
      <c r="F461" s="1835"/>
      <c r="G461" s="1326"/>
      <c r="H461" s="1326"/>
      <c r="I461" s="1373"/>
    </row>
    <row r="462" spans="1:10">
      <c r="A462" s="1369"/>
      <c r="B462" s="1369"/>
      <c r="C462" s="1373"/>
      <c r="D462" s="1308"/>
      <c r="E462" s="1835"/>
      <c r="F462" s="1835"/>
      <c r="G462" s="1326"/>
      <c r="H462" s="1326"/>
      <c r="I462" s="1373"/>
    </row>
    <row r="463" spans="1:10">
      <c r="A463" s="1369"/>
      <c r="B463" s="1369"/>
      <c r="C463" s="1373"/>
      <c r="D463" s="1308"/>
      <c r="E463" s="1835"/>
      <c r="F463" s="1835"/>
      <c r="G463" s="1326"/>
      <c r="H463" s="1326"/>
      <c r="I463" s="1373"/>
    </row>
    <row r="464" spans="1:10">
      <c r="A464" s="1369"/>
      <c r="B464" s="1369"/>
      <c r="C464" s="1373"/>
      <c r="D464" s="1308"/>
      <c r="E464" s="1835"/>
      <c r="F464" s="1835"/>
      <c r="G464" s="1326"/>
      <c r="H464" s="1326"/>
      <c r="I464" s="1373"/>
    </row>
    <row r="465" spans="1:9">
      <c r="A465" s="1369"/>
      <c r="B465" s="1369"/>
      <c r="C465" s="1373"/>
      <c r="D465" s="1308"/>
      <c r="E465" s="1835"/>
      <c r="F465" s="1835"/>
      <c r="G465" s="1326"/>
      <c r="H465" s="1326"/>
      <c r="I465" s="1373"/>
    </row>
    <row r="466" spans="1:9">
      <c r="A466" s="1369"/>
      <c r="B466" s="1369"/>
      <c r="C466" s="1373"/>
      <c r="D466" s="1308"/>
      <c r="E466" s="1835"/>
      <c r="F466" s="1835"/>
      <c r="G466" s="1326"/>
      <c r="H466" s="1326"/>
      <c r="I466" s="1373"/>
    </row>
    <row r="467" spans="1:9">
      <c r="A467" s="1369"/>
      <c r="B467" s="1369"/>
      <c r="C467" s="1373"/>
      <c r="D467" s="1308"/>
      <c r="E467" s="1835"/>
      <c r="F467" s="1835"/>
      <c r="G467" s="1326"/>
      <c r="H467" s="1326"/>
      <c r="I467" s="1373"/>
    </row>
    <row r="468" spans="1:9">
      <c r="A468" s="1373"/>
      <c r="B468" s="1373"/>
      <c r="C468" s="1373"/>
      <c r="D468" s="1308"/>
      <c r="E468" s="1835"/>
      <c r="F468" s="1835"/>
      <c r="G468" s="1326"/>
      <c r="H468" s="1326"/>
      <c r="I468" s="1373"/>
    </row>
    <row r="469" spans="1:9">
      <c r="A469" s="1369"/>
      <c r="B469" s="1369"/>
      <c r="C469" s="1373"/>
      <c r="D469" s="1308"/>
      <c r="E469" s="1835"/>
      <c r="F469" s="1835"/>
      <c r="G469" s="1326"/>
      <c r="H469" s="1326"/>
      <c r="I469" s="1373"/>
    </row>
    <row r="470" spans="1:9">
      <c r="A470" s="1373"/>
      <c r="B470" s="1373"/>
      <c r="C470" s="1373"/>
      <c r="D470" s="1308"/>
      <c r="E470" s="1835"/>
      <c r="F470" s="1835"/>
      <c r="G470" s="1326"/>
      <c r="H470" s="1326"/>
      <c r="I470" s="1373"/>
    </row>
    <row r="471" spans="1:9">
      <c r="A471" s="1369"/>
      <c r="B471" s="1369"/>
      <c r="C471" s="1373"/>
      <c r="D471" s="1308"/>
      <c r="E471" s="1326"/>
      <c r="F471" s="1326"/>
      <c r="G471" s="1326"/>
      <c r="H471" s="1326"/>
      <c r="I471" s="1373"/>
    </row>
    <row r="472" spans="1:9">
      <c r="A472" s="1369"/>
      <c r="B472" s="1369"/>
      <c r="C472" s="1373"/>
      <c r="D472" s="1308"/>
      <c r="E472" s="1326"/>
      <c r="F472" s="1326"/>
      <c r="G472" s="1326"/>
      <c r="H472" s="1326"/>
      <c r="I472" s="1373"/>
    </row>
    <row r="473" spans="1:9">
      <c r="A473" s="1369"/>
      <c r="B473" s="1369"/>
      <c r="C473" s="1373"/>
      <c r="D473" s="1308"/>
      <c r="E473" s="1326"/>
      <c r="F473" s="1326"/>
      <c r="G473" s="1326"/>
      <c r="H473" s="1326"/>
      <c r="I473" s="1373"/>
    </row>
    <row r="474" spans="1:9">
      <c r="A474" s="1369"/>
      <c r="B474" s="1369"/>
      <c r="C474" s="1373"/>
      <c r="D474" s="1308"/>
      <c r="E474" s="1326"/>
      <c r="F474" s="1326"/>
      <c r="G474" s="1326"/>
      <c r="H474" s="1326"/>
      <c r="I474" s="1373"/>
    </row>
    <row r="475" spans="1:9">
      <c r="A475" s="1369"/>
      <c r="B475" s="1369"/>
      <c r="C475" s="1373"/>
      <c r="D475" s="1308"/>
      <c r="E475" s="1326"/>
      <c r="F475" s="1326"/>
      <c r="G475" s="1326"/>
      <c r="H475" s="1326"/>
      <c r="I475" s="1373"/>
    </row>
    <row r="476" spans="1:9">
      <c r="A476" s="1369"/>
      <c r="B476" s="1369"/>
      <c r="C476" s="1373"/>
      <c r="D476" s="1308"/>
      <c r="E476" s="1326"/>
      <c r="F476" s="1326"/>
      <c r="G476" s="1326"/>
      <c r="H476" s="1326"/>
      <c r="I476" s="1373"/>
    </row>
    <row r="477" spans="1:9">
      <c r="A477" s="1369"/>
      <c r="B477" s="1369"/>
      <c r="C477" s="1373"/>
      <c r="D477" s="1308"/>
      <c r="E477" s="1326"/>
      <c r="F477" s="1326"/>
      <c r="G477" s="1326"/>
      <c r="H477" s="1326"/>
      <c r="I477" s="1373"/>
    </row>
    <row r="478" spans="1:9">
      <c r="A478" s="1369"/>
      <c r="B478" s="1369"/>
      <c r="C478" s="1373"/>
      <c r="D478" s="1308"/>
      <c r="E478" s="1326"/>
      <c r="F478" s="1326"/>
      <c r="G478" s="1326"/>
      <c r="H478" s="1326"/>
      <c r="I478" s="1373"/>
    </row>
    <row r="479" spans="1:9">
      <c r="A479" s="1369"/>
      <c r="B479" s="1369"/>
      <c r="C479" s="1373"/>
      <c r="D479" s="1308"/>
      <c r="E479" s="1326"/>
      <c r="F479" s="1326"/>
      <c r="G479" s="1326"/>
      <c r="H479" s="1326"/>
      <c r="I479" s="1373"/>
    </row>
    <row r="480" spans="1:9">
      <c r="A480" s="1369"/>
      <c r="B480" s="1369"/>
      <c r="C480" s="1373"/>
      <c r="D480" s="1308"/>
      <c r="E480" s="1326"/>
      <c r="F480" s="1326"/>
      <c r="G480" s="1326"/>
      <c r="H480" s="1326"/>
      <c r="I480" s="1373"/>
    </row>
    <row r="481" spans="1:9">
      <c r="A481" s="1369"/>
      <c r="B481" s="1369"/>
      <c r="C481" s="1373"/>
      <c r="D481" s="1308"/>
      <c r="E481" s="1326"/>
      <c r="F481" s="1326"/>
      <c r="G481" s="1326"/>
      <c r="H481" s="1326"/>
      <c r="I481" s="1373"/>
    </row>
    <row r="482" spans="1:9">
      <c r="A482" s="1369"/>
      <c r="B482" s="1369"/>
      <c r="C482" s="1373"/>
      <c r="D482" s="1308"/>
      <c r="E482" s="1326"/>
      <c r="F482" s="1326"/>
      <c r="G482" s="1326"/>
      <c r="H482" s="1326"/>
      <c r="I482" s="1373"/>
    </row>
    <row r="483" spans="1:9">
      <c r="A483" s="1369"/>
      <c r="B483" s="1369"/>
      <c r="C483" s="1373"/>
      <c r="D483" s="1308"/>
      <c r="E483" s="1326"/>
      <c r="F483" s="1326"/>
      <c r="G483" s="1326"/>
      <c r="H483" s="1326"/>
      <c r="I483" s="1373"/>
    </row>
    <row r="484" spans="1:9">
      <c r="A484" s="1369"/>
      <c r="B484" s="1369"/>
      <c r="C484" s="1373"/>
      <c r="D484" s="1308"/>
      <c r="E484" s="1326"/>
      <c r="F484" s="1326"/>
      <c r="G484" s="1326"/>
      <c r="H484" s="1326"/>
      <c r="I484" s="1373"/>
    </row>
    <row r="485" spans="1:9">
      <c r="A485" s="1369"/>
      <c r="B485" s="1369"/>
      <c r="C485" s="1373"/>
      <c r="D485" s="1308"/>
      <c r="E485" s="1326"/>
      <c r="F485" s="1326"/>
      <c r="G485" s="1326"/>
      <c r="H485" s="1326"/>
      <c r="I485" s="1373"/>
    </row>
    <row r="486" spans="1:9">
      <c r="A486" s="1369"/>
      <c r="B486" s="1369"/>
      <c r="C486" s="1373"/>
      <c r="D486" s="1308"/>
      <c r="E486" s="1326"/>
      <c r="F486" s="1326"/>
      <c r="G486" s="1326"/>
      <c r="H486" s="1326"/>
      <c r="I486" s="1373"/>
    </row>
    <row r="487" spans="1:9">
      <c r="A487" s="1369"/>
      <c r="B487" s="1369"/>
      <c r="C487" s="1373"/>
      <c r="D487" s="1308"/>
      <c r="E487" s="1326"/>
      <c r="F487" s="1326"/>
      <c r="G487" s="1326"/>
      <c r="H487" s="1326"/>
      <c r="I487" s="1373"/>
    </row>
    <row r="488" spans="1:9">
      <c r="A488" s="1369"/>
      <c r="B488" s="1369"/>
      <c r="C488" s="1373"/>
      <c r="D488" s="1308"/>
      <c r="E488" s="1326"/>
      <c r="F488" s="1326"/>
      <c r="G488" s="1326"/>
      <c r="H488" s="1326"/>
      <c r="I488" s="1373"/>
    </row>
    <row r="489" spans="1:9">
      <c r="A489" s="1369"/>
      <c r="B489" s="1369"/>
      <c r="C489" s="1373"/>
      <c r="D489" s="1308"/>
      <c r="E489" s="1326"/>
      <c r="F489" s="1326"/>
      <c r="G489" s="1326"/>
      <c r="H489" s="1326"/>
      <c r="I489" s="1373"/>
    </row>
    <row r="490" spans="1:9">
      <c r="A490" s="1369"/>
      <c r="B490" s="1369"/>
      <c r="C490" s="1373"/>
      <c r="D490" s="1308"/>
      <c r="E490" s="1326"/>
      <c r="F490" s="1326"/>
      <c r="G490" s="1326"/>
      <c r="H490" s="1326"/>
      <c r="I490" s="1373"/>
    </row>
    <row r="491" spans="1:9">
      <c r="A491" s="1369"/>
      <c r="B491" s="1369"/>
      <c r="C491" s="1373"/>
      <c r="D491" s="1308"/>
      <c r="E491" s="1326"/>
      <c r="F491" s="1326"/>
      <c r="G491" s="1326"/>
      <c r="H491" s="1326"/>
      <c r="I491" s="1373"/>
    </row>
    <row r="492" spans="1:9">
      <c r="A492" s="1369"/>
      <c r="B492" s="1369"/>
      <c r="C492" s="1373"/>
      <c r="D492" s="1308"/>
      <c r="E492" s="1326"/>
      <c r="F492" s="1326"/>
      <c r="G492" s="1326"/>
      <c r="H492" s="1326"/>
      <c r="I492" s="1373"/>
    </row>
    <row r="493" spans="1:9">
      <c r="A493" s="1369"/>
      <c r="B493" s="1369"/>
      <c r="C493" s="1373"/>
      <c r="D493" s="1308"/>
      <c r="E493" s="1326"/>
      <c r="F493" s="1326"/>
      <c r="G493" s="1326"/>
      <c r="H493" s="1326"/>
      <c r="I493" s="1373"/>
    </row>
    <row r="494" spans="1:9">
      <c r="A494" s="1369"/>
      <c r="B494" s="1369"/>
      <c r="C494" s="1373"/>
      <c r="D494" s="1308"/>
      <c r="E494" s="1326"/>
      <c r="F494" s="1326"/>
      <c r="G494" s="1326"/>
      <c r="H494" s="1326"/>
      <c r="I494" s="1373"/>
    </row>
    <row r="495" spans="1:9">
      <c r="A495" s="1369"/>
      <c r="B495" s="1369"/>
      <c r="C495" s="1373"/>
      <c r="D495" s="1308"/>
      <c r="E495" s="1326"/>
      <c r="F495" s="1326"/>
      <c r="G495" s="1326"/>
      <c r="H495" s="1326"/>
      <c r="I495" s="1373"/>
    </row>
    <row r="496" spans="1:9">
      <c r="A496" s="1369"/>
      <c r="B496" s="1369"/>
      <c r="C496" s="1373"/>
      <c r="D496" s="1308"/>
      <c r="E496" s="1326"/>
      <c r="F496" s="1326"/>
      <c r="G496" s="1326"/>
      <c r="H496" s="1326"/>
      <c r="I496" s="1373"/>
    </row>
    <row r="497" spans="1:9">
      <c r="A497" s="1369"/>
      <c r="B497" s="1369"/>
      <c r="C497" s="1373"/>
      <c r="D497" s="1308"/>
      <c r="E497" s="1326"/>
      <c r="F497" s="1326"/>
      <c r="G497" s="1326"/>
      <c r="H497" s="1326"/>
      <c r="I497" s="1373"/>
    </row>
    <row r="498" spans="1:9">
      <c r="A498" s="1369"/>
      <c r="B498" s="1369"/>
      <c r="C498" s="1373"/>
      <c r="D498" s="1308"/>
      <c r="E498" s="1326"/>
      <c r="F498" s="1326"/>
      <c r="G498" s="1326"/>
      <c r="H498" s="1326"/>
      <c r="I498" s="1373"/>
    </row>
    <row r="499" spans="1:9">
      <c r="A499" s="1369"/>
      <c r="B499" s="1369"/>
      <c r="C499" s="1373"/>
      <c r="D499" s="1308"/>
      <c r="E499" s="1326"/>
      <c r="F499" s="1326"/>
      <c r="G499" s="1326"/>
      <c r="H499" s="1326"/>
      <c r="I499" s="1373"/>
    </row>
    <row r="500" spans="1:9">
      <c r="A500" s="1369"/>
      <c r="B500" s="1369"/>
      <c r="C500" s="1373"/>
      <c r="D500" s="1308"/>
      <c r="E500" s="1326"/>
      <c r="F500" s="1326"/>
      <c r="G500" s="1326"/>
      <c r="H500" s="1326"/>
      <c r="I500" s="1373"/>
    </row>
    <row r="501" spans="1:9">
      <c r="A501" s="1369"/>
      <c r="B501" s="1369"/>
      <c r="C501" s="1373"/>
      <c r="D501" s="1308"/>
      <c r="E501" s="1326"/>
      <c r="F501" s="1326"/>
      <c r="G501" s="1326"/>
      <c r="H501" s="1326"/>
      <c r="I501" s="1373"/>
    </row>
    <row r="502" spans="1:9">
      <c r="A502" s="1369"/>
      <c r="B502" s="1369"/>
      <c r="C502" s="1373"/>
      <c r="D502" s="1308"/>
      <c r="E502" s="1326"/>
      <c r="F502" s="1326"/>
      <c r="G502" s="1326"/>
      <c r="H502" s="1326"/>
      <c r="I502" s="1373"/>
    </row>
    <row r="503" spans="1:9">
      <c r="A503" s="1369"/>
      <c r="B503" s="1369"/>
      <c r="C503" s="1373"/>
      <c r="D503" s="1308"/>
      <c r="E503" s="1326"/>
      <c r="F503" s="1326"/>
      <c r="G503" s="1326"/>
      <c r="H503" s="1326"/>
      <c r="I503" s="1373"/>
    </row>
    <row r="504" spans="1:9">
      <c r="A504" s="1369"/>
      <c r="B504" s="1369"/>
      <c r="C504" s="1373"/>
      <c r="D504" s="1308"/>
      <c r="E504" s="1326"/>
      <c r="F504" s="1326"/>
      <c r="G504" s="1326"/>
      <c r="H504" s="1326"/>
      <c r="I504" s="1373"/>
    </row>
    <row r="505" spans="1:9">
      <c r="A505" s="1369"/>
      <c r="B505" s="1369"/>
      <c r="C505" s="1373"/>
      <c r="D505" s="1308"/>
      <c r="E505" s="1326"/>
      <c r="F505" s="1326"/>
      <c r="G505" s="1326"/>
      <c r="H505" s="1326"/>
      <c r="I505" s="1373"/>
    </row>
    <row r="506" spans="1:9">
      <c r="A506" s="1369"/>
      <c r="B506" s="1369"/>
      <c r="C506" s="1373"/>
      <c r="D506" s="1308"/>
      <c r="E506" s="1326"/>
      <c r="F506" s="1326"/>
      <c r="G506" s="1326"/>
      <c r="H506" s="1326"/>
      <c r="I506" s="1373"/>
    </row>
    <row r="507" spans="1:9">
      <c r="A507" s="1369"/>
      <c r="B507" s="1369"/>
      <c r="C507" s="1373"/>
      <c r="D507" s="1308"/>
      <c r="E507" s="1326"/>
      <c r="F507" s="1326"/>
      <c r="G507" s="1326"/>
      <c r="H507" s="1326"/>
      <c r="I507" s="1373"/>
    </row>
    <row r="508" spans="1:9">
      <c r="A508" s="1369"/>
      <c r="B508" s="1369"/>
      <c r="C508" s="1373"/>
      <c r="D508" s="1308"/>
      <c r="E508" s="1326"/>
      <c r="F508" s="1326"/>
      <c r="G508" s="1326"/>
      <c r="H508" s="1326"/>
      <c r="I508" s="1373"/>
    </row>
    <row r="509" spans="1:9">
      <c r="A509" s="1369"/>
      <c r="B509" s="1369"/>
      <c r="C509" s="1373"/>
      <c r="D509" s="1308"/>
      <c r="E509" s="1326"/>
      <c r="F509" s="1326"/>
      <c r="G509" s="1326"/>
      <c r="H509" s="1326"/>
      <c r="I509" s="1373"/>
    </row>
    <row r="510" spans="1:9">
      <c r="A510" s="1369"/>
      <c r="B510" s="1369"/>
      <c r="C510" s="1373"/>
      <c r="D510" s="1308"/>
      <c r="E510" s="1326"/>
      <c r="F510" s="1326"/>
      <c r="G510" s="1326"/>
      <c r="H510" s="1326"/>
      <c r="I510" s="1373"/>
    </row>
    <row r="511" spans="1:9">
      <c r="A511" s="1369"/>
      <c r="B511" s="1369"/>
      <c r="C511" s="1373"/>
      <c r="D511" s="1308"/>
      <c r="E511" s="1326"/>
      <c r="F511" s="1326"/>
      <c r="G511" s="1326"/>
      <c r="H511" s="1326"/>
      <c r="I511" s="1373"/>
    </row>
    <row r="512" spans="1:9">
      <c r="A512" s="1369"/>
      <c r="B512" s="1369"/>
      <c r="C512" s="1373"/>
      <c r="D512" s="1308"/>
      <c r="E512" s="1326"/>
      <c r="F512" s="1326"/>
      <c r="G512" s="1326"/>
      <c r="H512" s="1326"/>
      <c r="I512" s="1373"/>
    </row>
    <row r="513" spans="1:9">
      <c r="A513" s="1369"/>
      <c r="B513" s="1369"/>
      <c r="C513" s="1373"/>
      <c r="D513" s="1308"/>
      <c r="E513" s="1326"/>
      <c r="F513" s="1326"/>
      <c r="G513" s="1326"/>
      <c r="H513" s="1326"/>
      <c r="I513" s="1373"/>
    </row>
    <row r="514" spans="1:9">
      <c r="A514" s="1369"/>
      <c r="B514" s="1369"/>
      <c r="C514" s="1373"/>
      <c r="D514" s="1308"/>
      <c r="E514" s="1326"/>
      <c r="F514" s="1326"/>
      <c r="G514" s="1326"/>
      <c r="H514" s="1326"/>
      <c r="I514" s="1373"/>
    </row>
    <row r="515" spans="1:9">
      <c r="A515" s="1369"/>
      <c r="B515" s="1369"/>
      <c r="C515" s="1373"/>
      <c r="D515" s="1308"/>
      <c r="E515" s="1326"/>
      <c r="F515" s="1326"/>
      <c r="G515" s="1326"/>
      <c r="H515" s="1326"/>
      <c r="I515" s="1373"/>
    </row>
    <row r="516" spans="1:9">
      <c r="A516" s="1369"/>
      <c r="B516" s="1369"/>
      <c r="C516" s="1373"/>
      <c r="D516" s="1308"/>
      <c r="E516" s="1326"/>
      <c r="F516" s="1326"/>
      <c r="G516" s="1326"/>
      <c r="H516" s="1326"/>
      <c r="I516" s="1373"/>
    </row>
    <row r="517" spans="1:9">
      <c r="A517" s="1369"/>
      <c r="B517" s="1369"/>
      <c r="C517" s="1373"/>
      <c r="D517" s="1308"/>
      <c r="E517" s="1326"/>
      <c r="F517" s="1326"/>
      <c r="G517" s="1326"/>
      <c r="H517" s="1326"/>
      <c r="I517" s="1373"/>
    </row>
    <row r="518" spans="1:9">
      <c r="A518" s="1369"/>
      <c r="B518" s="1369"/>
      <c r="C518" s="1373"/>
      <c r="D518" s="1308"/>
      <c r="E518" s="1326"/>
      <c r="F518" s="1326"/>
      <c r="G518" s="1326"/>
      <c r="H518" s="1326"/>
      <c r="I518" s="1373"/>
    </row>
    <row r="519" spans="1:9">
      <c r="A519" s="1369"/>
      <c r="B519" s="1369"/>
      <c r="C519" s="1373"/>
      <c r="D519" s="1308"/>
      <c r="E519" s="1326"/>
      <c r="F519" s="1326"/>
      <c r="G519" s="1326"/>
      <c r="H519" s="1326"/>
      <c r="I519" s="1373"/>
    </row>
    <row r="520" spans="1:9">
      <c r="A520" s="1369"/>
      <c r="B520" s="1369"/>
      <c r="C520" s="1373"/>
      <c r="D520" s="1308"/>
      <c r="E520" s="1326"/>
      <c r="F520" s="1326"/>
      <c r="G520" s="1326"/>
      <c r="H520" s="1326"/>
      <c r="I520" s="1373"/>
    </row>
    <row r="521" spans="1:9">
      <c r="A521" s="1369"/>
      <c r="B521" s="1369"/>
      <c r="C521" s="1373"/>
      <c r="D521" s="1308"/>
      <c r="E521" s="1326"/>
      <c r="F521" s="1326"/>
      <c r="G521" s="1326"/>
      <c r="H521" s="1326"/>
      <c r="I521" s="1373"/>
    </row>
    <row r="522" spans="1:9">
      <c r="A522" s="1369"/>
      <c r="B522" s="1369"/>
      <c r="C522" s="1373"/>
      <c r="D522" s="1308"/>
      <c r="E522" s="1326"/>
      <c r="F522" s="1326"/>
      <c r="G522" s="1326"/>
      <c r="H522" s="1326"/>
      <c r="I522" s="1373"/>
    </row>
    <row r="523" spans="1:9">
      <c r="A523" s="1369"/>
      <c r="B523" s="1369"/>
      <c r="C523" s="1373"/>
      <c r="D523" s="1308"/>
      <c r="E523" s="1326"/>
      <c r="F523" s="1326"/>
      <c r="G523" s="1326"/>
      <c r="H523" s="1326"/>
      <c r="I523" s="1373"/>
    </row>
    <row r="524" spans="1:9">
      <c r="A524" s="1369"/>
      <c r="B524" s="1369"/>
      <c r="C524" s="1373"/>
      <c r="D524" s="1308"/>
      <c r="E524" s="1326"/>
      <c r="F524" s="1326"/>
      <c r="G524" s="1326"/>
      <c r="H524" s="1326"/>
      <c r="I524" s="1373"/>
    </row>
    <row r="525" spans="1:9">
      <c r="A525" s="1369"/>
      <c r="B525" s="1369"/>
      <c r="C525" s="1373"/>
      <c r="D525" s="1308"/>
      <c r="E525" s="1326"/>
      <c r="F525" s="1326"/>
      <c r="G525" s="1326"/>
      <c r="H525" s="1326"/>
      <c r="I525" s="1373"/>
    </row>
    <row r="526" spans="1:9">
      <c r="A526" s="1369"/>
      <c r="B526" s="1369"/>
      <c r="C526" s="1373"/>
      <c r="D526" s="1308"/>
      <c r="E526" s="1326"/>
      <c r="F526" s="1326"/>
      <c r="G526" s="1326"/>
      <c r="H526" s="1326"/>
      <c r="I526" s="1373"/>
    </row>
    <row r="527" spans="1:9">
      <c r="A527" s="1369"/>
      <c r="B527" s="1369"/>
      <c r="C527" s="1373"/>
      <c r="D527" s="1308"/>
      <c r="E527" s="1326"/>
      <c r="F527" s="1326"/>
      <c r="G527" s="1326"/>
      <c r="H527" s="1326"/>
      <c r="I527" s="1373"/>
    </row>
    <row r="528" spans="1:9">
      <c r="A528" s="1369"/>
      <c r="B528" s="1369"/>
      <c r="C528" s="1373"/>
      <c r="D528" s="1308"/>
      <c r="E528" s="1326"/>
      <c r="F528" s="1326"/>
      <c r="G528" s="1326"/>
      <c r="H528" s="1326"/>
      <c r="I528" s="1373"/>
    </row>
    <row r="529" spans="1:9">
      <c r="A529" s="1369"/>
      <c r="B529" s="1369"/>
      <c r="C529" s="1373"/>
      <c r="D529" s="1308"/>
      <c r="E529" s="1326"/>
      <c r="F529" s="1326"/>
      <c r="G529" s="1326"/>
      <c r="H529" s="1326"/>
      <c r="I529" s="1373"/>
    </row>
    <row r="530" spans="1:9">
      <c r="A530" s="1369"/>
      <c r="B530" s="1369"/>
      <c r="C530" s="1373"/>
      <c r="D530" s="1308"/>
      <c r="E530" s="1326"/>
      <c r="F530" s="1326"/>
      <c r="G530" s="1326"/>
      <c r="H530" s="1326"/>
      <c r="I530" s="1373"/>
    </row>
    <row r="531" spans="1:9">
      <c r="A531" s="1369"/>
      <c r="B531" s="1369"/>
      <c r="C531" s="1373"/>
      <c r="D531" s="1308"/>
      <c r="E531" s="1326"/>
      <c r="F531" s="1326"/>
      <c r="G531" s="1326"/>
      <c r="H531" s="1326"/>
      <c r="I531" s="1373"/>
    </row>
    <row r="532" spans="1:9">
      <c r="A532" s="1369"/>
      <c r="B532" s="1369"/>
      <c r="C532" s="1373"/>
      <c r="D532" s="1308"/>
      <c r="E532" s="1326"/>
      <c r="F532" s="1326"/>
      <c r="G532" s="1326"/>
      <c r="H532" s="1326"/>
      <c r="I532" s="1373"/>
    </row>
    <row r="533" spans="1:9">
      <c r="A533" s="1369"/>
      <c r="B533" s="1369"/>
      <c r="C533" s="1373"/>
      <c r="D533" s="1308"/>
      <c r="E533" s="1326"/>
      <c r="F533" s="1326"/>
      <c r="G533" s="1326"/>
      <c r="H533" s="1326"/>
      <c r="I533" s="1373"/>
    </row>
    <row r="534" spans="1:9">
      <c r="A534" s="1369"/>
      <c r="B534" s="1369"/>
      <c r="C534" s="1373"/>
      <c r="D534" s="1308"/>
      <c r="E534" s="1326"/>
      <c r="F534" s="1326"/>
      <c r="G534" s="1326"/>
      <c r="H534" s="1326"/>
      <c r="I534" s="1373"/>
    </row>
    <row r="535" spans="1:9">
      <c r="A535" s="1369"/>
      <c r="B535" s="1369"/>
      <c r="C535" s="1373"/>
      <c r="D535" s="1308"/>
      <c r="E535" s="1326"/>
      <c r="F535" s="1326"/>
      <c r="G535" s="1326"/>
      <c r="H535" s="1326"/>
      <c r="I535" s="1373"/>
    </row>
    <row r="536" spans="1:9">
      <c r="A536" s="1369"/>
      <c r="B536" s="1369"/>
      <c r="C536" s="1373"/>
      <c r="D536" s="1308"/>
      <c r="E536" s="1326"/>
      <c r="F536" s="1326"/>
      <c r="G536" s="1326"/>
      <c r="H536" s="1326"/>
      <c r="I536" s="1373"/>
    </row>
    <row r="537" spans="1:9">
      <c r="A537" s="1369"/>
      <c r="B537" s="1369"/>
      <c r="C537" s="1373"/>
      <c r="D537" s="1308"/>
      <c r="E537" s="1326"/>
      <c r="F537" s="1326"/>
      <c r="G537" s="1326"/>
      <c r="H537" s="1326"/>
      <c r="I537" s="1373"/>
    </row>
    <row r="538" spans="1:9">
      <c r="A538" s="1369"/>
      <c r="B538" s="1369"/>
      <c r="C538" s="1373"/>
      <c r="D538" s="1308"/>
      <c r="E538" s="1326"/>
      <c r="F538" s="1326"/>
      <c r="G538" s="1326"/>
      <c r="H538" s="1326"/>
      <c r="I538" s="1373"/>
    </row>
    <row r="539" spans="1:9">
      <c r="A539" s="1369"/>
      <c r="B539" s="1369"/>
      <c r="C539" s="1373"/>
      <c r="D539" s="1308"/>
      <c r="E539" s="1326"/>
      <c r="F539" s="1326"/>
      <c r="G539" s="1326"/>
      <c r="H539" s="1326"/>
      <c r="I539" s="1373"/>
    </row>
    <row r="540" spans="1:9">
      <c r="A540" s="1369"/>
      <c r="B540" s="1369"/>
      <c r="C540" s="1373"/>
      <c r="D540" s="1308"/>
      <c r="E540" s="1326"/>
      <c r="F540" s="1326"/>
      <c r="G540" s="1326"/>
      <c r="H540" s="1326"/>
      <c r="I540" s="1373"/>
    </row>
    <row r="541" spans="1:9">
      <c r="A541" s="1369"/>
      <c r="B541" s="1369"/>
      <c r="C541" s="1373"/>
      <c r="D541" s="1308"/>
      <c r="E541" s="1326"/>
      <c r="F541" s="1326"/>
      <c r="G541" s="1326"/>
      <c r="H541" s="1326"/>
      <c r="I541" s="1373"/>
    </row>
    <row r="542" spans="1:9">
      <c r="A542" s="1369"/>
      <c r="B542" s="1369"/>
      <c r="C542" s="1373"/>
      <c r="D542" s="1308"/>
      <c r="E542" s="1326"/>
      <c r="F542" s="1326"/>
      <c r="G542" s="1326"/>
      <c r="H542" s="1326"/>
      <c r="I542" s="1373"/>
    </row>
    <row r="543" spans="1:9">
      <c r="A543" s="1369"/>
      <c r="B543" s="1369"/>
      <c r="C543" s="1373"/>
      <c r="D543" s="1308"/>
      <c r="E543" s="1326"/>
      <c r="F543" s="1326"/>
      <c r="G543" s="1326"/>
      <c r="H543" s="1326"/>
      <c r="I543" s="1373"/>
    </row>
    <row r="544" spans="1:9">
      <c r="A544" s="1369"/>
      <c r="B544" s="1369"/>
      <c r="C544" s="1373"/>
      <c r="D544" s="1308"/>
      <c r="E544" s="1326"/>
      <c r="F544" s="1326"/>
      <c r="G544" s="1326"/>
      <c r="H544" s="1326"/>
      <c r="I544" s="1373"/>
    </row>
    <row r="545" spans="1:9">
      <c r="A545" s="1369"/>
      <c r="B545" s="1369"/>
      <c r="C545" s="1373"/>
      <c r="D545" s="1308"/>
      <c r="E545" s="1326"/>
      <c r="F545" s="1326"/>
      <c r="G545" s="1326"/>
      <c r="H545" s="1326"/>
      <c r="I545" s="1373"/>
    </row>
    <row r="546" spans="1:9">
      <c r="A546" s="1369"/>
      <c r="B546" s="1369"/>
      <c r="C546" s="1373"/>
      <c r="D546" s="1308"/>
      <c r="E546" s="1326"/>
      <c r="F546" s="1326"/>
      <c r="G546" s="1326"/>
      <c r="H546" s="1326"/>
      <c r="I546" s="1373"/>
    </row>
    <row r="547" spans="1:9">
      <c r="A547" s="1369"/>
      <c r="B547" s="1369"/>
      <c r="C547" s="1373"/>
      <c r="D547" s="1308"/>
      <c r="E547" s="1326"/>
      <c r="F547" s="1326"/>
      <c r="G547" s="1326"/>
      <c r="H547" s="1326"/>
      <c r="I547" s="1373"/>
    </row>
    <row r="548" spans="1:9">
      <c r="A548" s="1369"/>
      <c r="B548" s="1369"/>
      <c r="C548" s="1373"/>
      <c r="D548" s="1308"/>
      <c r="E548" s="1326"/>
      <c r="F548" s="1326"/>
      <c r="G548" s="1326"/>
      <c r="H548" s="1326"/>
      <c r="I548" s="1373"/>
    </row>
    <row r="549" spans="1:9">
      <c r="A549" s="1369"/>
      <c r="B549" s="1369"/>
      <c r="C549" s="1373"/>
      <c r="D549" s="1308"/>
      <c r="E549" s="1326"/>
      <c r="F549" s="1326"/>
      <c r="G549" s="1326"/>
      <c r="H549" s="1326"/>
      <c r="I549" s="1373"/>
    </row>
    <row r="550" spans="1:9">
      <c r="A550" s="1369"/>
      <c r="B550" s="1369"/>
      <c r="C550" s="1373"/>
      <c r="D550" s="1308"/>
      <c r="E550" s="1326"/>
      <c r="F550" s="1326"/>
      <c r="G550" s="1326"/>
      <c r="H550" s="1326"/>
      <c r="I550" s="1373"/>
    </row>
    <row r="551" spans="1:9">
      <c r="A551" s="1369"/>
      <c r="B551" s="1369"/>
      <c r="C551" s="1373"/>
      <c r="D551" s="1308"/>
      <c r="E551" s="1326"/>
      <c r="F551" s="1326"/>
      <c r="G551" s="1326"/>
      <c r="H551" s="1326"/>
      <c r="I551" s="1373"/>
    </row>
    <row r="552" spans="1:9">
      <c r="A552" s="1369"/>
      <c r="B552" s="1369"/>
      <c r="C552" s="1373"/>
      <c r="D552" s="1308"/>
      <c r="E552" s="1326"/>
      <c r="F552" s="1326"/>
      <c r="G552" s="1326"/>
      <c r="H552" s="1326"/>
      <c r="I552" s="1373"/>
    </row>
    <row r="553" spans="1:9">
      <c r="A553" s="1369"/>
      <c r="B553" s="1369"/>
      <c r="C553" s="1373"/>
      <c r="D553" s="1308"/>
      <c r="E553" s="1326"/>
      <c r="F553" s="1326"/>
      <c r="G553" s="1326"/>
      <c r="H553" s="1326"/>
      <c r="I553" s="1373"/>
    </row>
    <row r="554" spans="1:9">
      <c r="A554" s="1369"/>
      <c r="B554" s="1369"/>
      <c r="C554" s="1373"/>
      <c r="D554" s="1308"/>
      <c r="E554" s="1326"/>
      <c r="F554" s="1326"/>
      <c r="G554" s="1326"/>
      <c r="H554" s="1326"/>
      <c r="I554" s="1373"/>
    </row>
    <row r="555" spans="1:9">
      <c r="A555" s="1369"/>
      <c r="B555" s="1369"/>
      <c r="C555" s="1373"/>
      <c r="D555" s="1308"/>
      <c r="E555" s="1326"/>
      <c r="F555" s="1326"/>
      <c r="G555" s="1326"/>
      <c r="H555" s="1326"/>
      <c r="I555" s="1373"/>
    </row>
    <row r="556" spans="1:9">
      <c r="A556" s="1369"/>
      <c r="B556" s="1369"/>
      <c r="C556" s="1373"/>
      <c r="D556" s="1308"/>
      <c r="E556" s="1326"/>
      <c r="F556" s="1326"/>
      <c r="G556" s="1326"/>
      <c r="H556" s="1326"/>
      <c r="I556" s="1373"/>
    </row>
    <row r="557" spans="1:9">
      <c r="A557" s="1369"/>
      <c r="B557" s="1369"/>
      <c r="C557" s="1373"/>
      <c r="D557" s="1308"/>
      <c r="E557" s="1326"/>
      <c r="F557" s="1326"/>
      <c r="G557" s="1326"/>
      <c r="H557" s="1326"/>
      <c r="I557" s="1373"/>
    </row>
    <row r="558" spans="1:9">
      <c r="A558" s="1369"/>
      <c r="B558" s="1369"/>
      <c r="C558" s="1373"/>
      <c r="D558" s="1308"/>
      <c r="E558" s="1326"/>
      <c r="F558" s="1326"/>
      <c r="G558" s="1326"/>
      <c r="H558" s="1326"/>
      <c r="I558" s="1373"/>
    </row>
    <row r="559" spans="1:9">
      <c r="A559" s="1369"/>
      <c r="B559" s="1369"/>
      <c r="C559" s="1373"/>
      <c r="D559" s="1308"/>
      <c r="E559" s="1326"/>
      <c r="F559" s="1326"/>
      <c r="G559" s="1326"/>
      <c r="H559" s="1326"/>
      <c r="I559" s="1373"/>
    </row>
    <row r="560" spans="1:9">
      <c r="A560" s="1369"/>
      <c r="B560" s="1369"/>
      <c r="C560" s="1373"/>
      <c r="D560" s="1308"/>
      <c r="E560" s="1326"/>
      <c r="F560" s="1326"/>
      <c r="G560" s="1326"/>
      <c r="H560" s="1326"/>
      <c r="I560" s="1373"/>
    </row>
    <row r="561" spans="1:9">
      <c r="A561" s="1369"/>
      <c r="B561" s="1369"/>
      <c r="C561" s="1373"/>
      <c r="D561" s="1308"/>
      <c r="E561" s="1326"/>
      <c r="F561" s="1326"/>
      <c r="G561" s="1326"/>
      <c r="H561" s="1326"/>
      <c r="I561" s="1373"/>
    </row>
    <row r="562" spans="1:9">
      <c r="A562" s="1369"/>
      <c r="B562" s="1369"/>
      <c r="C562" s="1373"/>
      <c r="D562" s="1308"/>
      <c r="E562" s="1326"/>
      <c r="F562" s="1326"/>
      <c r="G562" s="1326"/>
      <c r="H562" s="1326"/>
      <c r="I562" s="1373"/>
    </row>
    <row r="563" spans="1:9">
      <c r="A563" s="1369"/>
      <c r="B563" s="1369"/>
      <c r="C563" s="1373"/>
      <c r="D563" s="1308"/>
      <c r="E563" s="1326"/>
      <c r="F563" s="1326"/>
      <c r="G563" s="1326"/>
      <c r="H563" s="1326"/>
      <c r="I563" s="1373"/>
    </row>
    <row r="564" spans="1:9">
      <c r="A564" s="1369"/>
      <c r="B564" s="1369"/>
      <c r="C564" s="1373"/>
      <c r="D564" s="1308"/>
      <c r="E564" s="1326"/>
      <c r="F564" s="1326"/>
      <c r="G564" s="1326"/>
      <c r="H564" s="1326"/>
      <c r="I564" s="1373"/>
    </row>
    <row r="565" spans="1:9">
      <c r="A565" s="1369"/>
      <c r="B565" s="1369"/>
      <c r="C565" s="1373"/>
      <c r="D565" s="1308"/>
      <c r="E565" s="1326"/>
      <c r="F565" s="1326"/>
      <c r="G565" s="1326"/>
      <c r="H565" s="1326"/>
      <c r="I565" s="1373"/>
    </row>
    <row r="566" spans="1:9">
      <c r="A566" s="1369"/>
      <c r="B566" s="1369"/>
      <c r="C566" s="1373"/>
      <c r="D566" s="1308"/>
      <c r="E566" s="1326"/>
      <c r="F566" s="1326"/>
      <c r="G566" s="1326"/>
      <c r="H566" s="1326"/>
      <c r="I566" s="1373"/>
    </row>
    <row r="567" spans="1:9">
      <c r="A567" s="1369"/>
      <c r="B567" s="1369"/>
      <c r="C567" s="1373"/>
      <c r="D567" s="1308"/>
      <c r="E567" s="1326"/>
      <c r="F567" s="1326"/>
      <c r="G567" s="1326"/>
      <c r="H567" s="1326"/>
      <c r="I567" s="1373"/>
    </row>
    <row r="568" spans="1:9">
      <c r="A568" s="1369"/>
      <c r="B568" s="1369"/>
      <c r="C568" s="1373"/>
      <c r="D568" s="1308"/>
      <c r="E568" s="1326"/>
      <c r="F568" s="1326"/>
      <c r="G568" s="1326"/>
      <c r="H568" s="1326"/>
      <c r="I568" s="1373"/>
    </row>
    <row r="569" spans="1:9">
      <c r="A569" s="1369"/>
      <c r="B569" s="1369"/>
      <c r="C569" s="1373"/>
      <c r="D569" s="1308"/>
      <c r="E569" s="1326"/>
      <c r="F569" s="1326"/>
      <c r="G569" s="1326"/>
      <c r="H569" s="1326"/>
      <c r="I569" s="1373"/>
    </row>
    <row r="570" spans="1:9">
      <c r="A570" s="1369"/>
      <c r="B570" s="1369"/>
      <c r="C570" s="1373"/>
      <c r="D570" s="1308"/>
      <c r="E570" s="1326"/>
      <c r="F570" s="1326"/>
      <c r="G570" s="1326"/>
      <c r="H570" s="1326"/>
      <c r="I570" s="1373"/>
    </row>
    <row r="571" spans="1:9">
      <c r="A571" s="1369"/>
      <c r="B571" s="1369"/>
      <c r="C571" s="1373"/>
      <c r="D571" s="1308"/>
      <c r="E571" s="1326"/>
      <c r="F571" s="1326"/>
      <c r="G571" s="1326"/>
      <c r="H571" s="1326"/>
      <c r="I571" s="1373"/>
    </row>
    <row r="572" spans="1:9">
      <c r="A572" s="1369"/>
      <c r="B572" s="1369"/>
      <c r="C572" s="1373"/>
      <c r="D572" s="1308"/>
      <c r="E572" s="1326"/>
      <c r="F572" s="1326"/>
      <c r="G572" s="1326"/>
      <c r="H572" s="1326"/>
      <c r="I572" s="1373"/>
    </row>
    <row r="573" spans="1:9">
      <c r="A573" s="1369"/>
      <c r="B573" s="1369"/>
      <c r="C573" s="1373"/>
      <c r="D573" s="1308"/>
      <c r="E573" s="1326"/>
      <c r="F573" s="1326"/>
      <c r="G573" s="1326"/>
      <c r="H573" s="1326"/>
      <c r="I573" s="1373"/>
    </row>
    <row r="574" spans="1:9">
      <c r="A574" s="1369"/>
      <c r="B574" s="1369"/>
      <c r="C574" s="1373"/>
      <c r="D574" s="1308"/>
      <c r="E574" s="1326"/>
      <c r="F574" s="1326"/>
      <c r="G574" s="1326"/>
      <c r="H574" s="1326"/>
      <c r="I574" s="1373"/>
    </row>
    <row r="575" spans="1:9">
      <c r="A575" s="1369"/>
      <c r="B575" s="1369"/>
      <c r="C575" s="1373"/>
      <c r="D575" s="1308"/>
      <c r="E575" s="1326"/>
      <c r="F575" s="1326"/>
      <c r="G575" s="1326"/>
      <c r="H575" s="1326"/>
      <c r="I575" s="1373"/>
    </row>
    <row r="576" spans="1:9">
      <c r="A576" s="1369"/>
      <c r="B576" s="1369"/>
      <c r="C576" s="1373"/>
      <c r="D576" s="1308"/>
      <c r="E576" s="1326"/>
      <c r="F576" s="1326"/>
      <c r="G576" s="1326"/>
      <c r="H576" s="1326"/>
      <c r="I576" s="1373"/>
    </row>
    <row r="577" spans="1:9">
      <c r="A577" s="1369"/>
      <c r="B577" s="1369"/>
      <c r="C577" s="1373"/>
      <c r="D577" s="1308"/>
      <c r="E577" s="1326"/>
      <c r="F577" s="1326"/>
      <c r="G577" s="1326"/>
      <c r="H577" s="1326"/>
      <c r="I577" s="1373"/>
    </row>
    <row r="578" spans="1:9">
      <c r="A578" s="1369"/>
      <c r="B578" s="1369"/>
      <c r="C578" s="1373"/>
      <c r="D578" s="1308"/>
      <c r="E578" s="1326"/>
      <c r="F578" s="1326"/>
      <c r="G578" s="1326"/>
      <c r="H578" s="1326"/>
      <c r="I578" s="1373"/>
    </row>
    <row r="579" spans="1:9">
      <c r="A579" s="1369"/>
      <c r="B579" s="1369"/>
      <c r="C579" s="1373"/>
      <c r="D579" s="1308"/>
      <c r="E579" s="1326"/>
      <c r="F579" s="1326"/>
      <c r="G579" s="1326"/>
      <c r="H579" s="1326"/>
      <c r="I579" s="1373"/>
    </row>
    <row r="580" spans="1:9">
      <c r="A580" s="1369"/>
      <c r="B580" s="1369"/>
      <c r="C580" s="1373"/>
      <c r="D580" s="1308"/>
      <c r="E580" s="1326"/>
      <c r="F580" s="1326"/>
      <c r="G580" s="1326"/>
      <c r="H580" s="1326"/>
      <c r="I580" s="1373"/>
    </row>
    <row r="581" spans="1:9">
      <c r="A581" s="1369"/>
      <c r="B581" s="1369"/>
      <c r="C581" s="1373"/>
      <c r="D581" s="1308"/>
      <c r="E581" s="1326"/>
      <c r="F581" s="1326"/>
      <c r="G581" s="1326"/>
      <c r="H581" s="1326"/>
      <c r="I581" s="1373"/>
    </row>
    <row r="582" spans="1:9">
      <c r="A582" s="1369"/>
      <c r="B582" s="1369"/>
      <c r="C582" s="1373"/>
      <c r="D582" s="1308"/>
      <c r="E582" s="1326"/>
      <c r="F582" s="1326"/>
      <c r="G582" s="1326"/>
      <c r="H582" s="1326"/>
      <c r="I582" s="1373"/>
    </row>
    <row r="583" spans="1:9">
      <c r="A583" s="1369"/>
      <c r="B583" s="1369"/>
      <c r="C583" s="1373"/>
      <c r="D583" s="1308"/>
      <c r="E583" s="1326"/>
      <c r="F583" s="1326"/>
      <c r="G583" s="1326"/>
      <c r="H583" s="1326"/>
      <c r="I583" s="1373"/>
    </row>
    <row r="584" spans="1:9">
      <c r="A584" s="1369"/>
      <c r="B584" s="1369"/>
      <c r="C584" s="1373"/>
      <c r="D584" s="1308"/>
      <c r="E584" s="1326"/>
      <c r="F584" s="1326"/>
      <c r="G584" s="1326"/>
      <c r="H584" s="1326"/>
      <c r="I584" s="1373"/>
    </row>
    <row r="585" spans="1:9">
      <c r="A585" s="1369"/>
      <c r="B585" s="1369"/>
      <c r="C585" s="1373"/>
      <c r="D585" s="1308"/>
      <c r="E585" s="1326"/>
      <c r="F585" s="1326"/>
      <c r="G585" s="1326"/>
      <c r="H585" s="1326"/>
      <c r="I585" s="1373"/>
    </row>
    <row r="586" spans="1:9">
      <c r="A586" s="1369"/>
      <c r="B586" s="1369"/>
      <c r="C586" s="1373"/>
      <c r="D586" s="1308"/>
      <c r="E586" s="1326"/>
      <c r="F586" s="1326"/>
      <c r="G586" s="1326"/>
      <c r="H586" s="1326"/>
      <c r="I586" s="1373"/>
    </row>
    <row r="587" spans="1:9">
      <c r="A587" s="1369"/>
      <c r="B587" s="1369"/>
      <c r="C587" s="1373"/>
      <c r="D587" s="1308"/>
      <c r="E587" s="1326"/>
      <c r="F587" s="1326"/>
      <c r="G587" s="1326"/>
      <c r="H587" s="1326"/>
      <c r="I587" s="1373"/>
    </row>
    <row r="588" spans="1:9">
      <c r="A588" s="1369"/>
      <c r="B588" s="1369"/>
      <c r="C588" s="1373"/>
      <c r="D588" s="1308"/>
      <c r="E588" s="1326"/>
      <c r="F588" s="1326"/>
      <c r="G588" s="1326"/>
      <c r="H588" s="1326"/>
      <c r="I588" s="1373"/>
    </row>
    <row r="589" spans="1:9">
      <c r="A589" s="1369"/>
      <c r="B589" s="1369"/>
      <c r="C589" s="1373"/>
      <c r="D589" s="1308"/>
      <c r="E589" s="1326"/>
      <c r="F589" s="1326"/>
      <c r="G589" s="1326"/>
      <c r="H589" s="1326"/>
      <c r="I589" s="1373"/>
    </row>
    <row r="590" spans="1:9">
      <c r="A590" s="1369"/>
      <c r="B590" s="1369"/>
      <c r="C590" s="1373"/>
      <c r="D590" s="1308"/>
      <c r="E590" s="1326"/>
      <c r="F590" s="1326"/>
      <c r="G590" s="1326"/>
      <c r="H590" s="1326"/>
      <c r="I590" s="1373"/>
    </row>
    <row r="591" spans="1:9">
      <c r="A591" s="1369"/>
      <c r="B591" s="1369"/>
      <c r="C591" s="1373"/>
      <c r="D591" s="1308"/>
      <c r="E591" s="1326"/>
      <c r="F591" s="1326"/>
      <c r="G591" s="1326"/>
      <c r="H591" s="1326"/>
      <c r="I591" s="1373"/>
    </row>
    <row r="592" spans="1:9">
      <c r="A592" s="1369"/>
      <c r="B592" s="1369"/>
      <c r="C592" s="1373"/>
      <c r="D592" s="1308"/>
      <c r="E592" s="1326"/>
      <c r="F592" s="1326"/>
      <c r="G592" s="1326"/>
      <c r="H592" s="1326"/>
      <c r="I592" s="1373"/>
    </row>
    <row r="593" spans="1:9">
      <c r="A593" s="1369"/>
      <c r="B593" s="1369"/>
      <c r="C593" s="1373"/>
      <c r="D593" s="1308"/>
      <c r="E593" s="1326"/>
      <c r="F593" s="1326"/>
      <c r="G593" s="1326"/>
      <c r="H593" s="1326"/>
      <c r="I593" s="1373"/>
    </row>
    <row r="594" spans="1:9">
      <c r="A594" s="1369"/>
      <c r="B594" s="1369"/>
      <c r="C594" s="1373"/>
      <c r="D594" s="1308"/>
      <c r="E594" s="1326"/>
      <c r="F594" s="1326"/>
      <c r="G594" s="1326"/>
      <c r="H594" s="1326"/>
      <c r="I594" s="1373"/>
    </row>
    <row r="595" spans="1:9">
      <c r="A595" s="1369"/>
      <c r="B595" s="1369"/>
      <c r="C595" s="1373"/>
      <c r="D595" s="1308"/>
      <c r="E595" s="1326"/>
      <c r="F595" s="1326"/>
      <c r="G595" s="1326"/>
      <c r="H595" s="1326"/>
      <c r="I595" s="1373"/>
    </row>
    <row r="596" spans="1:9">
      <c r="A596" s="1369"/>
      <c r="B596" s="1369"/>
      <c r="C596" s="1373"/>
      <c r="D596" s="1308"/>
      <c r="E596" s="1326"/>
      <c r="F596" s="1326"/>
      <c r="G596" s="1326"/>
      <c r="H596" s="1326"/>
      <c r="I596" s="1373"/>
    </row>
    <row r="597" spans="1:9">
      <c r="A597" s="1369"/>
      <c r="B597" s="1369"/>
      <c r="C597" s="1373"/>
      <c r="D597" s="1308"/>
      <c r="E597" s="1326"/>
      <c r="F597" s="1326"/>
      <c r="G597" s="1326"/>
      <c r="H597" s="1326"/>
      <c r="I597" s="1373"/>
    </row>
    <row r="598" spans="1:9">
      <c r="A598" s="1369"/>
      <c r="B598" s="1369"/>
      <c r="C598" s="1373"/>
      <c r="D598" s="1308"/>
      <c r="E598" s="1326"/>
      <c r="F598" s="1326"/>
      <c r="G598" s="1326"/>
      <c r="H598" s="1326"/>
      <c r="I598" s="1373"/>
    </row>
    <row r="599" spans="1:9">
      <c r="A599" s="1369"/>
      <c r="B599" s="1369"/>
      <c r="C599" s="1373"/>
      <c r="D599" s="1308"/>
      <c r="E599" s="1326"/>
      <c r="F599" s="1326"/>
      <c r="G599" s="1326"/>
      <c r="H599" s="1326"/>
      <c r="I599" s="1373"/>
    </row>
    <row r="600" spans="1:9">
      <c r="A600" s="1369"/>
      <c r="B600" s="1369"/>
      <c r="C600" s="1373"/>
      <c r="D600" s="1308"/>
      <c r="E600" s="1326"/>
      <c r="F600" s="1326"/>
      <c r="G600" s="1326"/>
      <c r="H600" s="1326"/>
      <c r="I600" s="1373"/>
    </row>
    <row r="601" spans="1:9">
      <c r="A601" s="1369"/>
      <c r="B601" s="1369"/>
      <c r="C601" s="1373"/>
      <c r="D601" s="1308"/>
      <c r="E601" s="1326"/>
      <c r="F601" s="1326"/>
      <c r="G601" s="1326"/>
      <c r="H601" s="1326"/>
      <c r="I601" s="1373"/>
    </row>
    <row r="602" spans="1:9">
      <c r="A602" s="1369"/>
      <c r="B602" s="1369"/>
      <c r="C602" s="1373"/>
      <c r="D602" s="1308"/>
      <c r="E602" s="1326"/>
      <c r="F602" s="1326"/>
      <c r="G602" s="1326"/>
      <c r="H602" s="1326"/>
      <c r="I602" s="1373"/>
    </row>
    <row r="603" spans="1:9">
      <c r="A603" s="1369"/>
      <c r="B603" s="1369"/>
      <c r="C603" s="1373"/>
      <c r="D603" s="1308"/>
      <c r="E603" s="1326"/>
      <c r="F603" s="1326"/>
      <c r="G603" s="1326"/>
      <c r="H603" s="1326"/>
      <c r="I603" s="1373"/>
    </row>
    <row r="604" spans="1:9">
      <c r="A604" s="1369"/>
      <c r="B604" s="1369"/>
      <c r="C604" s="1373"/>
      <c r="D604" s="1308"/>
      <c r="E604" s="1326"/>
      <c r="F604" s="1326"/>
      <c r="G604" s="1326"/>
      <c r="H604" s="1326"/>
      <c r="I604" s="1373"/>
    </row>
    <row r="605" spans="1:9">
      <c r="A605" s="1369"/>
      <c r="B605" s="1369"/>
      <c r="C605" s="1373"/>
      <c r="D605" s="1308"/>
      <c r="E605" s="1326"/>
      <c r="F605" s="1326"/>
      <c r="G605" s="1326"/>
      <c r="H605" s="1326"/>
      <c r="I605" s="1373"/>
    </row>
    <row r="606" spans="1:9">
      <c r="A606" s="1369"/>
      <c r="B606" s="1369"/>
      <c r="C606" s="1373"/>
      <c r="D606" s="1308"/>
      <c r="E606" s="1326"/>
      <c r="F606" s="1326"/>
      <c r="G606" s="1326"/>
      <c r="H606" s="1326"/>
      <c r="I606" s="1373"/>
    </row>
    <row r="607" spans="1:9">
      <c r="A607" s="1369"/>
      <c r="B607" s="1369"/>
      <c r="C607" s="1373"/>
      <c r="D607" s="1308"/>
      <c r="E607" s="1326"/>
      <c r="F607" s="1326"/>
      <c r="G607" s="1326"/>
      <c r="H607" s="1326"/>
      <c r="I607" s="1373"/>
    </row>
    <row r="608" spans="1:9">
      <c r="A608" s="1369"/>
      <c r="B608" s="1369"/>
      <c r="C608" s="1373"/>
      <c r="D608" s="1308"/>
      <c r="E608" s="1326"/>
      <c r="F608" s="1326"/>
      <c r="G608" s="1326"/>
      <c r="H608" s="1326"/>
      <c r="I608" s="1373"/>
    </row>
    <row r="609" spans="1:9">
      <c r="A609" s="1369"/>
      <c r="B609" s="1369"/>
      <c r="C609" s="1373"/>
      <c r="D609" s="1308"/>
      <c r="E609" s="1326"/>
      <c r="F609" s="1326"/>
      <c r="G609" s="1326"/>
      <c r="H609" s="1326"/>
      <c r="I609" s="1373"/>
    </row>
    <row r="610" spans="1:9">
      <c r="A610" s="1369"/>
      <c r="B610" s="1369"/>
      <c r="C610" s="1373"/>
      <c r="D610" s="1308"/>
      <c r="E610" s="1326"/>
      <c r="F610" s="1326"/>
      <c r="G610" s="1326"/>
      <c r="H610" s="1326"/>
      <c r="I610" s="1373"/>
    </row>
    <row r="611" spans="1:9">
      <c r="A611" s="1369"/>
      <c r="B611" s="1369"/>
      <c r="C611" s="1373"/>
      <c r="D611" s="1308"/>
      <c r="E611" s="1326"/>
      <c r="F611" s="1326"/>
      <c r="G611" s="1326"/>
      <c r="H611" s="1326"/>
      <c r="I611" s="1373"/>
    </row>
    <row r="612" spans="1:9">
      <c r="A612" s="1369"/>
      <c r="B612" s="1369"/>
      <c r="C612" s="1373"/>
      <c r="D612" s="1308"/>
      <c r="E612" s="1326"/>
      <c r="F612" s="1326"/>
      <c r="G612" s="1326"/>
      <c r="H612" s="1326"/>
      <c r="I612" s="1373"/>
    </row>
    <row r="613" spans="1:9">
      <c r="A613" s="1369"/>
      <c r="B613" s="1369"/>
      <c r="C613" s="1373"/>
      <c r="D613" s="1308"/>
      <c r="E613" s="1326"/>
      <c r="F613" s="1326"/>
      <c r="G613" s="1326"/>
      <c r="H613" s="1326"/>
      <c r="I613" s="1373"/>
    </row>
    <row r="614" spans="1:9">
      <c r="A614" s="1369"/>
      <c r="B614" s="1369"/>
      <c r="C614" s="1373"/>
      <c r="D614" s="1308"/>
      <c r="E614" s="1326"/>
      <c r="F614" s="1326"/>
      <c r="G614" s="1326"/>
      <c r="H614" s="1326"/>
      <c r="I614" s="1373"/>
    </row>
    <row r="615" spans="1:9">
      <c r="A615" s="1369"/>
      <c r="B615" s="1369"/>
      <c r="C615" s="1373"/>
      <c r="D615" s="1308"/>
      <c r="E615" s="1326"/>
      <c r="F615" s="1326"/>
      <c r="G615" s="1326"/>
      <c r="H615" s="1326"/>
      <c r="I615" s="1373"/>
    </row>
    <row r="616" spans="1:9">
      <c r="A616" s="1369"/>
      <c r="B616" s="1369"/>
      <c r="C616" s="1373"/>
      <c r="D616" s="1308"/>
      <c r="E616" s="1326"/>
      <c r="F616" s="1326"/>
      <c r="G616" s="1326"/>
      <c r="H616" s="1326"/>
      <c r="I616" s="1373"/>
    </row>
    <row r="617" spans="1:9">
      <c r="A617" s="1369"/>
      <c r="B617" s="1369"/>
      <c r="C617" s="1373"/>
      <c r="D617" s="1308"/>
      <c r="E617" s="1326"/>
      <c r="F617" s="1326"/>
      <c r="G617" s="1326"/>
      <c r="H617" s="1326"/>
      <c r="I617" s="1373"/>
    </row>
    <row r="618" spans="1:9">
      <c r="A618" s="1369"/>
      <c r="B618" s="1369"/>
      <c r="C618" s="1373"/>
      <c r="D618" s="1308"/>
      <c r="E618" s="1326"/>
      <c r="F618" s="1326"/>
      <c r="G618" s="1326"/>
      <c r="H618" s="1326"/>
      <c r="I618" s="1373"/>
    </row>
    <row r="619" spans="1:9">
      <c r="A619" s="1369"/>
      <c r="B619" s="1369"/>
      <c r="C619" s="1373"/>
      <c r="D619" s="1308"/>
      <c r="E619" s="1326"/>
      <c r="F619" s="1326"/>
      <c r="G619" s="1326"/>
      <c r="H619" s="1326"/>
      <c r="I619" s="1373"/>
    </row>
    <row r="620" spans="1:9">
      <c r="A620" s="1369"/>
      <c r="B620" s="1369"/>
      <c r="C620" s="1373"/>
      <c r="D620" s="1308"/>
      <c r="E620" s="1326"/>
      <c r="F620" s="1326"/>
      <c r="G620" s="1326"/>
      <c r="H620" s="1326"/>
      <c r="I620" s="1373"/>
    </row>
    <row r="621" spans="1:9">
      <c r="A621" s="1369"/>
      <c r="B621" s="1369"/>
      <c r="C621" s="1373"/>
      <c r="D621" s="1308"/>
      <c r="E621" s="1326"/>
      <c r="F621" s="1326"/>
      <c r="G621" s="1326"/>
      <c r="H621" s="1326"/>
      <c r="I621" s="1373"/>
    </row>
    <row r="622" spans="1:9">
      <c r="A622" s="1369"/>
      <c r="B622" s="1369"/>
      <c r="C622" s="1373"/>
      <c r="D622" s="1308"/>
      <c r="E622" s="1326"/>
      <c r="F622" s="1326"/>
      <c r="G622" s="1326"/>
      <c r="H622" s="1326"/>
      <c r="I622" s="1373"/>
    </row>
    <row r="623" spans="1:9">
      <c r="A623" s="1369"/>
      <c r="B623" s="1369"/>
      <c r="C623" s="1373"/>
      <c r="D623" s="1308"/>
      <c r="E623" s="1326"/>
      <c r="F623" s="1326"/>
      <c r="G623" s="1326"/>
      <c r="H623" s="1326"/>
      <c r="I623" s="1373"/>
    </row>
    <row r="624" spans="1:9">
      <c r="A624" s="1369"/>
      <c r="B624" s="1369"/>
      <c r="C624" s="1373"/>
      <c r="D624" s="1308"/>
      <c r="E624" s="1326"/>
      <c r="F624" s="1326"/>
      <c r="G624" s="1326"/>
      <c r="H624" s="1326"/>
      <c r="I624" s="1373"/>
    </row>
    <row r="625" spans="1:9">
      <c r="A625" s="1369"/>
      <c r="B625" s="1369"/>
      <c r="C625" s="1373"/>
      <c r="D625" s="1308"/>
      <c r="E625" s="1326"/>
      <c r="F625" s="1326"/>
      <c r="G625" s="1326"/>
      <c r="H625" s="1326"/>
      <c r="I625" s="1373"/>
    </row>
    <row r="626" spans="1:9">
      <c r="A626" s="1369"/>
      <c r="B626" s="1369"/>
      <c r="C626" s="1373"/>
      <c r="D626" s="1308"/>
      <c r="E626" s="1326"/>
      <c r="F626" s="1326"/>
      <c r="G626" s="1326"/>
      <c r="H626" s="1326"/>
      <c r="I626" s="1373"/>
    </row>
    <row r="627" spans="1:9">
      <c r="A627" s="1369"/>
      <c r="B627" s="1369"/>
      <c r="C627" s="1373"/>
      <c r="D627" s="1308"/>
      <c r="E627" s="1326"/>
      <c r="F627" s="1326"/>
      <c r="G627" s="1326"/>
      <c r="H627" s="1326"/>
      <c r="I627" s="1373"/>
    </row>
    <row r="628" spans="1:9">
      <c r="A628" s="1369"/>
      <c r="B628" s="1369"/>
      <c r="C628" s="1373"/>
      <c r="D628" s="1308"/>
      <c r="E628" s="1326"/>
      <c r="F628" s="1326"/>
      <c r="G628" s="1326"/>
      <c r="H628" s="1326"/>
      <c r="I628" s="1373"/>
    </row>
    <row r="629" spans="1:9">
      <c r="A629" s="1369"/>
      <c r="B629" s="1369"/>
      <c r="C629" s="1373"/>
      <c r="D629" s="1308"/>
      <c r="E629" s="1326"/>
      <c r="F629" s="1326"/>
      <c r="G629" s="1326"/>
      <c r="H629" s="1326"/>
      <c r="I629" s="1373"/>
    </row>
    <row r="630" spans="1:9">
      <c r="A630" s="1369"/>
      <c r="B630" s="1369"/>
      <c r="C630" s="1373"/>
      <c r="D630" s="1308"/>
      <c r="E630" s="1326"/>
      <c r="F630" s="1326"/>
      <c r="G630" s="1326"/>
      <c r="H630" s="1326"/>
      <c r="I630" s="1373"/>
    </row>
    <row r="631" spans="1:9">
      <c r="A631" s="1369"/>
      <c r="B631" s="1369"/>
      <c r="C631" s="1373"/>
      <c r="D631" s="1308"/>
      <c r="E631" s="1326"/>
      <c r="F631" s="1326"/>
      <c r="G631" s="1326"/>
      <c r="H631" s="1326"/>
      <c r="I631" s="1373"/>
    </row>
    <row r="632" spans="1:9">
      <c r="A632" s="1369"/>
      <c r="B632" s="1369"/>
      <c r="C632" s="1373"/>
      <c r="D632" s="1308"/>
      <c r="E632" s="1326"/>
      <c r="F632" s="1326"/>
      <c r="G632" s="1326"/>
      <c r="H632" s="1326"/>
      <c r="I632" s="1373"/>
    </row>
    <row r="633" spans="1:9">
      <c r="A633" s="1369"/>
      <c r="B633" s="1369"/>
      <c r="C633" s="1373"/>
      <c r="D633" s="1308"/>
      <c r="E633" s="1326"/>
      <c r="F633" s="1326"/>
      <c r="G633" s="1326"/>
      <c r="H633" s="1326"/>
      <c r="I633" s="1373"/>
    </row>
    <row r="634" spans="1:9">
      <c r="A634" s="1369"/>
      <c r="B634" s="1369"/>
      <c r="C634" s="1373"/>
      <c r="D634" s="1308"/>
      <c r="E634" s="1326"/>
      <c r="F634" s="1326"/>
      <c r="G634" s="1326"/>
      <c r="H634" s="1326"/>
      <c r="I634" s="1373"/>
    </row>
    <row r="635" spans="1:9">
      <c r="A635" s="1369"/>
      <c r="B635" s="1369"/>
      <c r="C635" s="1373"/>
      <c r="D635" s="1308"/>
      <c r="E635" s="1326"/>
      <c r="F635" s="1326"/>
      <c r="G635" s="1326"/>
      <c r="H635" s="1326"/>
      <c r="I635" s="1373"/>
    </row>
    <row r="636" spans="1:9">
      <c r="A636" s="1369"/>
      <c r="B636" s="1369"/>
      <c r="C636" s="1373"/>
      <c r="D636" s="1308"/>
      <c r="E636" s="1326"/>
      <c r="F636" s="1326"/>
      <c r="G636" s="1326"/>
      <c r="H636" s="1326"/>
      <c r="I636" s="1373"/>
    </row>
    <row r="637" spans="1:9">
      <c r="A637" s="1369"/>
      <c r="B637" s="1369"/>
      <c r="C637" s="1373"/>
      <c r="D637" s="1308"/>
      <c r="E637" s="1326"/>
      <c r="F637" s="1326"/>
      <c r="G637" s="1326"/>
      <c r="H637" s="1326"/>
      <c r="I637" s="1373"/>
    </row>
    <row r="638" spans="1:9">
      <c r="A638" s="1369"/>
      <c r="B638" s="1369"/>
      <c r="C638" s="1373"/>
      <c r="D638" s="1308"/>
      <c r="E638" s="1326"/>
      <c r="F638" s="1326"/>
      <c r="G638" s="1326"/>
      <c r="H638" s="1326"/>
      <c r="I638" s="1373"/>
    </row>
    <row r="639" spans="1:9">
      <c r="A639" s="1369"/>
      <c r="B639" s="1369"/>
      <c r="C639" s="1373"/>
      <c r="D639" s="1308"/>
      <c r="E639" s="1326"/>
      <c r="F639" s="1326"/>
      <c r="G639" s="1326"/>
      <c r="H639" s="1326"/>
      <c r="I639" s="1373"/>
    </row>
    <row r="640" spans="1:9">
      <c r="A640" s="1369"/>
      <c r="B640" s="1369"/>
      <c r="C640" s="1373"/>
      <c r="D640" s="1308"/>
      <c r="E640" s="1326"/>
      <c r="F640" s="1326"/>
      <c r="G640" s="1326"/>
      <c r="H640" s="1326"/>
      <c r="I640" s="1373"/>
    </row>
    <row r="641" spans="1:9">
      <c r="A641" s="1369"/>
      <c r="B641" s="1369"/>
      <c r="C641" s="1373"/>
      <c r="D641" s="1308"/>
      <c r="E641" s="1326"/>
      <c r="F641" s="1326"/>
      <c r="G641" s="1326"/>
      <c r="H641" s="1326"/>
      <c r="I641" s="1373"/>
    </row>
    <row r="642" spans="1:9">
      <c r="A642" s="1369"/>
      <c r="B642" s="1369"/>
      <c r="C642" s="1373"/>
      <c r="D642" s="1308"/>
      <c r="E642" s="1326"/>
      <c r="F642" s="1326"/>
      <c r="G642" s="1326"/>
      <c r="H642" s="1326"/>
      <c r="I642" s="1373"/>
    </row>
    <row r="643" spans="1:9">
      <c r="A643" s="1369"/>
      <c r="B643" s="1369"/>
      <c r="C643" s="1373"/>
      <c r="D643" s="1308"/>
      <c r="E643" s="1326"/>
      <c r="F643" s="1326"/>
      <c r="G643" s="1326"/>
      <c r="H643" s="1326"/>
      <c r="I643" s="1373"/>
    </row>
    <row r="644" spans="1:9">
      <c r="A644" s="1369"/>
      <c r="B644" s="1369"/>
      <c r="C644" s="1373"/>
      <c r="D644" s="1308"/>
      <c r="E644" s="1326"/>
      <c r="F644" s="1326"/>
      <c r="G644" s="1326"/>
      <c r="H644" s="1326"/>
      <c r="I644" s="1373"/>
    </row>
    <row r="645" spans="1:9">
      <c r="A645" s="1369"/>
      <c r="B645" s="1369"/>
      <c r="C645" s="1373"/>
      <c r="D645" s="1308"/>
      <c r="E645" s="1326"/>
      <c r="F645" s="1326"/>
      <c r="G645" s="1326"/>
      <c r="H645" s="1326"/>
      <c r="I645" s="1373"/>
    </row>
    <row r="646" spans="1:9">
      <c r="A646" s="1369"/>
      <c r="B646" s="1369"/>
      <c r="C646" s="1373"/>
      <c r="D646" s="1308"/>
      <c r="E646" s="1326"/>
      <c r="F646" s="1326"/>
      <c r="G646" s="1326"/>
      <c r="H646" s="1326"/>
      <c r="I646" s="1373"/>
    </row>
    <row r="647" spans="1:9">
      <c r="A647" s="1369"/>
      <c r="B647" s="1369"/>
      <c r="C647" s="1373"/>
      <c r="D647" s="1308"/>
      <c r="E647" s="1326"/>
      <c r="F647" s="1326"/>
      <c r="G647" s="1326"/>
      <c r="H647" s="1326"/>
      <c r="I647" s="1373"/>
    </row>
    <row r="648" spans="1:9">
      <c r="A648" s="1369"/>
      <c r="B648" s="1369"/>
      <c r="C648" s="1373"/>
      <c r="D648" s="1308"/>
      <c r="E648" s="1326"/>
      <c r="F648" s="1326"/>
      <c r="G648" s="1326"/>
      <c r="H648" s="1326"/>
      <c r="I648" s="1373"/>
    </row>
    <row r="649" spans="1:9">
      <c r="A649" s="1369"/>
      <c r="B649" s="1369"/>
      <c r="C649" s="1373"/>
      <c r="D649" s="1308"/>
      <c r="E649" s="1326"/>
      <c r="F649" s="1326"/>
      <c r="G649" s="1326"/>
      <c r="H649" s="1326"/>
      <c r="I649" s="1373"/>
    </row>
    <row r="650" spans="1:9">
      <c r="A650" s="1369"/>
      <c r="B650" s="1369"/>
      <c r="C650" s="1373"/>
      <c r="D650" s="1308"/>
      <c r="E650" s="1326"/>
      <c r="F650" s="1326"/>
      <c r="G650" s="1326"/>
      <c r="H650" s="1326"/>
      <c r="I650" s="1373"/>
    </row>
    <row r="651" spans="1:9">
      <c r="A651" s="1369"/>
      <c r="B651" s="1369"/>
      <c r="C651" s="1373"/>
      <c r="D651" s="1308"/>
      <c r="E651" s="1326"/>
      <c r="F651" s="1326"/>
      <c r="G651" s="1326"/>
      <c r="H651" s="1326"/>
      <c r="I651" s="1373"/>
    </row>
    <row r="652" spans="1:9">
      <c r="A652" s="1369"/>
      <c r="B652" s="1369"/>
      <c r="C652" s="1373"/>
      <c r="D652" s="1308"/>
      <c r="E652" s="1326"/>
      <c r="F652" s="1326"/>
      <c r="G652" s="1326"/>
      <c r="H652" s="1326"/>
      <c r="I652" s="1373"/>
    </row>
    <row r="653" spans="1:9">
      <c r="A653" s="1369"/>
      <c r="B653" s="1369"/>
      <c r="C653" s="1373"/>
      <c r="D653" s="1308"/>
      <c r="E653" s="1326"/>
      <c r="F653" s="1326"/>
      <c r="G653" s="1326"/>
      <c r="H653" s="1326"/>
      <c r="I653" s="1373"/>
    </row>
    <row r="654" spans="1:9">
      <c r="A654" s="1369"/>
      <c r="B654" s="1369"/>
      <c r="C654" s="1373"/>
      <c r="D654" s="1308"/>
      <c r="E654" s="1326"/>
      <c r="F654" s="1326"/>
      <c r="G654" s="1326"/>
      <c r="H654" s="1326"/>
      <c r="I654" s="1373"/>
    </row>
    <row r="655" spans="1:9">
      <c r="A655" s="1369"/>
      <c r="B655" s="1369"/>
      <c r="C655" s="1373"/>
      <c r="D655" s="1308"/>
      <c r="E655" s="1326"/>
      <c r="F655" s="1326"/>
      <c r="G655" s="1326"/>
      <c r="H655" s="1326"/>
      <c r="I655" s="1373"/>
    </row>
    <row r="656" spans="1:9">
      <c r="A656" s="1369"/>
      <c r="B656" s="1369"/>
      <c r="C656" s="1373"/>
      <c r="D656" s="1308"/>
      <c r="E656" s="1326"/>
      <c r="F656" s="1326"/>
      <c r="G656" s="1326"/>
      <c r="H656" s="1326"/>
      <c r="I656" s="1373"/>
    </row>
    <row r="657" spans="1:9">
      <c r="A657" s="1369"/>
      <c r="B657" s="1369"/>
      <c r="C657" s="1373"/>
      <c r="D657" s="1308"/>
      <c r="E657" s="1326"/>
      <c r="F657" s="1326"/>
      <c r="G657" s="1326"/>
      <c r="H657" s="1326"/>
      <c r="I657" s="1373"/>
    </row>
    <row r="658" spans="1:9">
      <c r="A658" s="1369"/>
      <c r="B658" s="1369"/>
      <c r="C658" s="1373"/>
      <c r="D658" s="1308"/>
      <c r="E658" s="1326"/>
      <c r="F658" s="1326"/>
      <c r="G658" s="1326"/>
      <c r="H658" s="1326"/>
      <c r="I658" s="1373"/>
    </row>
    <row r="659" spans="1:9">
      <c r="A659" s="1369"/>
      <c r="B659" s="1369"/>
      <c r="C659" s="1373"/>
      <c r="D659" s="1308"/>
      <c r="E659" s="1326"/>
      <c r="F659" s="1326"/>
      <c r="G659" s="1326"/>
      <c r="H659" s="1326"/>
      <c r="I659" s="1373"/>
    </row>
    <row r="660" spans="1:9">
      <c r="A660" s="1369"/>
      <c r="B660" s="1369"/>
      <c r="C660" s="1373"/>
      <c r="D660" s="1308"/>
      <c r="E660" s="1326"/>
      <c r="F660" s="1326"/>
      <c r="G660" s="1326"/>
      <c r="H660" s="1326"/>
      <c r="I660" s="1373"/>
    </row>
    <row r="661" spans="1:9">
      <c r="A661" s="1369"/>
      <c r="B661" s="1369"/>
      <c r="C661" s="1373"/>
      <c r="D661" s="1308"/>
      <c r="E661" s="1326"/>
      <c r="F661" s="1326"/>
      <c r="G661" s="1326"/>
      <c r="H661" s="1326"/>
      <c r="I661" s="1373"/>
    </row>
    <row r="662" spans="1:9">
      <c r="A662" s="1369"/>
      <c r="B662" s="1369"/>
      <c r="C662" s="1373"/>
      <c r="D662" s="1308"/>
      <c r="E662" s="1326"/>
      <c r="F662" s="1326"/>
      <c r="G662" s="1326"/>
      <c r="H662" s="1326"/>
      <c r="I662" s="1373"/>
    </row>
    <row r="663" spans="1:9">
      <c r="A663" s="1369"/>
      <c r="B663" s="1369"/>
      <c r="C663" s="1373"/>
      <c r="D663" s="1308"/>
      <c r="E663" s="1326"/>
      <c r="F663" s="1326"/>
      <c r="G663" s="1326"/>
      <c r="H663" s="1326"/>
      <c r="I663" s="1373"/>
    </row>
    <row r="664" spans="1:9">
      <c r="A664" s="1369"/>
      <c r="B664" s="1369"/>
      <c r="C664" s="1373"/>
      <c r="D664" s="1308"/>
      <c r="E664" s="1326"/>
      <c r="F664" s="1326"/>
      <c r="G664" s="1326"/>
      <c r="H664" s="1326"/>
      <c r="I664" s="1373"/>
    </row>
    <row r="665" spans="1:9">
      <c r="A665" s="1369"/>
      <c r="B665" s="1369"/>
      <c r="C665" s="1373"/>
      <c r="D665" s="1308"/>
      <c r="E665" s="1326"/>
      <c r="F665" s="1326"/>
      <c r="G665" s="1326"/>
      <c r="H665" s="1326"/>
      <c r="I665" s="1373"/>
    </row>
    <row r="666" spans="1:9">
      <c r="A666" s="1369"/>
      <c r="B666" s="1369"/>
      <c r="C666" s="1373"/>
      <c r="D666" s="1308"/>
      <c r="E666" s="1326"/>
      <c r="F666" s="1326"/>
      <c r="G666" s="1326"/>
      <c r="H666" s="1326"/>
      <c r="I666" s="1373"/>
    </row>
    <row r="667" spans="1:9">
      <c r="A667" s="1369"/>
      <c r="B667" s="1369"/>
      <c r="C667" s="1373"/>
      <c r="D667" s="1308"/>
      <c r="E667" s="1326"/>
      <c r="F667" s="1326"/>
      <c r="G667" s="1326"/>
      <c r="H667" s="1326"/>
      <c r="I667" s="1373"/>
    </row>
    <row r="668" spans="1:9">
      <c r="A668" s="1369"/>
      <c r="B668" s="1369"/>
      <c r="C668" s="1373"/>
      <c r="D668" s="1308"/>
      <c r="E668" s="1326"/>
      <c r="F668" s="1326"/>
      <c r="G668" s="1326"/>
      <c r="H668" s="1326"/>
      <c r="I668" s="1373"/>
    </row>
    <row r="669" spans="1:9">
      <c r="A669" s="1369"/>
      <c r="B669" s="1369"/>
      <c r="C669" s="1373"/>
      <c r="D669" s="1308"/>
      <c r="E669" s="1326"/>
      <c r="F669" s="1326"/>
      <c r="G669" s="1326"/>
      <c r="H669" s="1326"/>
      <c r="I669" s="1373"/>
    </row>
    <row r="670" spans="1:9">
      <c r="A670" s="1369"/>
      <c r="B670" s="1369"/>
      <c r="C670" s="1373"/>
      <c r="D670" s="1308"/>
      <c r="E670" s="1326"/>
      <c r="F670" s="1326"/>
      <c r="G670" s="1326"/>
      <c r="H670" s="1326"/>
      <c r="I670" s="1373"/>
    </row>
    <row r="671" spans="1:9">
      <c r="A671" s="1369"/>
      <c r="B671" s="1369"/>
      <c r="C671" s="1373"/>
      <c r="D671" s="1308"/>
      <c r="E671" s="1326"/>
      <c r="F671" s="1326"/>
      <c r="G671" s="1326"/>
      <c r="H671" s="1326"/>
      <c r="I671" s="1373"/>
    </row>
    <row r="672" spans="1:9">
      <c r="A672" s="1369"/>
      <c r="B672" s="1369"/>
      <c r="C672" s="1373"/>
      <c r="D672" s="1308"/>
      <c r="E672" s="1326"/>
      <c r="F672" s="1326"/>
      <c r="G672" s="1326"/>
      <c r="H672" s="1326"/>
      <c r="I672" s="1373"/>
    </row>
    <row r="673" spans="1:9">
      <c r="A673" s="1369"/>
      <c r="B673" s="1369"/>
      <c r="C673" s="1373"/>
      <c r="D673" s="1308"/>
      <c r="E673" s="1326"/>
      <c r="F673" s="1326"/>
      <c r="G673" s="1326"/>
      <c r="H673" s="1326"/>
      <c r="I673" s="1373"/>
    </row>
    <row r="674" spans="1:9">
      <c r="A674" s="1369"/>
      <c r="B674" s="1369"/>
      <c r="C674" s="1373"/>
      <c r="D674" s="1308"/>
      <c r="E674" s="1326"/>
      <c r="F674" s="1326"/>
      <c r="G674" s="1326"/>
      <c r="H674" s="1326"/>
      <c r="I674" s="1373"/>
    </row>
    <row r="675" spans="1:9">
      <c r="A675" s="1369"/>
      <c r="B675" s="1369"/>
      <c r="C675" s="1373"/>
      <c r="D675" s="1308"/>
      <c r="E675" s="1326"/>
      <c r="F675" s="1326"/>
      <c r="G675" s="1326"/>
      <c r="H675" s="1326"/>
      <c r="I675" s="1373"/>
    </row>
    <row r="676" spans="1:9">
      <c r="A676" s="1369"/>
      <c r="B676" s="1369"/>
      <c r="C676" s="1373"/>
      <c r="D676" s="1308"/>
      <c r="E676" s="1326"/>
      <c r="F676" s="1326"/>
      <c r="G676" s="1326"/>
      <c r="H676" s="1326"/>
      <c r="I676" s="1373"/>
    </row>
    <row r="677" spans="1:9">
      <c r="A677" s="1369"/>
      <c r="B677" s="1369"/>
      <c r="C677" s="1373"/>
      <c r="D677" s="1308"/>
      <c r="E677" s="1326"/>
      <c r="F677" s="1326"/>
      <c r="G677" s="1326"/>
      <c r="H677" s="1326"/>
      <c r="I677" s="1373"/>
    </row>
    <row r="678" spans="1:9">
      <c r="A678" s="1369"/>
      <c r="B678" s="1369"/>
      <c r="C678" s="1373"/>
      <c r="D678" s="1308"/>
      <c r="E678" s="1326"/>
      <c r="F678" s="1326"/>
      <c r="G678" s="1326"/>
      <c r="H678" s="1326"/>
      <c r="I678" s="1373"/>
    </row>
    <row r="679" spans="1:9">
      <c r="A679" s="1369"/>
      <c r="B679" s="1369"/>
      <c r="C679" s="1373"/>
      <c r="D679" s="1308"/>
      <c r="E679" s="1326"/>
      <c r="F679" s="1326"/>
      <c r="G679" s="1326"/>
      <c r="H679" s="1326"/>
      <c r="I679" s="1373"/>
    </row>
    <row r="680" spans="1:9">
      <c r="A680" s="1369"/>
      <c r="B680" s="1369"/>
      <c r="C680" s="1373"/>
      <c r="D680" s="1308"/>
      <c r="E680" s="1326"/>
      <c r="F680" s="1326"/>
      <c r="G680" s="1326"/>
      <c r="H680" s="1326"/>
      <c r="I680" s="1373"/>
    </row>
    <row r="681" spans="1:9">
      <c r="A681" s="1369"/>
      <c r="B681" s="1369"/>
      <c r="C681" s="1373"/>
      <c r="D681" s="1308"/>
      <c r="E681" s="1326"/>
      <c r="F681" s="1326"/>
      <c r="G681" s="1326"/>
      <c r="H681" s="1326"/>
      <c r="I681" s="1373"/>
    </row>
    <row r="682" spans="1:9">
      <c r="A682" s="1369"/>
      <c r="B682" s="1369"/>
      <c r="C682" s="1373"/>
      <c r="D682" s="1308"/>
      <c r="E682" s="1326"/>
      <c r="F682" s="1326"/>
      <c r="G682" s="1326"/>
      <c r="H682" s="1326"/>
      <c r="I682" s="1373"/>
    </row>
    <row r="683" spans="1:9">
      <c r="A683" s="1369"/>
      <c r="B683" s="1369"/>
      <c r="C683" s="1373"/>
      <c r="D683" s="1308"/>
      <c r="E683" s="1326"/>
      <c r="F683" s="1326"/>
      <c r="G683" s="1326"/>
      <c r="H683" s="1326"/>
      <c r="I683" s="1373"/>
    </row>
    <row r="684" spans="1:9">
      <c r="A684" s="1369"/>
      <c r="B684" s="1369"/>
      <c r="C684" s="1373"/>
      <c r="D684" s="1308"/>
      <c r="E684" s="1326"/>
      <c r="F684" s="1326"/>
      <c r="G684" s="1326"/>
      <c r="H684" s="1326"/>
      <c r="I684" s="1373"/>
    </row>
    <row r="685" spans="1:9">
      <c r="A685" s="1369"/>
      <c r="B685" s="1369"/>
      <c r="C685" s="1373"/>
      <c r="D685" s="1308"/>
      <c r="E685" s="1326"/>
      <c r="F685" s="1326"/>
      <c r="G685" s="1326"/>
      <c r="H685" s="1326"/>
      <c r="I685" s="1373"/>
    </row>
    <row r="686" spans="1:9">
      <c r="A686" s="1369"/>
      <c r="B686" s="1369"/>
      <c r="C686" s="1373"/>
      <c r="D686" s="1308"/>
      <c r="E686" s="1326"/>
      <c r="F686" s="1326"/>
      <c r="G686" s="1326"/>
      <c r="H686" s="1326"/>
      <c r="I686" s="1373"/>
    </row>
    <row r="687" spans="1:9">
      <c r="A687" s="1369"/>
      <c r="B687" s="1369"/>
      <c r="C687" s="1373"/>
      <c r="D687" s="1308"/>
      <c r="E687" s="1326"/>
      <c r="F687" s="1326"/>
      <c r="G687" s="1326"/>
      <c r="H687" s="1326"/>
      <c r="I687" s="1373"/>
    </row>
    <row r="688" spans="1:9">
      <c r="A688" s="1369"/>
      <c r="B688" s="1369"/>
      <c r="C688" s="1373"/>
      <c r="D688" s="1308"/>
      <c r="E688" s="1326"/>
      <c r="F688" s="1326"/>
      <c r="G688" s="1326"/>
      <c r="H688" s="1326"/>
      <c r="I688" s="1373"/>
    </row>
    <row r="689" spans="1:9">
      <c r="A689" s="1369"/>
      <c r="B689" s="1369"/>
      <c r="C689" s="1373"/>
      <c r="D689" s="1308"/>
      <c r="E689" s="1326"/>
      <c r="F689" s="1326"/>
      <c r="G689" s="1326"/>
      <c r="H689" s="1326"/>
      <c r="I689" s="1373"/>
    </row>
    <row r="690" spans="1:9">
      <c r="A690" s="1369"/>
      <c r="B690" s="1369"/>
      <c r="C690" s="1373"/>
      <c r="D690" s="1308"/>
      <c r="E690" s="1326"/>
      <c r="F690" s="1326"/>
      <c r="G690" s="1326"/>
      <c r="H690" s="1326"/>
      <c r="I690" s="1373"/>
    </row>
    <row r="691" spans="1:9">
      <c r="A691" s="1369"/>
      <c r="B691" s="1369"/>
      <c r="C691" s="1373"/>
      <c r="D691" s="1308"/>
      <c r="E691" s="1326"/>
      <c r="F691" s="1326"/>
      <c r="G691" s="1326"/>
      <c r="H691" s="1326"/>
      <c r="I691" s="1373"/>
    </row>
    <row r="692" spans="1:9">
      <c r="A692" s="1369"/>
      <c r="B692" s="1369"/>
      <c r="C692" s="1373"/>
      <c r="D692" s="1308"/>
      <c r="E692" s="1326"/>
      <c r="F692" s="1326"/>
      <c r="G692" s="1326"/>
      <c r="H692" s="1326"/>
      <c r="I692" s="1373"/>
    </row>
    <row r="693" spans="1:9">
      <c r="A693" s="1369"/>
      <c r="B693" s="1369"/>
      <c r="C693" s="1373"/>
      <c r="D693" s="1308"/>
      <c r="E693" s="1326"/>
      <c r="F693" s="1326"/>
      <c r="G693" s="1326"/>
      <c r="H693" s="1326"/>
      <c r="I693" s="1373"/>
    </row>
    <row r="694" spans="1:9">
      <c r="A694" s="1369"/>
      <c r="B694" s="1369"/>
      <c r="C694" s="1373"/>
      <c r="D694" s="1308"/>
      <c r="E694" s="1326"/>
      <c r="F694" s="1326"/>
      <c r="G694" s="1326"/>
      <c r="H694" s="1326"/>
      <c r="I694" s="1373"/>
    </row>
    <row r="695" spans="1:9">
      <c r="A695" s="1369"/>
      <c r="B695" s="1369"/>
      <c r="C695" s="1373"/>
      <c r="D695" s="1308"/>
      <c r="E695" s="1326"/>
      <c r="F695" s="1326"/>
      <c r="G695" s="1326"/>
      <c r="H695" s="1326"/>
      <c r="I695" s="1373"/>
    </row>
    <row r="696" spans="1:9">
      <c r="A696" s="1369"/>
      <c r="B696" s="1369"/>
      <c r="C696" s="1373"/>
      <c r="D696" s="1308"/>
      <c r="E696" s="1326"/>
      <c r="F696" s="1326"/>
      <c r="G696" s="1326"/>
      <c r="H696" s="1326"/>
      <c r="I696" s="1373"/>
    </row>
    <row r="697" spans="1:9">
      <c r="A697" s="1369"/>
      <c r="B697" s="1369"/>
      <c r="C697" s="1373"/>
      <c r="D697" s="1308"/>
      <c r="E697" s="1326"/>
      <c r="F697" s="1326"/>
      <c r="G697" s="1326"/>
      <c r="H697" s="1326"/>
      <c r="I697" s="1373"/>
    </row>
    <row r="698" spans="1:9">
      <c r="A698" s="1369"/>
      <c r="B698" s="1369"/>
      <c r="C698" s="1373"/>
      <c r="D698" s="1308"/>
      <c r="E698" s="1326"/>
      <c r="F698" s="1326"/>
      <c r="G698" s="1326"/>
      <c r="H698" s="1326"/>
      <c r="I698" s="1373"/>
    </row>
    <row r="699" spans="1:9">
      <c r="A699" s="1369"/>
      <c r="B699" s="1369"/>
      <c r="C699" s="1373"/>
      <c r="D699" s="1308"/>
      <c r="E699" s="1326"/>
      <c r="F699" s="1326"/>
      <c r="G699" s="1326"/>
      <c r="H699" s="1326"/>
      <c r="I699" s="1373"/>
    </row>
    <row r="700" spans="1:9">
      <c r="A700" s="1369"/>
      <c r="B700" s="1369"/>
      <c r="C700" s="1373"/>
      <c r="D700" s="1308"/>
      <c r="E700" s="1326"/>
      <c r="F700" s="1326"/>
      <c r="G700" s="1326"/>
      <c r="H700" s="1326"/>
      <c r="I700" s="1373"/>
    </row>
    <row r="701" spans="1:9">
      <c r="A701" s="1369"/>
      <c r="B701" s="1369"/>
      <c r="C701" s="1373"/>
      <c r="D701" s="1308"/>
      <c r="E701" s="1326"/>
      <c r="F701" s="1326"/>
      <c r="G701" s="1326"/>
      <c r="H701" s="1326"/>
      <c r="I701" s="1373"/>
    </row>
    <row r="702" spans="1:9">
      <c r="A702" s="1369"/>
      <c r="B702" s="1369"/>
      <c r="C702" s="1373"/>
      <c r="D702" s="1308"/>
      <c r="E702" s="1326"/>
      <c r="F702" s="1326"/>
      <c r="G702" s="1326"/>
      <c r="H702" s="1326"/>
      <c r="I702" s="1373"/>
    </row>
    <row r="703" spans="1:9">
      <c r="A703" s="1369"/>
      <c r="B703" s="1369"/>
      <c r="C703" s="1373"/>
      <c r="D703" s="1308"/>
      <c r="E703" s="1326"/>
      <c r="F703" s="1326"/>
      <c r="G703" s="1326"/>
      <c r="H703" s="1326"/>
      <c r="I703" s="1373"/>
    </row>
    <row r="704" spans="1:9">
      <c r="A704" s="1369"/>
      <c r="B704" s="1369"/>
      <c r="C704" s="1373"/>
      <c r="D704" s="1308"/>
      <c r="E704" s="1326"/>
      <c r="F704" s="1326"/>
      <c r="G704" s="1326"/>
      <c r="H704" s="1326"/>
      <c r="I704" s="1373"/>
    </row>
    <row r="705" spans="1:9">
      <c r="A705" s="1369"/>
      <c r="B705" s="1369"/>
      <c r="C705" s="1373"/>
      <c r="D705" s="1308"/>
      <c r="E705" s="1326"/>
      <c r="F705" s="1326"/>
      <c r="G705" s="1326"/>
      <c r="H705" s="1326"/>
      <c r="I705" s="1373"/>
    </row>
    <row r="706" spans="1:9">
      <c r="A706" s="1369"/>
      <c r="B706" s="1369"/>
      <c r="C706" s="1373"/>
      <c r="D706" s="1308"/>
      <c r="E706" s="1326"/>
      <c r="F706" s="1326"/>
      <c r="G706" s="1326"/>
      <c r="H706" s="1326"/>
      <c r="I706" s="1373"/>
    </row>
    <row r="707" spans="1:9">
      <c r="A707" s="1369"/>
      <c r="B707" s="1369"/>
      <c r="C707" s="1373"/>
      <c r="D707" s="1308"/>
      <c r="E707" s="1326"/>
      <c r="F707" s="1326"/>
      <c r="G707" s="1326"/>
      <c r="H707" s="1326"/>
      <c r="I707" s="1373"/>
    </row>
    <row r="708" spans="1:9">
      <c r="A708" s="1369"/>
      <c r="B708" s="1369"/>
      <c r="C708" s="1373"/>
      <c r="D708" s="1308"/>
      <c r="E708" s="1326"/>
      <c r="F708" s="1326"/>
      <c r="G708" s="1326"/>
      <c r="H708" s="1326"/>
      <c r="I708" s="1373"/>
    </row>
    <row r="709" spans="1:9">
      <c r="A709" s="1369"/>
      <c r="B709" s="1369"/>
      <c r="C709" s="1373"/>
      <c r="D709" s="1308"/>
      <c r="E709" s="1326"/>
      <c r="F709" s="1326"/>
      <c r="G709" s="1326"/>
      <c r="H709" s="1326"/>
      <c r="I709" s="1373"/>
    </row>
    <row r="710" spans="1:9">
      <c r="A710" s="1369"/>
      <c r="B710" s="1369"/>
      <c r="C710" s="1373"/>
      <c r="D710" s="1308"/>
      <c r="E710" s="1326"/>
      <c r="F710" s="1326"/>
      <c r="G710" s="1326"/>
      <c r="H710" s="1326"/>
      <c r="I710" s="1373"/>
    </row>
    <row r="711" spans="1:9">
      <c r="A711" s="1369"/>
      <c r="B711" s="1369"/>
      <c r="C711" s="1373"/>
      <c r="D711" s="1308"/>
      <c r="E711" s="1326"/>
      <c r="F711" s="1326"/>
      <c r="G711" s="1326"/>
      <c r="H711" s="1326"/>
      <c r="I711" s="1373"/>
    </row>
    <row r="712" spans="1:9">
      <c r="A712" s="1369"/>
      <c r="B712" s="1369"/>
      <c r="C712" s="1373"/>
      <c r="D712" s="1308"/>
      <c r="E712" s="1326"/>
      <c r="F712" s="1326"/>
      <c r="G712" s="1326"/>
      <c r="H712" s="1326"/>
      <c r="I712" s="1373"/>
    </row>
    <row r="713" spans="1:9">
      <c r="A713" s="1369"/>
      <c r="B713" s="1369"/>
      <c r="C713" s="1373"/>
      <c r="D713" s="1308"/>
      <c r="E713" s="1326"/>
      <c r="F713" s="1326"/>
      <c r="G713" s="1326"/>
      <c r="H713" s="1326"/>
      <c r="I713" s="1373"/>
    </row>
    <row r="714" spans="1:9">
      <c r="A714" s="1369"/>
      <c r="B714" s="1369"/>
      <c r="C714" s="1373"/>
      <c r="D714" s="1308"/>
      <c r="E714" s="1326"/>
      <c r="F714" s="1326"/>
      <c r="G714" s="1326"/>
      <c r="H714" s="1326"/>
      <c r="I714" s="1373"/>
    </row>
    <row r="715" spans="1:9">
      <c r="A715" s="1369"/>
      <c r="B715" s="1369"/>
      <c r="C715" s="1373"/>
      <c r="D715" s="1308"/>
      <c r="E715" s="1326"/>
      <c r="F715" s="1326"/>
      <c r="G715" s="1326"/>
      <c r="H715" s="1326"/>
      <c r="I715" s="1373"/>
    </row>
    <row r="716" spans="1:9">
      <c r="A716" s="1369"/>
      <c r="B716" s="1369"/>
      <c r="C716" s="1373"/>
      <c r="D716" s="1308"/>
      <c r="E716" s="1326"/>
      <c r="F716" s="1326"/>
      <c r="G716" s="1326"/>
      <c r="H716" s="1326"/>
      <c r="I716" s="1373"/>
    </row>
    <row r="717" spans="1:9">
      <c r="A717" s="1369"/>
      <c r="B717" s="1369"/>
      <c r="C717" s="1373"/>
      <c r="D717" s="1308"/>
      <c r="E717" s="1326"/>
      <c r="F717" s="1326"/>
      <c r="G717" s="1326"/>
      <c r="H717" s="1326"/>
      <c r="I717" s="1373"/>
    </row>
    <row r="718" spans="1:9">
      <c r="A718" s="1369"/>
      <c r="B718" s="1369"/>
      <c r="C718" s="1373"/>
      <c r="D718" s="1308"/>
      <c r="E718" s="1326"/>
      <c r="F718" s="1326"/>
      <c r="G718" s="1326"/>
      <c r="H718" s="1326"/>
      <c r="I718" s="1373"/>
    </row>
    <row r="719" spans="1:9">
      <c r="A719" s="1369"/>
      <c r="B719" s="1369"/>
      <c r="C719" s="1373"/>
      <c r="D719" s="1308"/>
      <c r="E719" s="1326"/>
      <c r="F719" s="1326"/>
      <c r="G719" s="1326"/>
      <c r="H719" s="1326"/>
      <c r="I719" s="1373"/>
    </row>
    <row r="720" spans="1:9">
      <c r="A720" s="1369"/>
      <c r="B720" s="1369"/>
      <c r="C720" s="1373"/>
      <c r="D720" s="1308"/>
      <c r="E720" s="1326"/>
      <c r="F720" s="1326"/>
      <c r="G720" s="1326"/>
      <c r="H720" s="1326"/>
      <c r="I720" s="1373"/>
    </row>
    <row r="721" spans="1:9">
      <c r="A721" s="1369"/>
      <c r="B721" s="1369"/>
      <c r="C721" s="1373"/>
      <c r="D721" s="1308"/>
      <c r="E721" s="1326"/>
      <c r="F721" s="1326"/>
      <c r="G721" s="1326"/>
      <c r="H721" s="1326"/>
      <c r="I721" s="1373"/>
    </row>
    <row r="722" spans="1:9">
      <c r="A722" s="1369"/>
      <c r="B722" s="1369"/>
      <c r="C722" s="1373"/>
      <c r="D722" s="1308"/>
      <c r="E722" s="1326"/>
      <c r="F722" s="1326"/>
      <c r="G722" s="1326"/>
      <c r="H722" s="1326"/>
      <c r="I722" s="1373"/>
    </row>
    <row r="723" spans="1:9">
      <c r="A723" s="1369"/>
      <c r="B723" s="1369"/>
      <c r="C723" s="1373"/>
      <c r="D723" s="1308"/>
      <c r="E723" s="1326"/>
      <c r="F723" s="1326"/>
      <c r="G723" s="1326"/>
      <c r="H723" s="1326"/>
      <c r="I723" s="1373"/>
    </row>
    <row r="724" spans="1:9">
      <c r="A724" s="1369"/>
      <c r="B724" s="1369"/>
      <c r="C724" s="1373"/>
      <c r="D724" s="1308"/>
      <c r="E724" s="1326"/>
      <c r="F724" s="1326"/>
      <c r="G724" s="1326"/>
      <c r="H724" s="1326"/>
      <c r="I724" s="1373"/>
    </row>
    <row r="725" spans="1:9">
      <c r="A725" s="1369"/>
      <c r="B725" s="1369"/>
      <c r="C725" s="1373"/>
      <c r="D725" s="1308"/>
      <c r="E725" s="1326"/>
      <c r="F725" s="1326"/>
      <c r="G725" s="1326"/>
      <c r="H725" s="1326"/>
      <c r="I725" s="1373"/>
    </row>
    <row r="726" spans="1:9">
      <c r="A726" s="1369"/>
      <c r="B726" s="1369"/>
      <c r="C726" s="1373"/>
      <c r="D726" s="1308"/>
      <c r="E726" s="1326"/>
      <c r="F726" s="1326"/>
      <c r="G726" s="1326"/>
      <c r="H726" s="1326"/>
      <c r="I726" s="1373"/>
    </row>
    <row r="727" spans="1:9">
      <c r="A727" s="1369"/>
      <c r="B727" s="1369"/>
      <c r="C727" s="1373"/>
      <c r="D727" s="1308"/>
      <c r="E727" s="1326"/>
      <c r="F727" s="1326"/>
      <c r="G727" s="1326"/>
      <c r="H727" s="1326"/>
      <c r="I727" s="1373"/>
    </row>
    <row r="728" spans="1:9">
      <c r="A728" s="1369"/>
      <c r="B728" s="1369"/>
      <c r="C728" s="1373"/>
      <c r="D728" s="1308"/>
      <c r="E728" s="1326"/>
      <c r="F728" s="1326"/>
      <c r="G728" s="1326"/>
      <c r="H728" s="1326"/>
      <c r="I728" s="1373"/>
    </row>
    <row r="729" spans="1:9">
      <c r="A729" s="1369"/>
      <c r="B729" s="1369"/>
      <c r="C729" s="1373"/>
      <c r="D729" s="1308"/>
      <c r="E729" s="1326"/>
      <c r="F729" s="1326"/>
      <c r="G729" s="1326"/>
      <c r="H729" s="1326"/>
      <c r="I729" s="1373"/>
    </row>
    <row r="730" spans="1:9">
      <c r="A730" s="1369"/>
      <c r="B730" s="1369"/>
      <c r="C730" s="1373"/>
      <c r="D730" s="1308"/>
      <c r="E730" s="1326"/>
      <c r="F730" s="1326"/>
      <c r="G730" s="1326"/>
      <c r="H730" s="1326"/>
      <c r="I730" s="1373"/>
    </row>
    <row r="731" spans="1:9">
      <c r="A731" s="1369"/>
      <c r="B731" s="1369"/>
      <c r="C731" s="1373"/>
      <c r="D731" s="1308"/>
      <c r="E731" s="1326"/>
      <c r="F731" s="1326"/>
      <c r="G731" s="1326"/>
      <c r="H731" s="1326"/>
      <c r="I731" s="1373"/>
    </row>
    <row r="732" spans="1:9">
      <c r="A732" s="1369"/>
      <c r="B732" s="1369"/>
      <c r="C732" s="1373"/>
      <c r="D732" s="1308"/>
      <c r="E732" s="1326"/>
      <c r="F732" s="1326"/>
      <c r="G732" s="1326"/>
      <c r="H732" s="1326"/>
      <c r="I732" s="1373"/>
    </row>
    <row r="733" spans="1:9">
      <c r="A733" s="1369"/>
      <c r="B733" s="1369"/>
      <c r="C733" s="1373"/>
      <c r="D733" s="1308"/>
      <c r="E733" s="1326"/>
      <c r="F733" s="1326"/>
      <c r="G733" s="1326"/>
      <c r="H733" s="1326"/>
      <c r="I733" s="1373"/>
    </row>
    <row r="734" spans="1:9">
      <c r="A734" s="1369"/>
      <c r="B734" s="1369"/>
      <c r="C734" s="1373"/>
      <c r="D734" s="1308"/>
      <c r="E734" s="1326"/>
      <c r="F734" s="1326"/>
      <c r="G734" s="1326"/>
      <c r="H734" s="1326"/>
      <c r="I734" s="1373"/>
    </row>
    <row r="735" spans="1:9">
      <c r="A735" s="1369"/>
      <c r="B735" s="1369"/>
      <c r="C735" s="1373"/>
      <c r="D735" s="1308"/>
      <c r="E735" s="1326"/>
      <c r="F735" s="1326"/>
      <c r="G735" s="1326"/>
      <c r="H735" s="1326"/>
      <c r="I735" s="1373"/>
    </row>
    <row r="736" spans="1:9">
      <c r="A736" s="1369"/>
      <c r="B736" s="1369"/>
      <c r="C736" s="1373"/>
      <c r="D736" s="1308"/>
      <c r="E736" s="1326"/>
      <c r="F736" s="1326"/>
      <c r="G736" s="1326"/>
      <c r="H736" s="1326"/>
      <c r="I736" s="1373"/>
    </row>
    <row r="737" spans="1:9">
      <c r="A737" s="1369"/>
      <c r="B737" s="1369"/>
      <c r="C737" s="1373"/>
      <c r="D737" s="1308"/>
      <c r="E737" s="1326"/>
      <c r="F737" s="1326"/>
      <c r="G737" s="1326"/>
      <c r="H737" s="1326"/>
      <c r="I737" s="1373"/>
    </row>
    <row r="738" spans="1:9">
      <c r="A738" s="1369"/>
      <c r="B738" s="1369"/>
      <c r="C738" s="1373"/>
      <c r="D738" s="1308"/>
      <c r="E738" s="1326"/>
      <c r="F738" s="1326"/>
      <c r="G738" s="1326"/>
      <c r="H738" s="1326"/>
      <c r="I738" s="1373"/>
    </row>
    <row r="739" spans="1:9">
      <c r="A739" s="1369"/>
      <c r="B739" s="1369"/>
      <c r="C739" s="1373"/>
      <c r="D739" s="1308"/>
      <c r="E739" s="1326"/>
      <c r="F739" s="1326"/>
      <c r="G739" s="1326"/>
      <c r="H739" s="1326"/>
      <c r="I739" s="1373"/>
    </row>
    <row r="740" spans="1:9">
      <c r="A740" s="1369"/>
      <c r="B740" s="1369"/>
      <c r="C740" s="1373"/>
      <c r="D740" s="1308"/>
      <c r="E740" s="1326"/>
      <c r="F740" s="1326"/>
      <c r="G740" s="1326"/>
      <c r="H740" s="1326"/>
      <c r="I740" s="1373"/>
    </row>
    <row r="741" spans="1:9">
      <c r="A741" s="1369"/>
      <c r="B741" s="1369"/>
      <c r="C741" s="1373"/>
      <c r="D741" s="1308"/>
      <c r="E741" s="1326"/>
      <c r="F741" s="1326"/>
      <c r="G741" s="1326"/>
      <c r="H741" s="1326"/>
      <c r="I741" s="1373"/>
    </row>
    <row r="742" spans="1:9">
      <c r="A742" s="1369"/>
      <c r="B742" s="1369"/>
      <c r="C742" s="1373"/>
      <c r="D742" s="1308"/>
      <c r="E742" s="1326"/>
      <c r="F742" s="1326"/>
      <c r="G742" s="1326"/>
      <c r="H742" s="1326"/>
      <c r="I742" s="1373"/>
    </row>
    <row r="743" spans="1:9">
      <c r="A743" s="1369"/>
      <c r="B743" s="1369"/>
      <c r="C743" s="1373"/>
      <c r="D743" s="1308"/>
      <c r="E743" s="1326"/>
      <c r="F743" s="1326"/>
      <c r="G743" s="1326"/>
      <c r="H743" s="1326"/>
      <c r="I743" s="1373"/>
    </row>
    <row r="744" spans="1:9">
      <c r="A744" s="1369"/>
      <c r="B744" s="1369"/>
      <c r="C744" s="1373"/>
      <c r="D744" s="1308"/>
      <c r="E744" s="1326"/>
      <c r="F744" s="1326"/>
      <c r="G744" s="1326"/>
      <c r="H744" s="1326"/>
      <c r="I744" s="1373"/>
    </row>
    <row r="745" spans="1:9">
      <c r="A745" s="1369"/>
      <c r="B745" s="1369"/>
      <c r="C745" s="1373"/>
      <c r="D745" s="1308"/>
      <c r="E745" s="1326"/>
      <c r="F745" s="1326"/>
      <c r="G745" s="1326"/>
      <c r="H745" s="1326"/>
      <c r="I745" s="1373"/>
    </row>
    <row r="746" spans="1:9">
      <c r="A746" s="1369"/>
      <c r="B746" s="1369"/>
      <c r="C746" s="1373"/>
      <c r="D746" s="1308"/>
      <c r="E746" s="1326"/>
      <c r="F746" s="1326"/>
      <c r="G746" s="1326"/>
      <c r="H746" s="1326"/>
      <c r="I746" s="1373"/>
    </row>
    <row r="747" spans="1:9">
      <c r="A747" s="1369"/>
      <c r="B747" s="1369"/>
      <c r="C747" s="1373"/>
      <c r="D747" s="1308"/>
      <c r="E747" s="1326"/>
      <c r="F747" s="1326"/>
      <c r="G747" s="1326"/>
      <c r="H747" s="1326"/>
      <c r="I747" s="1373"/>
    </row>
    <row r="748" spans="1:9">
      <c r="A748" s="1369"/>
      <c r="B748" s="1369"/>
      <c r="C748" s="1373"/>
      <c r="D748" s="1308"/>
      <c r="E748" s="1326"/>
      <c r="F748" s="1326"/>
      <c r="G748" s="1326"/>
      <c r="H748" s="1326"/>
      <c r="I748" s="1373"/>
    </row>
    <row r="749" spans="1:9">
      <c r="A749" s="1369"/>
      <c r="B749" s="1369"/>
      <c r="C749" s="1373"/>
      <c r="D749" s="1308"/>
      <c r="E749" s="1326"/>
      <c r="F749" s="1326"/>
      <c r="G749" s="1326"/>
      <c r="H749" s="1326"/>
      <c r="I749" s="1373"/>
    </row>
    <row r="750" spans="1:9">
      <c r="A750" s="1369"/>
      <c r="B750" s="1369"/>
      <c r="C750" s="1373"/>
      <c r="D750" s="1308"/>
      <c r="E750" s="1326"/>
      <c r="F750" s="1326"/>
      <c r="G750" s="1326"/>
      <c r="H750" s="1326"/>
      <c r="I750" s="1373"/>
    </row>
    <row r="751" spans="1:9">
      <c r="A751" s="1369"/>
      <c r="B751" s="1369"/>
      <c r="C751" s="1373"/>
      <c r="D751" s="1308"/>
      <c r="E751" s="1326"/>
      <c r="F751" s="1326"/>
      <c r="G751" s="1326"/>
      <c r="H751" s="1326"/>
      <c r="I751" s="1373"/>
    </row>
    <row r="752" spans="1:9">
      <c r="A752" s="1369"/>
      <c r="B752" s="1369"/>
      <c r="C752" s="1373"/>
      <c r="D752" s="1308"/>
      <c r="E752" s="1326"/>
      <c r="F752" s="1326"/>
      <c r="G752" s="1326"/>
      <c r="H752" s="1326"/>
      <c r="I752" s="1373"/>
    </row>
    <row r="753" spans="1:9">
      <c r="A753" s="1369"/>
      <c r="B753" s="1369"/>
      <c r="C753" s="1373"/>
      <c r="D753" s="1308"/>
      <c r="E753" s="1326"/>
      <c r="F753" s="1326"/>
      <c r="G753" s="1326"/>
      <c r="H753" s="1326"/>
      <c r="I753" s="1373"/>
    </row>
    <row r="754" spans="1:9">
      <c r="A754" s="1369"/>
      <c r="B754" s="1369"/>
      <c r="C754" s="1373"/>
      <c r="D754" s="1308"/>
      <c r="E754" s="1326"/>
      <c r="F754" s="1326"/>
      <c r="G754" s="1326"/>
      <c r="H754" s="1326"/>
      <c r="I754" s="1373"/>
    </row>
    <row r="755" spans="1:9">
      <c r="A755" s="1369"/>
      <c r="B755" s="1369"/>
      <c r="C755" s="1373"/>
      <c r="D755" s="1308"/>
      <c r="E755" s="1326"/>
      <c r="F755" s="1326"/>
      <c r="G755" s="1326"/>
      <c r="H755" s="1326"/>
      <c r="I755" s="1373"/>
    </row>
    <row r="756" spans="1:9">
      <c r="A756" s="1369"/>
      <c r="B756" s="1369"/>
      <c r="C756" s="1373"/>
      <c r="D756" s="1308"/>
      <c r="E756" s="1326"/>
      <c r="F756" s="1326"/>
      <c r="G756" s="1326"/>
      <c r="H756" s="1326"/>
      <c r="I756" s="1373"/>
    </row>
    <row r="757" spans="1:9">
      <c r="A757" s="1369"/>
      <c r="B757" s="1369"/>
      <c r="C757" s="1373"/>
      <c r="D757" s="1308"/>
      <c r="E757" s="1326"/>
      <c r="F757" s="1326"/>
      <c r="G757" s="1326"/>
      <c r="H757" s="1326"/>
      <c r="I757" s="1373"/>
    </row>
    <row r="758" spans="1:9">
      <c r="A758" s="1369"/>
      <c r="B758" s="1369"/>
      <c r="C758" s="1373"/>
      <c r="D758" s="1308"/>
      <c r="E758" s="1326"/>
      <c r="F758" s="1326"/>
      <c r="G758" s="1326"/>
      <c r="H758" s="1326"/>
      <c r="I758" s="1373"/>
    </row>
    <row r="759" spans="1:9">
      <c r="A759" s="1369"/>
      <c r="B759" s="1369"/>
      <c r="C759" s="1373"/>
      <c r="D759" s="1308"/>
      <c r="E759" s="1326"/>
      <c r="F759" s="1326"/>
      <c r="G759" s="1326"/>
      <c r="H759" s="1326"/>
      <c r="I759" s="1373"/>
    </row>
    <row r="760" spans="1:9">
      <c r="A760" s="1369"/>
      <c r="B760" s="1369"/>
      <c r="C760" s="1373"/>
      <c r="D760" s="1308"/>
      <c r="E760" s="1326"/>
      <c r="F760" s="1326"/>
      <c r="G760" s="1326"/>
      <c r="H760" s="1326"/>
      <c r="I760" s="1373"/>
    </row>
    <row r="761" spans="1:9">
      <c r="A761" s="1369"/>
      <c r="B761" s="1369"/>
      <c r="C761" s="1373"/>
      <c r="D761" s="1308"/>
      <c r="E761" s="1326"/>
      <c r="F761" s="1326"/>
      <c r="G761" s="1326"/>
      <c r="H761" s="1326"/>
      <c r="I761" s="1373"/>
    </row>
    <row r="762" spans="1:9">
      <c r="A762" s="1369"/>
      <c r="B762" s="1369"/>
      <c r="C762" s="1373"/>
      <c r="D762" s="1308"/>
      <c r="E762" s="1326"/>
      <c r="F762" s="1326"/>
      <c r="G762" s="1326"/>
      <c r="H762" s="1326"/>
      <c r="I762" s="1373"/>
    </row>
    <row r="763" spans="1:9">
      <c r="A763" s="1369"/>
      <c r="B763" s="1369"/>
      <c r="C763" s="1373"/>
      <c r="D763" s="1308"/>
      <c r="E763" s="1326"/>
      <c r="F763" s="1326"/>
      <c r="G763" s="1326"/>
      <c r="H763" s="1326"/>
      <c r="I763" s="1373"/>
    </row>
    <row r="764" spans="1:9">
      <c r="A764" s="1369"/>
      <c r="B764" s="1369"/>
      <c r="C764" s="1373"/>
      <c r="D764" s="1308"/>
      <c r="E764" s="1326"/>
      <c r="F764" s="1326"/>
      <c r="G764" s="1326"/>
      <c r="H764" s="1326"/>
      <c r="I764" s="1373"/>
    </row>
    <row r="765" spans="1:9">
      <c r="A765" s="1369"/>
      <c r="B765" s="1369"/>
      <c r="C765" s="1373"/>
      <c r="D765" s="1308"/>
      <c r="E765" s="1326"/>
      <c r="F765" s="1326"/>
      <c r="G765" s="1326"/>
      <c r="H765" s="1326"/>
      <c r="I765" s="1373"/>
    </row>
    <row r="766" spans="1:9">
      <c r="A766" s="1369"/>
      <c r="B766" s="1369"/>
      <c r="C766" s="1373"/>
      <c r="D766" s="1308"/>
      <c r="E766" s="1326"/>
      <c r="F766" s="1326"/>
      <c r="G766" s="1326"/>
      <c r="H766" s="1326"/>
      <c r="I766" s="1373"/>
    </row>
    <row r="767" spans="1:9">
      <c r="A767" s="1369"/>
      <c r="B767" s="1369"/>
      <c r="C767" s="1373"/>
      <c r="D767" s="1308"/>
      <c r="E767" s="1326"/>
      <c r="F767" s="1326"/>
      <c r="G767" s="1326"/>
      <c r="H767" s="1326"/>
      <c r="I767" s="1373"/>
    </row>
    <row r="768" spans="1:9">
      <c r="A768" s="1369"/>
      <c r="B768" s="1369"/>
      <c r="C768" s="1373"/>
      <c r="D768" s="1308"/>
      <c r="E768" s="1326"/>
      <c r="F768" s="1326"/>
      <c r="G768" s="1326"/>
      <c r="H768" s="1326"/>
      <c r="I768" s="1373"/>
    </row>
    <row r="769" spans="1:9">
      <c r="A769" s="1369"/>
      <c r="B769" s="1369"/>
      <c r="C769" s="1373"/>
      <c r="D769" s="1308"/>
      <c r="E769" s="1326"/>
      <c r="F769" s="1326"/>
      <c r="G769" s="1326"/>
      <c r="H769" s="1326"/>
      <c r="I769" s="1373"/>
    </row>
    <row r="770" spans="1:9">
      <c r="A770" s="1369"/>
      <c r="B770" s="1369"/>
      <c r="C770" s="1373"/>
      <c r="D770" s="1308"/>
      <c r="E770" s="1326"/>
      <c r="F770" s="1326"/>
      <c r="G770" s="1326"/>
      <c r="H770" s="1326"/>
      <c r="I770" s="1373"/>
    </row>
    <row r="771" spans="1:9">
      <c r="A771" s="1369"/>
      <c r="B771" s="1369"/>
      <c r="C771" s="1373"/>
      <c r="D771" s="1308"/>
      <c r="E771" s="1326"/>
      <c r="F771" s="1326"/>
      <c r="G771" s="1326"/>
      <c r="H771" s="1326"/>
      <c r="I771" s="1373"/>
    </row>
    <row r="772" spans="1:9">
      <c r="A772" s="1369"/>
      <c r="B772" s="1369"/>
      <c r="C772" s="1373"/>
      <c r="D772" s="1308"/>
      <c r="E772" s="1326"/>
      <c r="F772" s="1326"/>
      <c r="G772" s="1326"/>
      <c r="H772" s="1326"/>
      <c r="I772" s="1373"/>
    </row>
    <row r="773" spans="1:9">
      <c r="A773" s="1369"/>
      <c r="B773" s="1369"/>
      <c r="C773" s="1373"/>
      <c r="D773" s="1308"/>
      <c r="E773" s="1326"/>
      <c r="F773" s="1326"/>
      <c r="G773" s="1326"/>
      <c r="H773" s="1326"/>
      <c r="I773" s="1373"/>
    </row>
    <row r="774" spans="1:9">
      <c r="A774" s="1369"/>
      <c r="B774" s="1369"/>
      <c r="C774" s="1373"/>
      <c r="D774" s="1308"/>
      <c r="E774" s="1326"/>
      <c r="F774" s="1326"/>
      <c r="G774" s="1326"/>
      <c r="H774" s="1326"/>
      <c r="I774" s="1373"/>
    </row>
    <row r="775" spans="1:9">
      <c r="A775" s="1369"/>
      <c r="B775" s="1369"/>
      <c r="C775" s="1373"/>
      <c r="D775" s="1308"/>
      <c r="E775" s="1326"/>
      <c r="F775" s="1326"/>
      <c r="G775" s="1326"/>
      <c r="H775" s="1326"/>
      <c r="I775" s="1373"/>
    </row>
    <row r="776" spans="1:9">
      <c r="A776" s="1369"/>
      <c r="B776" s="1369"/>
      <c r="C776" s="1373"/>
      <c r="D776" s="1308"/>
      <c r="E776" s="1326"/>
      <c r="F776" s="1326"/>
      <c r="G776" s="1326"/>
      <c r="H776" s="1326"/>
      <c r="I776" s="1373"/>
    </row>
    <row r="777" spans="1:9">
      <c r="A777" s="1369"/>
      <c r="B777" s="1369"/>
      <c r="C777" s="1373"/>
      <c r="D777" s="1308"/>
      <c r="E777" s="1326"/>
      <c r="F777" s="1326"/>
      <c r="G777" s="1326"/>
      <c r="H777" s="1326"/>
      <c r="I777" s="1373"/>
    </row>
    <row r="778" spans="1:9">
      <c r="A778" s="1369"/>
      <c r="B778" s="1369"/>
      <c r="C778" s="1373"/>
      <c r="D778" s="1308"/>
      <c r="E778" s="1326"/>
      <c r="F778" s="1326"/>
      <c r="G778" s="1326"/>
      <c r="H778" s="1326"/>
      <c r="I778" s="1373"/>
    </row>
    <row r="779" spans="1:9">
      <c r="A779" s="1369"/>
      <c r="B779" s="1369"/>
      <c r="C779" s="1373"/>
      <c r="D779" s="1308"/>
      <c r="E779" s="1326"/>
      <c r="F779" s="1326"/>
      <c r="G779" s="1326"/>
      <c r="H779" s="1326"/>
      <c r="I779" s="1373"/>
    </row>
    <row r="780" spans="1:9">
      <c r="A780" s="1369"/>
      <c r="B780" s="1369"/>
      <c r="C780" s="1373"/>
      <c r="D780" s="1308"/>
      <c r="E780" s="1326"/>
      <c r="F780" s="1326"/>
      <c r="G780" s="1326"/>
      <c r="H780" s="1326"/>
      <c r="I780" s="1373"/>
    </row>
    <row r="781" spans="1:9">
      <c r="A781" s="1369"/>
      <c r="B781" s="1369"/>
      <c r="C781" s="1373"/>
      <c r="D781" s="1308"/>
      <c r="E781" s="1326"/>
      <c r="F781" s="1326"/>
      <c r="G781" s="1326"/>
      <c r="H781" s="1326"/>
      <c r="I781" s="1373"/>
    </row>
    <row r="782" spans="1:9">
      <c r="A782" s="1369"/>
      <c r="B782" s="1369"/>
      <c r="C782" s="1373"/>
      <c r="D782" s="1308"/>
      <c r="E782" s="1326"/>
      <c r="F782" s="1326"/>
      <c r="G782" s="1326"/>
      <c r="H782" s="1326"/>
      <c r="I782" s="1373"/>
    </row>
    <row r="783" spans="1:9">
      <c r="A783" s="1369"/>
      <c r="B783" s="1369"/>
      <c r="C783" s="1373"/>
      <c r="D783" s="1308"/>
      <c r="E783" s="1326"/>
      <c r="F783" s="1326"/>
      <c r="G783" s="1326"/>
      <c r="H783" s="1326"/>
      <c r="I783" s="1373"/>
    </row>
    <row r="784" spans="1:9">
      <c r="A784" s="1369"/>
      <c r="B784" s="1369"/>
      <c r="C784" s="1373"/>
      <c r="D784" s="1308"/>
      <c r="E784" s="1326"/>
      <c r="F784" s="1326"/>
      <c r="G784" s="1326"/>
      <c r="H784" s="1326"/>
      <c r="I784" s="1373"/>
    </row>
    <row r="785" spans="1:9">
      <c r="A785" s="1369"/>
      <c r="B785" s="1369"/>
      <c r="C785" s="1373"/>
      <c r="D785" s="1308"/>
      <c r="E785" s="1326"/>
      <c r="F785" s="1326"/>
      <c r="G785" s="1326"/>
      <c r="H785" s="1326"/>
      <c r="I785" s="1373"/>
    </row>
    <row r="786" spans="1:9">
      <c r="A786" s="1369"/>
      <c r="B786" s="1369"/>
      <c r="C786" s="1373"/>
      <c r="D786" s="1308"/>
      <c r="E786" s="1326"/>
      <c r="F786" s="1326"/>
      <c r="G786" s="1326"/>
      <c r="H786" s="1326"/>
      <c r="I786" s="1373"/>
    </row>
    <row r="787" spans="1:9">
      <c r="A787" s="1369"/>
      <c r="B787" s="1369"/>
      <c r="C787" s="1373"/>
      <c r="D787" s="1308"/>
      <c r="E787" s="1326"/>
      <c r="F787" s="1326"/>
      <c r="G787" s="1326"/>
      <c r="H787" s="1326"/>
      <c r="I787" s="1373"/>
    </row>
    <row r="788" spans="1:9">
      <c r="A788" s="1369"/>
      <c r="B788" s="1369"/>
      <c r="C788" s="1373"/>
      <c r="D788" s="1308"/>
      <c r="E788" s="1326"/>
      <c r="F788" s="1326"/>
      <c r="G788" s="1326"/>
      <c r="H788" s="1326"/>
      <c r="I788" s="1373"/>
    </row>
    <row r="789" spans="1:9">
      <c r="A789" s="1369"/>
      <c r="B789" s="1369"/>
      <c r="C789" s="1373"/>
      <c r="D789" s="1308"/>
      <c r="E789" s="1326"/>
      <c r="F789" s="1326"/>
      <c r="G789" s="1326"/>
      <c r="H789" s="1326"/>
      <c r="I789" s="1373"/>
    </row>
    <row r="790" spans="1:9">
      <c r="A790" s="1369"/>
      <c r="B790" s="1369"/>
      <c r="C790" s="1373"/>
      <c r="D790" s="1308"/>
      <c r="E790" s="1326"/>
      <c r="F790" s="1326"/>
      <c r="G790" s="1326"/>
      <c r="H790" s="1326"/>
      <c r="I790" s="1373"/>
    </row>
    <row r="791" spans="1:9">
      <c r="A791" s="1369"/>
      <c r="B791" s="1369"/>
      <c r="C791" s="1373"/>
      <c r="D791" s="1308"/>
      <c r="E791" s="1326"/>
      <c r="F791" s="1326"/>
      <c r="G791" s="1326"/>
      <c r="H791" s="1326"/>
      <c r="I791" s="1373"/>
    </row>
    <row r="792" spans="1:9">
      <c r="A792" s="1369"/>
      <c r="B792" s="1369"/>
      <c r="C792" s="1373"/>
      <c r="D792" s="1308"/>
      <c r="E792" s="1326"/>
      <c r="F792" s="1326"/>
      <c r="G792" s="1326"/>
      <c r="H792" s="1326"/>
      <c r="I792" s="1373"/>
    </row>
    <row r="793" spans="1:9">
      <c r="A793" s="1369"/>
      <c r="B793" s="1369"/>
      <c r="C793" s="1373"/>
      <c r="D793" s="1308"/>
      <c r="E793" s="1326"/>
      <c r="F793" s="1326"/>
      <c r="G793" s="1326"/>
      <c r="H793" s="1326"/>
      <c r="I793" s="1373"/>
    </row>
    <row r="794" spans="1:9">
      <c r="A794" s="1369"/>
      <c r="B794" s="1369"/>
      <c r="C794" s="1373"/>
      <c r="D794" s="1308"/>
      <c r="E794" s="1326"/>
      <c r="F794" s="1326"/>
      <c r="G794" s="1326"/>
      <c r="H794" s="1326"/>
      <c r="I794" s="1373"/>
    </row>
    <row r="795" spans="1:9">
      <c r="A795" s="1369"/>
      <c r="B795" s="1369"/>
      <c r="C795" s="1373"/>
      <c r="D795" s="1308"/>
      <c r="E795" s="1326"/>
      <c r="F795" s="1326"/>
      <c r="G795" s="1326"/>
      <c r="H795" s="1326"/>
      <c r="I795" s="1373"/>
    </row>
    <row r="796" spans="1:9">
      <c r="A796" s="1369"/>
      <c r="B796" s="1369"/>
      <c r="C796" s="1373"/>
      <c r="D796" s="1308"/>
      <c r="E796" s="1326"/>
      <c r="F796" s="1326"/>
      <c r="G796" s="1326"/>
      <c r="H796" s="1326"/>
      <c r="I796" s="1373"/>
    </row>
    <row r="797" spans="1:9">
      <c r="A797" s="1369"/>
      <c r="B797" s="1369"/>
      <c r="C797" s="1373"/>
      <c r="D797" s="1308"/>
      <c r="E797" s="1326"/>
      <c r="F797" s="1326"/>
      <c r="G797" s="1326"/>
      <c r="H797" s="1326"/>
      <c r="I797" s="1373"/>
    </row>
    <row r="798" spans="1:9">
      <c r="A798" s="1369"/>
      <c r="B798" s="1369"/>
      <c r="C798" s="1373"/>
      <c r="D798" s="1308"/>
      <c r="E798" s="1326"/>
      <c r="F798" s="1326"/>
      <c r="G798" s="1326"/>
      <c r="H798" s="1326"/>
      <c r="I798" s="1373"/>
    </row>
    <row r="799" spans="1:9">
      <c r="A799" s="1369"/>
      <c r="B799" s="1369"/>
      <c r="C799" s="1373"/>
      <c r="D799" s="1308"/>
      <c r="E799" s="1326"/>
      <c r="F799" s="1326"/>
      <c r="G799" s="1326"/>
      <c r="H799" s="1326"/>
      <c r="I799" s="1373"/>
    </row>
    <row r="800" spans="1:9">
      <c r="A800" s="1369"/>
      <c r="B800" s="1369"/>
      <c r="C800" s="1373"/>
      <c r="D800" s="1308"/>
      <c r="E800" s="1326"/>
      <c r="F800" s="1326"/>
      <c r="G800" s="1326"/>
      <c r="H800" s="1326"/>
      <c r="I800" s="1373"/>
    </row>
    <row r="801" spans="1:9">
      <c r="A801" s="1369"/>
      <c r="B801" s="1369"/>
      <c r="C801" s="1373"/>
      <c r="D801" s="1308"/>
      <c r="E801" s="1326"/>
      <c r="F801" s="1326"/>
      <c r="G801" s="1326"/>
      <c r="H801" s="1326"/>
      <c r="I801" s="1373"/>
    </row>
    <row r="802" spans="1:9">
      <c r="A802" s="1369"/>
      <c r="B802" s="1369"/>
      <c r="C802" s="1373"/>
      <c r="D802" s="1308"/>
      <c r="E802" s="1326"/>
      <c r="F802" s="1326"/>
      <c r="G802" s="1326"/>
      <c r="H802" s="1326"/>
      <c r="I802" s="1373"/>
    </row>
    <row r="803" spans="1:9">
      <c r="A803" s="1369"/>
      <c r="B803" s="1369"/>
      <c r="C803" s="1373"/>
      <c r="D803" s="1308"/>
      <c r="E803" s="1326"/>
      <c r="F803" s="1326"/>
      <c r="G803" s="1326"/>
      <c r="H803" s="1326"/>
      <c r="I803" s="1373"/>
    </row>
    <row r="804" spans="1:9">
      <c r="A804" s="1369"/>
      <c r="B804" s="1369"/>
      <c r="C804" s="1373"/>
      <c r="D804" s="1308"/>
      <c r="E804" s="1326"/>
      <c r="F804" s="1326"/>
      <c r="G804" s="1326"/>
      <c r="H804" s="1326"/>
      <c r="I804" s="1373"/>
    </row>
    <row r="805" spans="1:9">
      <c r="A805" s="1369"/>
      <c r="B805" s="1369"/>
      <c r="C805" s="1373"/>
      <c r="D805" s="1308"/>
      <c r="E805" s="1326"/>
      <c r="F805" s="1326"/>
      <c r="G805" s="1326"/>
      <c r="H805" s="1326"/>
      <c r="I805" s="1373"/>
    </row>
    <row r="806" spans="1:9">
      <c r="A806" s="1369"/>
      <c r="B806" s="1369"/>
      <c r="C806" s="1373"/>
      <c r="D806" s="1308"/>
      <c r="E806" s="1326"/>
      <c r="F806" s="1326"/>
      <c r="G806" s="1326"/>
      <c r="H806" s="1326"/>
      <c r="I806" s="1373"/>
    </row>
    <row r="807" spans="1:9">
      <c r="A807" s="1369"/>
      <c r="B807" s="1369"/>
      <c r="C807" s="1373"/>
      <c r="D807" s="1308"/>
      <c r="E807" s="1326"/>
      <c r="F807" s="1326"/>
      <c r="G807" s="1326"/>
      <c r="H807" s="1326"/>
      <c r="I807" s="1373"/>
    </row>
    <row r="808" spans="1:9">
      <c r="A808" s="1369"/>
      <c r="B808" s="1369"/>
      <c r="C808" s="1373"/>
      <c r="D808" s="1308"/>
      <c r="E808" s="1326"/>
      <c r="F808" s="1326"/>
      <c r="G808" s="1326"/>
      <c r="H808" s="1326"/>
      <c r="I808" s="1373"/>
    </row>
    <row r="809" spans="1:9">
      <c r="A809" s="1369"/>
      <c r="B809" s="1369"/>
      <c r="C809" s="1373"/>
      <c r="D809" s="1308"/>
      <c r="E809" s="1326"/>
      <c r="F809" s="1326"/>
      <c r="G809" s="1326"/>
      <c r="H809" s="1326"/>
      <c r="I809" s="1373"/>
    </row>
    <row r="810" spans="1:9">
      <c r="A810" s="1369"/>
      <c r="B810" s="1369"/>
      <c r="C810" s="1373"/>
      <c r="D810" s="1308"/>
      <c r="E810" s="1326"/>
      <c r="F810" s="1326"/>
      <c r="G810" s="1326"/>
      <c r="H810" s="1326"/>
      <c r="I810" s="1373"/>
    </row>
    <row r="811" spans="1:9">
      <c r="A811" s="1369"/>
      <c r="B811" s="1369"/>
      <c r="C811" s="1373"/>
      <c r="D811" s="1308"/>
      <c r="E811" s="1326"/>
      <c r="F811" s="1326"/>
      <c r="G811" s="1326"/>
      <c r="H811" s="1326"/>
      <c r="I811" s="1373"/>
    </row>
    <row r="812" spans="1:9">
      <c r="A812" s="1369"/>
      <c r="B812" s="1369"/>
      <c r="C812" s="1373"/>
      <c r="D812" s="1308"/>
      <c r="E812" s="1326"/>
      <c r="F812" s="1326"/>
      <c r="G812" s="1326"/>
      <c r="H812" s="1326"/>
      <c r="I812" s="1373"/>
    </row>
    <row r="813" spans="1:9">
      <c r="A813" s="1369"/>
      <c r="B813" s="1369"/>
      <c r="C813" s="1373"/>
      <c r="D813" s="1308"/>
      <c r="E813" s="1326"/>
      <c r="F813" s="1326"/>
      <c r="G813" s="1326"/>
      <c r="H813" s="1326"/>
      <c r="I813" s="1373"/>
    </row>
    <row r="814" spans="1:9">
      <c r="A814" s="1369"/>
      <c r="B814" s="1369"/>
      <c r="C814" s="1373"/>
      <c r="D814" s="1308"/>
      <c r="E814" s="1326"/>
      <c r="F814" s="1326"/>
      <c r="G814" s="1326"/>
      <c r="H814" s="1326"/>
      <c r="I814" s="1373"/>
    </row>
    <row r="815" spans="1:9">
      <c r="A815" s="1369"/>
      <c r="B815" s="1369"/>
      <c r="C815" s="1373"/>
      <c r="D815" s="1308"/>
      <c r="E815" s="1326"/>
      <c r="F815" s="1326"/>
      <c r="G815" s="1326"/>
      <c r="H815" s="1326"/>
      <c r="I815" s="1373"/>
    </row>
    <row r="816" spans="1:9">
      <c r="A816" s="1369"/>
      <c r="B816" s="1369"/>
      <c r="C816" s="1373"/>
      <c r="D816" s="1308"/>
      <c r="E816" s="1326"/>
      <c r="F816" s="1326"/>
      <c r="G816" s="1326"/>
      <c r="H816" s="1326"/>
      <c r="I816" s="1373"/>
    </row>
    <row r="817" spans="1:9">
      <c r="A817" s="1369"/>
      <c r="B817" s="1369"/>
      <c r="C817" s="1373"/>
      <c r="D817" s="1308"/>
      <c r="E817" s="1326"/>
      <c r="F817" s="1326"/>
      <c r="G817" s="1326"/>
      <c r="H817" s="1326"/>
      <c r="I817" s="1373"/>
    </row>
    <row r="818" spans="1:9">
      <c r="A818" s="1369"/>
      <c r="B818" s="1369"/>
      <c r="C818" s="1373"/>
      <c r="D818" s="1308"/>
      <c r="E818" s="1326"/>
      <c r="F818" s="1326"/>
      <c r="G818" s="1326"/>
      <c r="H818" s="1326"/>
      <c r="I818" s="1373"/>
    </row>
    <row r="819" spans="1:9">
      <c r="A819" s="1369"/>
      <c r="B819" s="1369"/>
      <c r="C819" s="1373"/>
      <c r="D819" s="1308"/>
      <c r="E819" s="1326"/>
      <c r="F819" s="1326"/>
      <c r="G819" s="1326"/>
      <c r="H819" s="1326"/>
      <c r="I819" s="1373"/>
    </row>
    <row r="820" spans="1:9">
      <c r="A820" s="1369"/>
      <c r="B820" s="1369"/>
      <c r="C820" s="1373"/>
      <c r="D820" s="1308"/>
      <c r="E820" s="1326"/>
      <c r="F820" s="1326"/>
      <c r="G820" s="1326"/>
      <c r="H820" s="1326"/>
      <c r="I820" s="1373"/>
    </row>
    <row r="821" spans="1:9">
      <c r="A821" s="1369"/>
      <c r="B821" s="1369"/>
      <c r="C821" s="1373"/>
      <c r="D821" s="1308"/>
      <c r="E821" s="1326"/>
      <c r="F821" s="1326"/>
      <c r="G821" s="1326"/>
      <c r="H821" s="1326"/>
      <c r="I821" s="1373"/>
    </row>
    <row r="822" spans="1:9">
      <c r="A822" s="1369"/>
      <c r="B822" s="1369"/>
      <c r="C822" s="1373"/>
      <c r="D822" s="1308"/>
      <c r="E822" s="1326"/>
      <c r="F822" s="1326"/>
      <c r="G822" s="1326"/>
      <c r="H822" s="1326"/>
      <c r="I822" s="1373"/>
    </row>
    <row r="823" spans="1:9">
      <c r="A823" s="1369"/>
      <c r="B823" s="1369"/>
      <c r="C823" s="1373"/>
      <c r="D823" s="1308"/>
      <c r="E823" s="1326"/>
      <c r="F823" s="1326"/>
      <c r="G823" s="1326"/>
      <c r="H823" s="1326"/>
      <c r="I823" s="1373"/>
    </row>
    <row r="824" spans="1:9">
      <c r="A824" s="1369"/>
      <c r="B824" s="1369"/>
      <c r="C824" s="1373"/>
      <c r="D824" s="1308"/>
      <c r="E824" s="1326"/>
      <c r="F824" s="1326"/>
      <c r="G824" s="1326"/>
      <c r="H824" s="1326"/>
      <c r="I824" s="1373"/>
    </row>
    <row r="825" spans="1:9">
      <c r="A825" s="1369"/>
      <c r="B825" s="1369"/>
      <c r="C825" s="1373"/>
      <c r="D825" s="1308"/>
      <c r="E825" s="1326"/>
      <c r="F825" s="1326"/>
      <c r="G825" s="1326"/>
      <c r="H825" s="1326"/>
      <c r="I825" s="1373"/>
    </row>
    <row r="826" spans="1:9">
      <c r="A826" s="1369"/>
      <c r="B826" s="1369"/>
      <c r="C826" s="1373"/>
      <c r="D826" s="1308"/>
      <c r="E826" s="1326"/>
      <c r="F826" s="1326"/>
      <c r="G826" s="1326"/>
      <c r="H826" s="1326"/>
      <c r="I826" s="1373"/>
    </row>
    <row r="827" spans="1:9">
      <c r="A827" s="1369"/>
      <c r="B827" s="1369"/>
      <c r="C827" s="1373"/>
      <c r="D827" s="1308"/>
      <c r="E827" s="1326"/>
      <c r="F827" s="1326"/>
      <c r="G827" s="1326"/>
      <c r="H827" s="1326"/>
      <c r="I827" s="1373"/>
    </row>
    <row r="828" spans="1:9">
      <c r="A828" s="1369"/>
      <c r="B828" s="1369"/>
      <c r="C828" s="1373"/>
      <c r="D828" s="1308"/>
      <c r="E828" s="1326"/>
      <c r="F828" s="1326"/>
      <c r="G828" s="1326"/>
      <c r="H828" s="1326"/>
      <c r="I828" s="1373"/>
    </row>
    <row r="829" spans="1:9">
      <c r="A829" s="1369"/>
      <c r="B829" s="1369"/>
      <c r="C829" s="1373"/>
      <c r="D829" s="1308"/>
      <c r="E829" s="1326"/>
      <c r="F829" s="1326"/>
      <c r="G829" s="1326"/>
      <c r="H829" s="1326"/>
      <c r="I829" s="1373"/>
    </row>
    <row r="830" spans="1:9">
      <c r="A830" s="1369"/>
      <c r="B830" s="1369"/>
      <c r="C830" s="1373"/>
      <c r="D830" s="1308"/>
      <c r="E830" s="1326"/>
      <c r="F830" s="1326"/>
      <c r="G830" s="1326"/>
      <c r="H830" s="1326"/>
      <c r="I830" s="1373"/>
    </row>
    <row r="831" spans="1:9">
      <c r="A831" s="1369"/>
      <c r="B831" s="1369"/>
      <c r="C831" s="1373"/>
      <c r="D831" s="1308"/>
      <c r="E831" s="1326"/>
      <c r="F831" s="1326"/>
      <c r="G831" s="1326"/>
      <c r="H831" s="1326"/>
      <c r="I831" s="1373"/>
    </row>
    <row r="832" spans="1:9">
      <c r="A832" s="1369"/>
      <c r="B832" s="1369"/>
      <c r="C832" s="1373"/>
      <c r="D832" s="1308"/>
      <c r="E832" s="1326"/>
      <c r="F832" s="1326"/>
      <c r="G832" s="1326"/>
      <c r="H832" s="1326"/>
      <c r="I832" s="1373"/>
    </row>
    <row r="833" spans="1:9">
      <c r="A833" s="1369"/>
      <c r="B833" s="1369"/>
      <c r="C833" s="1373"/>
      <c r="D833" s="1308"/>
      <c r="E833" s="1326"/>
      <c r="F833" s="1326"/>
      <c r="G833" s="1326"/>
      <c r="H833" s="1326"/>
      <c r="I833" s="1373"/>
    </row>
    <row r="834" spans="1:9">
      <c r="A834" s="1369"/>
      <c r="B834" s="1369"/>
      <c r="C834" s="1373"/>
      <c r="D834" s="1308"/>
      <c r="E834" s="1326"/>
      <c r="F834" s="1326"/>
      <c r="G834" s="1326"/>
      <c r="H834" s="1326"/>
      <c r="I834" s="1373"/>
    </row>
    <row r="835" spans="1:9">
      <c r="A835" s="1369"/>
      <c r="B835" s="1369"/>
      <c r="C835" s="1373"/>
      <c r="D835" s="1308"/>
      <c r="E835" s="1326"/>
      <c r="F835" s="1326"/>
      <c r="G835" s="1326"/>
      <c r="H835" s="1326"/>
      <c r="I835" s="1373"/>
    </row>
    <row r="836" spans="1:9">
      <c r="A836" s="1369"/>
      <c r="B836" s="1369"/>
      <c r="C836" s="1373"/>
      <c r="D836" s="1308"/>
      <c r="E836" s="1326"/>
      <c r="F836" s="1326"/>
      <c r="G836" s="1326"/>
      <c r="H836" s="1326"/>
      <c r="I836" s="1373"/>
    </row>
    <row r="837" spans="1:9">
      <c r="A837" s="1369"/>
      <c r="B837" s="1369"/>
      <c r="C837" s="1373"/>
      <c r="D837" s="1308"/>
      <c r="E837" s="1326"/>
      <c r="F837" s="1326"/>
      <c r="G837" s="1326"/>
      <c r="H837" s="1326"/>
      <c r="I837" s="1373"/>
    </row>
    <row r="838" spans="1:9">
      <c r="A838" s="1369"/>
      <c r="B838" s="1369"/>
      <c r="C838" s="1373"/>
      <c r="D838" s="1308"/>
      <c r="E838" s="1326"/>
      <c r="F838" s="1326"/>
      <c r="G838" s="1326"/>
      <c r="H838" s="1326"/>
      <c r="I838" s="1373"/>
    </row>
    <row r="839" spans="1:9">
      <c r="A839" s="1369"/>
      <c r="B839" s="1369"/>
      <c r="C839" s="1373"/>
      <c r="D839" s="1308"/>
      <c r="E839" s="1326"/>
      <c r="F839" s="1326"/>
      <c r="G839" s="1326"/>
      <c r="H839" s="1326"/>
      <c r="I839" s="1373"/>
    </row>
    <row r="840" spans="1:9">
      <c r="A840" s="1369"/>
      <c r="B840" s="1369"/>
      <c r="C840" s="1373"/>
      <c r="D840" s="1308"/>
      <c r="E840" s="1326"/>
      <c r="F840" s="1326"/>
      <c r="G840" s="1326"/>
      <c r="H840" s="1326"/>
      <c r="I840" s="1373"/>
    </row>
    <row r="841" spans="1:9">
      <c r="A841" s="1369"/>
      <c r="B841" s="1369"/>
      <c r="C841" s="1373"/>
      <c r="D841" s="1308"/>
      <c r="E841" s="1326"/>
      <c r="F841" s="1326"/>
      <c r="G841" s="1326"/>
      <c r="H841" s="1326"/>
      <c r="I841" s="1373"/>
    </row>
    <row r="842" spans="1:9">
      <c r="A842" s="1369"/>
      <c r="B842" s="1369"/>
      <c r="C842" s="1373"/>
      <c r="D842" s="1308"/>
      <c r="E842" s="1326"/>
      <c r="F842" s="1326"/>
      <c r="G842" s="1326"/>
      <c r="H842" s="1326"/>
      <c r="I842" s="1373"/>
    </row>
    <row r="843" spans="1:9">
      <c r="A843" s="1369"/>
      <c r="B843" s="1369"/>
      <c r="C843" s="1373"/>
      <c r="D843" s="1308"/>
      <c r="E843" s="1326"/>
      <c r="F843" s="1326"/>
      <c r="G843" s="1326"/>
      <c r="H843" s="1326"/>
      <c r="I843" s="1373"/>
    </row>
    <row r="844" spans="1:9">
      <c r="A844" s="1369"/>
      <c r="B844" s="1369"/>
      <c r="C844" s="1373"/>
      <c r="D844" s="1308"/>
      <c r="E844" s="1326"/>
      <c r="F844" s="1326"/>
      <c r="G844" s="1326"/>
      <c r="H844" s="1326"/>
      <c r="I844" s="1373"/>
    </row>
    <row r="845" spans="1:9">
      <c r="A845" s="1369"/>
      <c r="B845" s="1369"/>
      <c r="C845" s="1373"/>
      <c r="D845" s="1308"/>
      <c r="E845" s="1326"/>
      <c r="F845" s="1326"/>
      <c r="G845" s="1326"/>
      <c r="H845" s="1326"/>
      <c r="I845" s="1373"/>
    </row>
    <row r="846" spans="1:9">
      <c r="A846" s="1369"/>
      <c r="B846" s="1369"/>
      <c r="C846" s="1373"/>
      <c r="D846" s="1308"/>
      <c r="E846" s="1326"/>
      <c r="F846" s="1326"/>
      <c r="G846" s="1326"/>
      <c r="H846" s="1326"/>
      <c r="I846" s="1373"/>
    </row>
    <row r="847" spans="1:9">
      <c r="A847" s="1369"/>
      <c r="B847" s="1369"/>
      <c r="C847" s="1373"/>
      <c r="D847" s="1308"/>
      <c r="E847" s="1326"/>
      <c r="F847" s="1326"/>
      <c r="G847" s="1326"/>
      <c r="H847" s="1326"/>
      <c r="I847" s="1373"/>
    </row>
    <row r="848" spans="1:9">
      <c r="A848" s="1369"/>
      <c r="B848" s="1369"/>
      <c r="C848" s="1373"/>
      <c r="D848" s="1308"/>
      <c r="E848" s="1326"/>
      <c r="F848" s="1326"/>
      <c r="G848" s="1326"/>
      <c r="H848" s="1326"/>
      <c r="I848" s="1373"/>
    </row>
    <row r="849" spans="1:9">
      <c r="A849" s="1369"/>
      <c r="B849" s="1369"/>
      <c r="C849" s="1373"/>
      <c r="D849" s="1308"/>
      <c r="E849" s="1326"/>
      <c r="F849" s="1326"/>
      <c r="G849" s="1326"/>
      <c r="H849" s="1326"/>
      <c r="I849" s="1373"/>
    </row>
    <row r="850" spans="1:9">
      <c r="A850" s="1369"/>
      <c r="B850" s="1369"/>
      <c r="C850" s="1373"/>
      <c r="D850" s="1308"/>
      <c r="E850" s="1326"/>
      <c r="F850" s="1326"/>
      <c r="G850" s="1326"/>
      <c r="H850" s="1326"/>
      <c r="I850" s="1373"/>
    </row>
    <row r="851" spans="1:9">
      <c r="A851" s="1369"/>
      <c r="B851" s="1369"/>
      <c r="C851" s="1373"/>
      <c r="D851" s="1308"/>
      <c r="E851" s="1326"/>
      <c r="F851" s="1326"/>
      <c r="G851" s="1326"/>
      <c r="H851" s="1326"/>
      <c r="I851" s="1373"/>
    </row>
    <row r="852" spans="1:9">
      <c r="A852" s="1369"/>
      <c r="B852" s="1369"/>
      <c r="C852" s="1373"/>
      <c r="D852" s="1308"/>
      <c r="E852" s="1326"/>
      <c r="F852" s="1326"/>
      <c r="G852" s="1326"/>
      <c r="H852" s="1326"/>
      <c r="I852" s="1373"/>
    </row>
    <row r="853" spans="1:9">
      <c r="A853" s="1369"/>
      <c r="B853" s="1369"/>
      <c r="C853" s="1373"/>
      <c r="D853" s="1308"/>
      <c r="E853" s="1326"/>
      <c r="F853" s="1326"/>
      <c r="G853" s="1326"/>
      <c r="H853" s="1326"/>
      <c r="I853" s="1373"/>
    </row>
    <row r="854" spans="1:9">
      <c r="A854" s="1369"/>
      <c r="B854" s="1369"/>
      <c r="C854" s="1373"/>
      <c r="D854" s="1308"/>
      <c r="E854" s="1326"/>
      <c r="F854" s="1326"/>
      <c r="G854" s="1326"/>
      <c r="H854" s="1326"/>
      <c r="I854" s="1373"/>
    </row>
    <row r="855" spans="1:9">
      <c r="A855" s="1369"/>
      <c r="B855" s="1369"/>
      <c r="C855" s="1373"/>
      <c r="D855" s="1308"/>
      <c r="E855" s="1326"/>
      <c r="F855" s="1326"/>
      <c r="G855" s="1326"/>
      <c r="H855" s="1326"/>
      <c r="I855" s="1373"/>
    </row>
    <row r="856" spans="1:9">
      <c r="A856" s="1369"/>
      <c r="B856" s="1369"/>
      <c r="C856" s="1373"/>
      <c r="D856" s="1308"/>
      <c r="E856" s="1326"/>
      <c r="F856" s="1326"/>
      <c r="G856" s="1326"/>
      <c r="H856" s="1326"/>
      <c r="I856" s="1373"/>
    </row>
    <row r="857" spans="1:9">
      <c r="A857" s="1369"/>
      <c r="B857" s="1369"/>
      <c r="C857" s="1373"/>
      <c r="D857" s="1308"/>
      <c r="E857" s="1326"/>
      <c r="F857" s="1326"/>
      <c r="G857" s="1326"/>
      <c r="H857" s="1326"/>
      <c r="I857" s="1373"/>
    </row>
    <row r="858" spans="1:9">
      <c r="A858" s="1369"/>
      <c r="B858" s="1369"/>
      <c r="C858" s="1373"/>
      <c r="D858" s="1308"/>
      <c r="E858" s="1326"/>
      <c r="F858" s="1326"/>
      <c r="G858" s="1326"/>
      <c r="H858" s="1326"/>
      <c r="I858" s="1373"/>
    </row>
    <row r="859" spans="1:9">
      <c r="A859" s="1369"/>
      <c r="B859" s="1369"/>
      <c r="C859" s="1373"/>
      <c r="D859" s="1308"/>
      <c r="E859" s="1326"/>
      <c r="F859" s="1326"/>
      <c r="G859" s="1326"/>
      <c r="H859" s="1326"/>
      <c r="I859" s="1373"/>
    </row>
    <row r="860" spans="1:9">
      <c r="A860" s="1369"/>
      <c r="B860" s="1369"/>
      <c r="C860" s="1373"/>
      <c r="D860" s="1308"/>
      <c r="E860" s="1326"/>
      <c r="F860" s="1326"/>
      <c r="G860" s="1326"/>
      <c r="H860" s="1326"/>
      <c r="I860" s="1373"/>
    </row>
    <row r="861" spans="1:9">
      <c r="A861" s="1369"/>
      <c r="B861" s="1369"/>
      <c r="C861" s="1373"/>
      <c r="D861" s="1308"/>
      <c r="E861" s="1326"/>
      <c r="F861" s="1326"/>
      <c r="G861" s="1326"/>
      <c r="H861" s="1326"/>
      <c r="I861" s="1373"/>
    </row>
    <row r="862" spans="1:9">
      <c r="A862" s="1369"/>
      <c r="B862" s="1369"/>
      <c r="C862" s="1373"/>
      <c r="D862" s="1308"/>
      <c r="E862" s="1326"/>
      <c r="F862" s="1326"/>
      <c r="G862" s="1326"/>
      <c r="H862" s="1326"/>
      <c r="I862" s="1373"/>
    </row>
    <row r="863" spans="1:9">
      <c r="A863" s="1369"/>
      <c r="B863" s="1369"/>
      <c r="C863" s="1373"/>
      <c r="D863" s="1308"/>
      <c r="E863" s="1326"/>
      <c r="F863" s="1326"/>
      <c r="G863" s="1326"/>
      <c r="H863" s="1326"/>
      <c r="I863" s="1373"/>
    </row>
    <row r="864" spans="1:9">
      <c r="A864" s="1369"/>
      <c r="B864" s="1369"/>
      <c r="C864" s="1373"/>
      <c r="D864" s="1308"/>
      <c r="E864" s="1326"/>
      <c r="F864" s="1326"/>
      <c r="G864" s="1326"/>
      <c r="H864" s="1326"/>
      <c r="I864" s="1373"/>
    </row>
    <row r="865" spans="1:9">
      <c r="A865" s="1369"/>
      <c r="B865" s="1369"/>
      <c r="C865" s="1373"/>
      <c r="D865" s="1308"/>
      <c r="E865" s="1326"/>
      <c r="F865" s="1326"/>
      <c r="G865" s="1326"/>
      <c r="H865" s="1326"/>
      <c r="I865" s="1373"/>
    </row>
    <row r="866" spans="1:9">
      <c r="A866" s="1369"/>
      <c r="B866" s="1369"/>
      <c r="C866" s="1373"/>
      <c r="D866" s="1308"/>
      <c r="E866" s="1326"/>
      <c r="F866" s="1326"/>
      <c r="G866" s="1326"/>
      <c r="H866" s="1326"/>
      <c r="I866" s="1373"/>
    </row>
    <row r="867" spans="1:9">
      <c r="A867" s="1369"/>
      <c r="B867" s="1369"/>
      <c r="C867" s="1373"/>
      <c r="D867" s="1308"/>
      <c r="E867" s="1326"/>
      <c r="F867" s="1326"/>
      <c r="G867" s="1326"/>
      <c r="H867" s="1326"/>
      <c r="I867" s="1373"/>
    </row>
  </sheetData>
  <mergeCells count="6">
    <mergeCell ref="C458:H458"/>
    <mergeCell ref="C186:H186"/>
    <mergeCell ref="C208:H208"/>
    <mergeCell ref="C212:H212"/>
    <mergeCell ref="C294:H294"/>
    <mergeCell ref="A447:C447"/>
  </mergeCells>
  <pageMargins left="0.25" right="0.28000000000000003" top="0.63" bottom="0.18" header="0.7" footer="0.18"/>
  <pageSetup scale="49" fitToHeight="10" orientation="landscape" r:id="rId1"/>
  <rowBreaks count="1" manualBreakCount="1">
    <brk id="28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121"/>
  <sheetViews>
    <sheetView workbookViewId="0"/>
  </sheetViews>
  <sheetFormatPr defaultColWidth="9.140625" defaultRowHeight="12.75"/>
  <cols>
    <col min="1" max="2" width="4.7109375" style="437" customWidth="1"/>
    <col min="3" max="3" width="59.85546875" style="437" customWidth="1"/>
    <col min="4" max="4" width="14.7109375" style="437" customWidth="1"/>
    <col min="5" max="5" width="14.7109375" style="1389"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7"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86" t="s">
        <v>225</v>
      </c>
      <c r="B1" s="1386"/>
      <c r="C1" s="1386"/>
      <c r="D1" s="1386"/>
      <c r="E1" s="1386"/>
      <c r="F1" s="1386"/>
      <c r="G1" s="1386"/>
      <c r="H1" s="1387"/>
      <c r="J1" s="1307"/>
      <c r="K1" s="437"/>
    </row>
    <row r="2" spans="1:11" ht="16.5">
      <c r="A2" s="1555" t="s">
        <v>174</v>
      </c>
      <c r="B2" s="1388"/>
      <c r="C2" s="1388"/>
      <c r="D2" s="1388"/>
      <c r="E2" s="1388"/>
      <c r="F2" s="1388"/>
      <c r="G2" s="1388"/>
      <c r="H2" s="1387"/>
      <c r="J2" s="1307"/>
      <c r="K2" s="437"/>
    </row>
    <row r="3" spans="1:11">
      <c r="D3" s="1389"/>
      <c r="E3" s="437"/>
      <c r="J3" s="1307"/>
      <c r="K3" s="437"/>
    </row>
    <row r="4" spans="1:11">
      <c r="D4" s="1389"/>
      <c r="E4" s="437"/>
      <c r="J4" s="1307"/>
      <c r="K4" s="437"/>
    </row>
    <row r="5" spans="1:11">
      <c r="D5" s="829"/>
      <c r="E5" s="829"/>
      <c r="F5" s="829"/>
      <c r="G5" s="829"/>
      <c r="H5" s="829"/>
      <c r="J5" s="1307"/>
      <c r="K5" s="437"/>
    </row>
    <row r="6" spans="1:11" ht="25.5">
      <c r="A6" s="1390" t="s">
        <v>232</v>
      </c>
      <c r="B6" s="1390"/>
      <c r="C6" s="1391"/>
      <c r="D6" s="621" t="s">
        <v>932</v>
      </c>
      <c r="E6" s="614" t="s">
        <v>305</v>
      </c>
      <c r="F6" s="621" t="s">
        <v>933</v>
      </c>
      <c r="G6" s="829"/>
      <c r="H6" s="829"/>
      <c r="K6" s="437"/>
    </row>
    <row r="7" spans="1:11">
      <c r="D7" s="1392"/>
      <c r="E7" s="437"/>
      <c r="F7" s="829"/>
      <c r="G7" s="829"/>
      <c r="H7" s="607"/>
      <c r="K7" s="437"/>
    </row>
    <row r="8" spans="1:11" ht="25.5">
      <c r="A8" s="601"/>
      <c r="B8" s="1390" t="s">
        <v>72</v>
      </c>
      <c r="C8" s="1391"/>
      <c r="D8" s="1393"/>
      <c r="E8" s="1394" t="s">
        <v>277</v>
      </c>
      <c r="F8" s="614"/>
      <c r="G8" s="829"/>
      <c r="H8" s="607"/>
      <c r="K8" s="437"/>
    </row>
    <row r="9" spans="1:11" ht="12.75" customHeight="1">
      <c r="A9" s="601"/>
      <c r="B9" s="1395" t="s">
        <v>412</v>
      </c>
      <c r="C9" s="724"/>
      <c r="D9" s="1396">
        <f>SUM(G66:G75)</f>
        <v>144814231</v>
      </c>
      <c r="E9" s="1397"/>
      <c r="F9" s="832"/>
      <c r="G9" s="832"/>
      <c r="H9" s="1398"/>
      <c r="K9" s="437"/>
    </row>
    <row r="10" spans="1:11" ht="12.75" customHeight="1">
      <c r="A10" s="601"/>
      <c r="B10" s="1395" t="s">
        <v>348</v>
      </c>
      <c r="C10" s="724"/>
      <c r="D10" s="1396">
        <f>SUM(G76:G81)</f>
        <v>511740</v>
      </c>
      <c r="E10" s="1397"/>
      <c r="F10" s="832"/>
      <c r="G10" s="832"/>
      <c r="H10" s="1398"/>
      <c r="K10" s="437"/>
    </row>
    <row r="11" spans="1:11" ht="12.75" customHeight="1">
      <c r="A11" s="601"/>
      <c r="B11" s="1395"/>
      <c r="C11" s="1399"/>
      <c r="D11" s="1396"/>
      <c r="E11" s="437"/>
      <c r="H11" s="1398"/>
      <c r="K11" s="437"/>
    </row>
    <row r="12" spans="1:11" ht="12.75" customHeight="1">
      <c r="A12" s="601">
        <v>1</v>
      </c>
      <c r="B12" s="1400" t="s">
        <v>75</v>
      </c>
      <c r="C12" s="1401"/>
      <c r="D12" s="1402">
        <f>SUM(D9:D11)</f>
        <v>145325971</v>
      </c>
      <c r="E12" s="1562">
        <f>Allocator.net.plant</f>
        <v>0.26207536255640557</v>
      </c>
      <c r="F12" s="1402">
        <f>+D12*E12</f>
        <v>38086356.538686678</v>
      </c>
      <c r="G12" s="1403"/>
      <c r="H12" s="436"/>
      <c r="I12" s="436"/>
      <c r="K12" s="437"/>
    </row>
    <row r="13" spans="1:11" ht="12.75" customHeight="1">
      <c r="A13" s="601"/>
      <c r="D13" s="1404"/>
      <c r="E13" s="1405"/>
      <c r="F13" s="1405"/>
      <c r="G13" s="1405"/>
      <c r="H13" s="436"/>
      <c r="I13" s="436"/>
      <c r="K13" s="437"/>
    </row>
    <row r="14" spans="1:11" ht="25.5">
      <c r="A14" s="601"/>
      <c r="B14" s="1390" t="s">
        <v>73</v>
      </c>
      <c r="C14" s="1391"/>
      <c r="D14" s="1406"/>
      <c r="E14" s="1407" t="s">
        <v>271</v>
      </c>
      <c r="F14" s="1408"/>
      <c r="G14" s="1405"/>
      <c r="H14" s="1398"/>
      <c r="K14" s="437"/>
    </row>
    <row r="15" spans="1:11" ht="12.75" customHeight="1">
      <c r="A15" s="601"/>
      <c r="B15" s="1395" t="s">
        <v>36</v>
      </c>
      <c r="C15" s="724"/>
      <c r="D15" s="1409">
        <v>0</v>
      </c>
      <c r="E15" s="1410"/>
      <c r="F15" s="1410"/>
      <c r="G15" s="1410"/>
      <c r="H15" s="1398"/>
      <c r="K15" s="437"/>
    </row>
    <row r="16" spans="1:11" ht="12.75" customHeight="1">
      <c r="A16" s="601"/>
      <c r="B16" s="1395" t="s">
        <v>37</v>
      </c>
      <c r="C16" s="724"/>
      <c r="D16" s="1409">
        <v>0</v>
      </c>
      <c r="E16" s="437"/>
      <c r="H16" s="1398"/>
      <c r="K16" s="437"/>
    </row>
    <row r="17" spans="1:18" ht="12.75" customHeight="1">
      <c r="A17" s="601"/>
      <c r="B17" s="1395" t="s">
        <v>419</v>
      </c>
      <c r="C17" s="724"/>
      <c r="D17" s="1409">
        <v>0</v>
      </c>
      <c r="E17" s="437"/>
      <c r="H17" s="1398"/>
      <c r="K17" s="437"/>
    </row>
    <row r="18" spans="1:18" ht="12.75" customHeight="1">
      <c r="A18" s="601"/>
      <c r="B18" s="1395"/>
      <c r="C18" s="724"/>
      <c r="D18" s="1409"/>
      <c r="E18" s="437"/>
      <c r="H18" s="1411"/>
      <c r="K18" s="437"/>
    </row>
    <row r="19" spans="1:18" ht="12.75" customHeight="1">
      <c r="A19" s="601">
        <f>A12+1</f>
        <v>2</v>
      </c>
      <c r="B19" s="1400" t="s">
        <v>76</v>
      </c>
      <c r="C19" s="1401"/>
      <c r="D19" s="1402">
        <f>SUM(D15:D18)</f>
        <v>0</v>
      </c>
      <c r="E19" s="1563">
        <f>Allocator.wages.salary</f>
        <v>8.4851850814689656E-2</v>
      </c>
      <c r="F19" s="1402">
        <f>+E19*D19</f>
        <v>0</v>
      </c>
      <c r="G19" s="1403"/>
      <c r="H19" s="1411"/>
      <c r="K19" s="437"/>
    </row>
    <row r="20" spans="1:18" ht="12.75" customHeight="1">
      <c r="A20" s="601"/>
      <c r="B20" s="606"/>
      <c r="C20" s="1404"/>
      <c r="D20" s="1389"/>
      <c r="E20" s="832"/>
      <c r="H20" s="1411"/>
      <c r="K20" s="437"/>
    </row>
    <row r="21" spans="1:18" ht="12.75" customHeight="1">
      <c r="A21" s="601"/>
      <c r="D21" s="1389"/>
      <c r="E21" s="437"/>
      <c r="H21" s="1411"/>
      <c r="K21" s="437"/>
    </row>
    <row r="22" spans="1:18" ht="25.5">
      <c r="A22" s="601"/>
      <c r="B22" s="1390" t="s">
        <v>74</v>
      </c>
      <c r="C22" s="1391"/>
      <c r="D22" s="1412"/>
      <c r="E22" s="1394" t="s">
        <v>277</v>
      </c>
      <c r="F22" s="1391"/>
      <c r="H22" s="1411"/>
      <c r="K22" s="437"/>
    </row>
    <row r="23" spans="1:18" ht="12.75" customHeight="1">
      <c r="A23" s="601"/>
      <c r="B23" s="1395" t="s">
        <v>421</v>
      </c>
      <c r="C23" s="724"/>
      <c r="D23" s="1396">
        <f>G82</f>
        <v>70926</v>
      </c>
      <c r="E23" s="437" t="s">
        <v>0</v>
      </c>
      <c r="H23" s="1413"/>
      <c r="K23" s="437"/>
    </row>
    <row r="24" spans="1:18">
      <c r="A24" s="601"/>
      <c r="B24" s="1395"/>
      <c r="C24" s="724"/>
      <c r="D24" s="1414"/>
      <c r="E24" s="437"/>
      <c r="F24" s="1415"/>
      <c r="G24" s="1415"/>
      <c r="K24" s="437"/>
    </row>
    <row r="25" spans="1:18">
      <c r="A25" s="601">
        <f>A19+1</f>
        <v>3</v>
      </c>
      <c r="B25" s="1400" t="s">
        <v>77</v>
      </c>
      <c r="C25" s="1401"/>
      <c r="D25" s="1402">
        <f>SUM(D23:D24)</f>
        <v>70926</v>
      </c>
      <c r="E25" s="1562">
        <f>Allocator.net.plant</f>
        <v>0.26207536255640557</v>
      </c>
      <c r="F25" s="1402">
        <f>+E25*D25</f>
        <v>18587.957164675619</v>
      </c>
      <c r="G25" s="1403"/>
      <c r="K25" s="437"/>
    </row>
    <row r="26" spans="1:18">
      <c r="A26" s="601"/>
      <c r="D26" s="1389"/>
      <c r="E26" s="437"/>
      <c r="K26" s="437"/>
    </row>
    <row r="27" spans="1:18" ht="13.5" thickBot="1">
      <c r="A27" s="601">
        <f>A25+1</f>
        <v>4</v>
      </c>
      <c r="B27" s="1400" t="str">
        <f>"Appendix A input: Total Included Taxes (Lines "&amp;A12&amp;" + "&amp;A19&amp;" + "&amp;A25&amp;")"</f>
        <v>Appendix A input: Total Included Taxes (Lines 1 + 2 + 3)</v>
      </c>
      <c r="C27" s="1401"/>
      <c r="D27" s="1416">
        <f>D12+D19+D25</f>
        <v>145396897</v>
      </c>
      <c r="E27" s="1401"/>
      <c r="F27" s="1417">
        <f>+F25+F19+F12</f>
        <v>38104944.495851353</v>
      </c>
      <c r="G27" s="1403"/>
      <c r="H27" s="832" t="s">
        <v>1032</v>
      </c>
      <c r="K27" s="437"/>
    </row>
    <row r="28" spans="1:18" ht="13.5" thickTop="1">
      <c r="A28" s="601"/>
      <c r="C28" s="1418"/>
      <c r="D28" s="1389"/>
      <c r="E28" s="437"/>
      <c r="K28" s="437"/>
    </row>
    <row r="29" spans="1:18">
      <c r="A29" s="601"/>
      <c r="C29" s="1418"/>
      <c r="D29" s="1389"/>
      <c r="E29" s="1419"/>
      <c r="J29" s="1307"/>
      <c r="K29" s="832"/>
      <c r="N29" s="330"/>
      <c r="O29" s="832"/>
      <c r="P29" s="832"/>
      <c r="Q29" s="832"/>
      <c r="R29" s="832"/>
    </row>
    <row r="30" spans="1:18">
      <c r="A30" s="601"/>
      <c r="B30" s="1390" t="s">
        <v>78</v>
      </c>
      <c r="C30" s="1391"/>
      <c r="D30" s="1412"/>
      <c r="E30" s="437"/>
      <c r="F30" s="832"/>
      <c r="G30" s="832"/>
      <c r="H30" s="436"/>
      <c r="J30" s="1420"/>
      <c r="K30" s="437"/>
      <c r="N30" s="832"/>
      <c r="O30" s="832"/>
      <c r="P30" s="1421"/>
      <c r="Q30" s="832"/>
      <c r="R30" s="832"/>
    </row>
    <row r="31" spans="1:18">
      <c r="A31" s="601"/>
      <c r="B31" s="702" t="str">
        <f>C85</f>
        <v>Local Franchise</v>
      </c>
      <c r="C31" s="724"/>
      <c r="D31" s="1396">
        <f>G85</f>
        <v>33901588</v>
      </c>
      <c r="E31" s="1422"/>
      <c r="F31" s="832"/>
      <c r="G31" s="832"/>
      <c r="H31" s="436"/>
      <c r="J31" s="1307"/>
      <c r="K31" s="437"/>
      <c r="N31" s="832"/>
      <c r="O31" s="832"/>
      <c r="P31" s="1421"/>
      <c r="Q31" s="832"/>
      <c r="R31" s="832"/>
    </row>
    <row r="32" spans="1:18">
      <c r="A32" s="601"/>
      <c r="B32" s="702" t="str">
        <f t="shared" ref="B32:B38" si="0">C89</f>
        <v>Montana Energy License</v>
      </c>
      <c r="C32" s="724"/>
      <c r="D32" s="1396">
        <f t="shared" ref="D32:D38" si="1">G89</f>
        <v>205239</v>
      </c>
      <c r="E32" s="1423"/>
      <c r="F32" s="832"/>
      <c r="G32" s="832"/>
      <c r="H32" s="436"/>
      <c r="J32" s="1307"/>
      <c r="K32" s="437"/>
      <c r="N32" s="832"/>
      <c r="O32" s="832"/>
      <c r="P32" s="1421"/>
      <c r="Q32" s="832"/>
      <c r="R32" s="832"/>
    </row>
    <row r="33" spans="1:19">
      <c r="A33" s="601"/>
      <c r="B33" s="702" t="str">
        <f t="shared" si="0"/>
        <v>Montana Wholesale Energy</v>
      </c>
      <c r="C33" s="724"/>
      <c r="D33" s="1396">
        <f t="shared" si="1"/>
        <v>146233</v>
      </c>
      <c r="E33" s="1423"/>
      <c r="F33" s="832"/>
      <c r="G33" s="832"/>
      <c r="H33" s="436"/>
      <c r="J33" s="1307"/>
      <c r="K33" s="437"/>
      <c r="N33" s="832"/>
      <c r="O33" s="832"/>
      <c r="P33" s="1421"/>
      <c r="Q33" s="832"/>
      <c r="R33" s="832"/>
    </row>
    <row r="34" spans="1:19">
      <c r="A34" s="601"/>
      <c r="B34" s="702" t="str">
        <f t="shared" si="0"/>
        <v>Idaho Generation Tax (KWh)</v>
      </c>
      <c r="C34" s="724"/>
      <c r="D34" s="1396">
        <f t="shared" si="1"/>
        <v>78800</v>
      </c>
      <c r="E34" s="1424"/>
      <c r="F34" s="832"/>
      <c r="G34" s="832"/>
      <c r="H34" s="436"/>
      <c r="J34" s="1307"/>
      <c r="K34" s="437"/>
      <c r="N34" s="832"/>
      <c r="O34" s="832"/>
      <c r="P34" s="1421"/>
      <c r="Q34" s="832"/>
      <c r="R34" s="832"/>
    </row>
    <row r="35" spans="1:19">
      <c r="A35" s="601"/>
      <c r="B35" s="702" t="str">
        <f t="shared" si="0"/>
        <v>Oregon Department of Energy</v>
      </c>
      <c r="C35" s="1425"/>
      <c r="D35" s="1396">
        <f t="shared" si="1"/>
        <v>1614478</v>
      </c>
      <c r="E35" s="1423"/>
      <c r="F35" s="832"/>
      <c r="G35" s="832"/>
      <c r="H35" s="436"/>
      <c r="J35" s="1307"/>
      <c r="K35" s="437"/>
      <c r="N35" s="832"/>
      <c r="O35" s="832"/>
      <c r="P35" s="1421"/>
      <c r="Q35" s="832"/>
      <c r="R35" s="832"/>
    </row>
    <row r="36" spans="1:19">
      <c r="A36" s="601"/>
      <c r="B36" s="1426" t="str">
        <f t="shared" si="0"/>
        <v>Wyoming Wind Generation Tax</v>
      </c>
      <c r="C36" s="1425"/>
      <c r="D36" s="1396">
        <f t="shared" si="1"/>
        <v>1811786</v>
      </c>
      <c r="E36" s="1423"/>
      <c r="F36" s="832"/>
      <c r="G36" s="832"/>
      <c r="H36" s="436"/>
      <c r="J36" s="1307"/>
      <c r="K36" s="437"/>
      <c r="N36" s="832"/>
      <c r="O36" s="832"/>
      <c r="P36" s="1421"/>
      <c r="Q36" s="832"/>
      <c r="R36" s="832"/>
    </row>
    <row r="37" spans="1:19">
      <c r="A37" s="601"/>
      <c r="B37" s="702" t="str">
        <f t="shared" si="0"/>
        <v>Washington Public Utility Tax</v>
      </c>
      <c r="C37" s="702"/>
      <c r="D37" s="1396">
        <f t="shared" si="1"/>
        <v>13451381</v>
      </c>
      <c r="E37" s="1423"/>
      <c r="F37" s="832"/>
      <c r="G37" s="832"/>
      <c r="H37" s="436"/>
      <c r="J37" s="1307"/>
      <c r="K37" s="437"/>
    </row>
    <row r="38" spans="1:19">
      <c r="A38" s="601"/>
      <c r="B38" s="702" t="str">
        <f t="shared" si="0"/>
        <v>Other (Navajo Nation, Business &amp; Occupation, Other)</v>
      </c>
      <c r="C38" s="702"/>
      <c r="D38" s="1396">
        <f t="shared" si="1"/>
        <v>47308</v>
      </c>
      <c r="E38" s="1423"/>
      <c r="F38" s="832"/>
      <c r="G38" s="832"/>
      <c r="H38" s="436"/>
      <c r="J38" s="1307"/>
      <c r="K38" s="437"/>
    </row>
    <row r="39" spans="1:19">
      <c r="A39" s="601"/>
      <c r="B39" s="702"/>
      <c r="C39" s="702"/>
      <c r="D39" s="1396"/>
      <c r="E39" s="1423"/>
      <c r="F39" s="832"/>
      <c r="G39" s="832"/>
      <c r="H39" s="436"/>
      <c r="J39" s="1307"/>
      <c r="K39" s="437"/>
    </row>
    <row r="40" spans="1:19">
      <c r="A40" s="601">
        <f>A27+1</f>
        <v>5</v>
      </c>
      <c r="B40" s="1427" t="s">
        <v>1074</v>
      </c>
      <c r="C40" s="1427"/>
      <c r="D40" s="1402">
        <f>SUM(D31:D39)</f>
        <v>51256813</v>
      </c>
      <c r="E40" s="1428"/>
      <c r="F40" s="1428"/>
      <c r="G40" s="1428"/>
      <c r="H40" s="436"/>
      <c r="J40" s="1307"/>
      <c r="K40" s="437"/>
    </row>
    <row r="41" spans="1:19">
      <c r="A41" s="601"/>
      <c r="C41" s="832"/>
      <c r="D41" s="1429"/>
      <c r="E41" s="2607"/>
      <c r="H41" s="436"/>
      <c r="J41" s="1307"/>
      <c r="K41" s="437"/>
    </row>
    <row r="42" spans="1:19">
      <c r="A42" s="601">
        <f>+A40+1</f>
        <v>6</v>
      </c>
      <c r="B42" s="1430" t="str">
        <f>"Total Other Taxes Included and Excluded (Line "&amp;A27&amp;" + Line "&amp;A40&amp;")"</f>
        <v>Total Other Taxes Included and Excluded (Line 4 + Line 5)</v>
      </c>
      <c r="C42" s="1322"/>
      <c r="D42" s="1431">
        <f>D40+D27</f>
        <v>196653710</v>
      </c>
      <c r="E42" s="1428"/>
      <c r="F42" s="1428"/>
      <c r="G42" s="1428"/>
      <c r="H42" s="436"/>
      <c r="J42" s="1307"/>
      <c r="K42" s="437"/>
    </row>
    <row r="43" spans="1:19">
      <c r="A43" s="601"/>
      <c r="B43" s="832"/>
      <c r="C43" s="1311"/>
      <c r="D43" s="1432"/>
      <c r="E43" s="832"/>
      <c r="J43" s="1307"/>
      <c r="K43" s="437"/>
    </row>
    <row r="44" spans="1:19">
      <c r="B44" s="1430" t="s">
        <v>1146</v>
      </c>
      <c r="C44" s="1322"/>
      <c r="E44" s="1433"/>
      <c r="F44" s="1433"/>
      <c r="G44" s="1433"/>
      <c r="J44" s="1307"/>
      <c r="K44" s="437"/>
    </row>
    <row r="45" spans="1:19">
      <c r="A45" s="601">
        <f>+A42+1</f>
        <v>7</v>
      </c>
      <c r="B45" s="832"/>
      <c r="C45" s="1434" t="s">
        <v>1143</v>
      </c>
      <c r="D45" s="1435">
        <f>INDEX(Inputs_EndYrBal,MATCH(C45,Inputs_FF1_Map,0))</f>
        <v>196653710</v>
      </c>
      <c r="E45" s="1433"/>
      <c r="F45" s="1433"/>
      <c r="G45" s="1433"/>
      <c r="H45" s="832" t="s">
        <v>2102</v>
      </c>
      <c r="I45" s="832"/>
      <c r="J45" s="1299"/>
      <c r="K45" s="437"/>
    </row>
    <row r="46" spans="1:19">
      <c r="B46" s="832"/>
      <c r="C46" s="1300"/>
      <c r="D46" s="1436"/>
      <c r="E46" s="1433"/>
      <c r="F46" s="1433"/>
      <c r="G46" s="1433"/>
      <c r="H46" s="832"/>
      <c r="I46" s="832"/>
      <c r="J46" s="1299"/>
      <c r="K46" s="437"/>
    </row>
    <row r="47" spans="1:19">
      <c r="A47" s="601">
        <f>A45+1</f>
        <v>8</v>
      </c>
      <c r="B47" s="832"/>
      <c r="C47" s="1300" t="str">
        <f>"Difference  (Line "&amp;A42&amp;" - Line "&amp;A45&amp;")"</f>
        <v>Difference  (Line 6 - Line 7)</v>
      </c>
      <c r="D47" s="1437">
        <f>+D42-D45</f>
        <v>0</v>
      </c>
      <c r="E47" s="1438"/>
      <c r="G47" s="436"/>
      <c r="H47" s="1309" t="s">
        <v>1380</v>
      </c>
      <c r="I47" s="436"/>
      <c r="J47" s="1299"/>
      <c r="K47" s="437"/>
      <c r="M47" s="832"/>
      <c r="N47" s="321"/>
      <c r="O47" s="832"/>
      <c r="P47" s="832"/>
      <c r="Q47" s="832"/>
      <c r="R47" s="832"/>
      <c r="S47" s="832"/>
    </row>
    <row r="48" spans="1:19">
      <c r="B48" s="832"/>
      <c r="C48" s="1300"/>
      <c r="D48" s="1439"/>
      <c r="E48" s="1433"/>
      <c r="F48" s="1433"/>
      <c r="G48" s="1433"/>
      <c r="H48" s="832"/>
      <c r="I48" s="832"/>
      <c r="J48" s="1299"/>
      <c r="K48" s="437"/>
      <c r="M48" s="832"/>
      <c r="N48" s="832"/>
      <c r="O48" s="832"/>
      <c r="P48" s="832"/>
      <c r="Q48" s="832"/>
      <c r="R48" s="832"/>
      <c r="S48" s="832"/>
    </row>
    <row r="49" spans="2:19">
      <c r="B49" s="832" t="s">
        <v>291</v>
      </c>
      <c r="C49" s="832"/>
      <c r="D49" s="1419"/>
      <c r="E49" s="1440"/>
      <c r="F49" s="1440"/>
      <c r="G49" s="1440"/>
      <c r="H49" s="832"/>
      <c r="I49" s="832"/>
      <c r="J49" s="1299"/>
      <c r="K49" s="437"/>
      <c r="M49" s="832"/>
      <c r="N49" s="832"/>
      <c r="O49" s="832"/>
      <c r="P49" s="832"/>
      <c r="Q49" s="832"/>
      <c r="R49" s="832"/>
      <c r="S49" s="832"/>
    </row>
    <row r="50" spans="2:19">
      <c r="B50" s="832" t="s">
        <v>227</v>
      </c>
      <c r="C50" s="832" t="s">
        <v>39</v>
      </c>
      <c r="D50" s="1419"/>
      <c r="E50" s="1440"/>
      <c r="F50" s="1440"/>
      <c r="G50" s="1440"/>
      <c r="H50" s="832"/>
      <c r="I50" s="832"/>
      <c r="J50" s="1299"/>
      <c r="K50" s="437"/>
      <c r="M50" s="832"/>
      <c r="N50" s="832"/>
      <c r="O50" s="832"/>
      <c r="P50" s="832"/>
      <c r="Q50" s="832"/>
      <c r="R50" s="832"/>
      <c r="S50" s="832"/>
    </row>
    <row r="51" spans="2:19">
      <c r="B51" s="832"/>
      <c r="C51" s="1299" t="s">
        <v>40</v>
      </c>
      <c r="D51" s="1419"/>
      <c r="E51" s="832"/>
      <c r="F51" s="1440"/>
      <c r="G51" s="1440"/>
      <c r="H51" s="832"/>
      <c r="I51" s="832"/>
      <c r="J51" s="1299"/>
      <c r="K51" s="437"/>
    </row>
    <row r="52" spans="2:19">
      <c r="B52" s="832" t="s">
        <v>283</v>
      </c>
      <c r="C52" s="832" t="s">
        <v>203</v>
      </c>
      <c r="D52" s="1419"/>
      <c r="E52" s="832"/>
      <c r="F52" s="1440"/>
      <c r="G52" s="1440"/>
      <c r="H52" s="832"/>
      <c r="I52" s="832"/>
      <c r="J52" s="1299"/>
      <c r="K52" s="437"/>
    </row>
    <row r="53" spans="2:19">
      <c r="B53" s="832"/>
      <c r="C53" s="1299" t="s">
        <v>40</v>
      </c>
      <c r="D53" s="1419"/>
      <c r="E53" s="832"/>
      <c r="F53" s="1440"/>
      <c r="G53" s="1440"/>
      <c r="H53" s="832"/>
      <c r="I53" s="832"/>
      <c r="J53" s="1299"/>
      <c r="K53" s="437"/>
    </row>
    <row r="54" spans="2:19">
      <c r="B54" s="832" t="s">
        <v>215</v>
      </c>
      <c r="C54" s="832" t="s">
        <v>47</v>
      </c>
      <c r="D54" s="1419"/>
      <c r="E54" s="832"/>
      <c r="F54" s="1440"/>
      <c r="G54" s="1440"/>
      <c r="H54" s="832"/>
      <c r="I54" s="832"/>
      <c r="J54" s="1299"/>
      <c r="K54" s="437"/>
    </row>
    <row r="55" spans="2:19">
      <c r="B55" s="832" t="s">
        <v>228</v>
      </c>
      <c r="C55" s="1299" t="s">
        <v>41</v>
      </c>
      <c r="D55" s="1419"/>
      <c r="E55" s="832"/>
      <c r="F55" s="1440"/>
      <c r="G55" s="1440"/>
      <c r="H55" s="832"/>
      <c r="I55" s="832"/>
      <c r="J55" s="1299"/>
      <c r="K55" s="437"/>
    </row>
    <row r="56" spans="2:19">
      <c r="B56" s="832"/>
      <c r="C56" s="832" t="s">
        <v>42</v>
      </c>
      <c r="D56" s="1419"/>
      <c r="E56" s="832"/>
      <c r="F56" s="832"/>
      <c r="G56" s="832"/>
      <c r="H56" s="832"/>
      <c r="I56" s="832"/>
      <c r="J56" s="1299"/>
      <c r="K56" s="437"/>
    </row>
    <row r="57" spans="2:19">
      <c r="B57" s="832"/>
      <c r="C57" s="832" t="s">
        <v>1300</v>
      </c>
      <c r="D57" s="1389"/>
      <c r="E57" s="437"/>
      <c r="H57" s="832"/>
      <c r="I57" s="832"/>
      <c r="J57" s="1299"/>
      <c r="K57" s="437"/>
    </row>
    <row r="58" spans="2:19">
      <c r="B58" s="832" t="s">
        <v>226</v>
      </c>
      <c r="C58" s="832" t="s">
        <v>324</v>
      </c>
      <c r="D58" s="1389"/>
      <c r="E58" s="437"/>
      <c r="J58" s="1307"/>
      <c r="K58" s="437"/>
    </row>
    <row r="59" spans="2:19">
      <c r="C59" s="832"/>
      <c r="D59" s="1389"/>
      <c r="E59" s="437"/>
      <c r="J59" s="1307"/>
      <c r="K59" s="437"/>
    </row>
    <row r="60" spans="2:19">
      <c r="C60" s="832"/>
      <c r="D60" s="1389"/>
      <c r="E60" s="437"/>
      <c r="H60" s="1320"/>
      <c r="J60" s="1307"/>
      <c r="K60" s="437"/>
    </row>
    <row r="61" spans="2:19">
      <c r="C61" s="832"/>
      <c r="I61" s="1320"/>
    </row>
    <row r="62" spans="2:19" ht="13.5" thickBot="1">
      <c r="C62" s="832"/>
      <c r="I62" s="1320"/>
    </row>
    <row r="63" spans="2:19" ht="13.5" thickBot="1">
      <c r="B63" s="1441" t="s">
        <v>1733</v>
      </c>
      <c r="C63" s="1442"/>
      <c r="D63" s="1442"/>
      <c r="E63" s="1443"/>
      <c r="F63" s="1442"/>
      <c r="G63" s="1442"/>
      <c r="H63" s="1442"/>
      <c r="I63" s="1444"/>
      <c r="J63" s="1445"/>
    </row>
    <row r="64" spans="2:19">
      <c r="B64" s="1446"/>
      <c r="C64" s="1415"/>
      <c r="D64" s="1415"/>
      <c r="E64" s="1447"/>
      <c r="F64" s="1415"/>
      <c r="G64" s="1415"/>
      <c r="H64" s="1415"/>
      <c r="I64" s="1320"/>
      <c r="J64" s="1448"/>
    </row>
    <row r="65" spans="2:11">
      <c r="B65" s="1449"/>
      <c r="C65" s="1450"/>
      <c r="D65" s="830" t="s">
        <v>327</v>
      </c>
      <c r="E65" s="830" t="s">
        <v>8</v>
      </c>
      <c r="F65" s="830" t="s">
        <v>328</v>
      </c>
      <c r="G65" s="830" t="s">
        <v>1301</v>
      </c>
      <c r="H65" s="830"/>
      <c r="I65" s="1415"/>
      <c r="J65" s="1448"/>
      <c r="K65" s="437"/>
    </row>
    <row r="66" spans="2:11">
      <c r="B66" s="1451"/>
      <c r="C66" s="1754" t="s">
        <v>336</v>
      </c>
      <c r="D66" s="1452">
        <v>263</v>
      </c>
      <c r="E66" s="1452">
        <v>11</v>
      </c>
      <c r="F66" s="1453" t="s">
        <v>334</v>
      </c>
      <c r="G66" s="824">
        <v>3661029</v>
      </c>
      <c r="H66" s="1755">
        <v>2017</v>
      </c>
      <c r="I66" s="1311"/>
      <c r="J66" s="1448"/>
      <c r="K66" s="437"/>
    </row>
    <row r="67" spans="2:11">
      <c r="B67" s="1451"/>
      <c r="C67" s="1754" t="s">
        <v>337</v>
      </c>
      <c r="D67" s="1452">
        <v>263</v>
      </c>
      <c r="E67" s="1452">
        <v>16</v>
      </c>
      <c r="F67" s="1453" t="s">
        <v>334</v>
      </c>
      <c r="G67" s="824">
        <v>2126416</v>
      </c>
      <c r="H67" s="1755">
        <v>2017</v>
      </c>
      <c r="I67" s="1311"/>
      <c r="J67" s="1448"/>
      <c r="K67" s="437"/>
    </row>
    <row r="68" spans="2:11">
      <c r="B68" s="1451"/>
      <c r="C68" s="1754" t="s">
        <v>338</v>
      </c>
      <c r="D68" s="1452">
        <v>263</v>
      </c>
      <c r="E68" s="1452">
        <v>24</v>
      </c>
      <c r="F68" s="1453" t="s">
        <v>334</v>
      </c>
      <c r="G68" s="824">
        <v>2352595</v>
      </c>
      <c r="H68" s="1755">
        <v>2017</v>
      </c>
      <c r="I68" s="1311"/>
      <c r="J68" s="1448"/>
      <c r="K68" s="437"/>
    </row>
    <row r="69" spans="2:11">
      <c r="B69" s="1451"/>
      <c r="C69" s="1754" t="s">
        <v>339</v>
      </c>
      <c r="D69" s="1452">
        <v>263</v>
      </c>
      <c r="E69" s="1452">
        <v>28</v>
      </c>
      <c r="F69" s="1453" t="s">
        <v>334</v>
      </c>
      <c r="G69" s="824">
        <v>6222774</v>
      </c>
      <c r="H69" s="1755">
        <v>2017</v>
      </c>
      <c r="I69" s="1311"/>
      <c r="J69" s="1448"/>
      <c r="K69" s="437"/>
    </row>
    <row r="70" spans="2:11">
      <c r="B70" s="1451"/>
      <c r="C70" s="1754" t="s">
        <v>340</v>
      </c>
      <c r="D70" s="1452">
        <v>263.10000000000002</v>
      </c>
      <c r="E70" s="1452">
        <v>2</v>
      </c>
      <c r="F70" s="1453" t="s">
        <v>334</v>
      </c>
      <c r="G70" s="824">
        <v>5667215</v>
      </c>
      <c r="H70" s="1755">
        <v>2017</v>
      </c>
      <c r="I70" s="1311"/>
      <c r="J70" s="1448"/>
      <c r="K70" s="1454"/>
    </row>
    <row r="71" spans="2:11">
      <c r="B71" s="1451"/>
      <c r="C71" s="1754" t="s">
        <v>341</v>
      </c>
      <c r="D71" s="1452">
        <v>263.10000000000002</v>
      </c>
      <c r="E71" s="1452">
        <v>14</v>
      </c>
      <c r="F71" s="1453" t="s">
        <v>334</v>
      </c>
      <c r="G71" s="824">
        <v>21671</v>
      </c>
      <c r="H71" s="1755">
        <v>2017</v>
      </c>
      <c r="I71" s="1311"/>
      <c r="J71" s="1448"/>
      <c r="K71" s="1454"/>
    </row>
    <row r="72" spans="2:11">
      <c r="B72" s="1451"/>
      <c r="C72" s="1754" t="s">
        <v>342</v>
      </c>
      <c r="D72" s="1452">
        <v>263.10000000000002</v>
      </c>
      <c r="E72" s="1452">
        <v>19</v>
      </c>
      <c r="F72" s="1453" t="s">
        <v>334</v>
      </c>
      <c r="G72" s="824">
        <v>23553718</v>
      </c>
      <c r="H72" s="1755">
        <v>2017</v>
      </c>
      <c r="I72" s="1311"/>
      <c r="J72" s="1448"/>
      <c r="K72" s="1454"/>
    </row>
    <row r="73" spans="2:11">
      <c r="B73" s="1451"/>
      <c r="C73" s="1754" t="s">
        <v>343</v>
      </c>
      <c r="D73" s="1452">
        <v>263.10000000000002</v>
      </c>
      <c r="E73" s="1452">
        <v>34</v>
      </c>
      <c r="F73" s="1453" t="s">
        <v>334</v>
      </c>
      <c r="G73" s="824">
        <v>73074714</v>
      </c>
      <c r="H73" s="1755">
        <v>2017</v>
      </c>
      <c r="I73" s="1311"/>
      <c r="J73" s="1448"/>
      <c r="K73" s="1454"/>
    </row>
    <row r="74" spans="2:11">
      <c r="B74" s="1451"/>
      <c r="C74" s="1754" t="s">
        <v>344</v>
      </c>
      <c r="D74" s="1452">
        <v>263.2</v>
      </c>
      <c r="E74" s="1452">
        <v>2</v>
      </c>
      <c r="F74" s="1453" t="s">
        <v>334</v>
      </c>
      <c r="G74" s="824">
        <v>11524431</v>
      </c>
      <c r="H74" s="1755">
        <v>2017</v>
      </c>
      <c r="I74" s="1311"/>
      <c r="J74" s="1448"/>
      <c r="K74" s="1454"/>
    </row>
    <row r="75" spans="2:11">
      <c r="B75" s="1451"/>
      <c r="C75" s="1754" t="s">
        <v>345</v>
      </c>
      <c r="D75" s="1452">
        <v>263.2</v>
      </c>
      <c r="E75" s="1452">
        <v>12</v>
      </c>
      <c r="F75" s="1453" t="s">
        <v>334</v>
      </c>
      <c r="G75" s="824">
        <v>16609668</v>
      </c>
      <c r="H75" s="1755">
        <v>2017</v>
      </c>
      <c r="I75" s="1311"/>
      <c r="J75" s="1448"/>
      <c r="K75" s="1454"/>
    </row>
    <row r="76" spans="2:11">
      <c r="B76" s="1451"/>
      <c r="C76" s="1754" t="s">
        <v>413</v>
      </c>
      <c r="D76" s="1452">
        <v>263.2</v>
      </c>
      <c r="E76" s="1452">
        <v>23</v>
      </c>
      <c r="F76" s="1453" t="s">
        <v>334</v>
      </c>
      <c r="G76" s="824">
        <v>25422</v>
      </c>
      <c r="H76" s="1755">
        <v>2017</v>
      </c>
      <c r="I76" s="1311"/>
      <c r="J76" s="1448"/>
      <c r="K76" s="1454"/>
    </row>
    <row r="77" spans="2:11">
      <c r="B77" s="1451"/>
      <c r="C77" s="1754" t="s">
        <v>414</v>
      </c>
      <c r="D77" s="1452">
        <v>263.2</v>
      </c>
      <c r="E77" s="1452">
        <v>24</v>
      </c>
      <c r="F77" s="1453" t="s">
        <v>334</v>
      </c>
      <c r="G77" s="824">
        <v>287936</v>
      </c>
      <c r="H77" s="1755">
        <v>2017</v>
      </c>
      <c r="I77" s="1455"/>
      <c r="J77" s="1448"/>
      <c r="K77" s="1454"/>
    </row>
    <row r="78" spans="2:11">
      <c r="B78" s="1451"/>
      <c r="C78" s="1754" t="s">
        <v>415</v>
      </c>
      <c r="D78" s="1452">
        <v>263.2</v>
      </c>
      <c r="E78" s="1452">
        <v>25</v>
      </c>
      <c r="F78" s="1453" t="s">
        <v>334</v>
      </c>
      <c r="G78" s="824">
        <v>14329</v>
      </c>
      <c r="H78" s="1755">
        <v>2017</v>
      </c>
      <c r="I78" s="1415"/>
      <c r="J78" s="1448"/>
      <c r="K78" s="437"/>
    </row>
    <row r="79" spans="2:11">
      <c r="B79" s="1449"/>
      <c r="C79" s="1754" t="s">
        <v>416</v>
      </c>
      <c r="D79" s="1452">
        <v>263.2</v>
      </c>
      <c r="E79" s="1452">
        <v>26</v>
      </c>
      <c r="F79" s="1453" t="s">
        <v>334</v>
      </c>
      <c r="G79" s="824">
        <v>43185</v>
      </c>
      <c r="H79" s="1755">
        <v>2017</v>
      </c>
      <c r="I79" s="1415"/>
      <c r="J79" s="1448"/>
      <c r="K79" s="437"/>
    </row>
    <row r="80" spans="2:11">
      <c r="B80" s="1449"/>
      <c r="C80" s="1754" t="s">
        <v>417</v>
      </c>
      <c r="D80" s="1452">
        <v>263.2</v>
      </c>
      <c r="E80" s="1452">
        <v>27</v>
      </c>
      <c r="F80" s="1453" t="s">
        <v>334</v>
      </c>
      <c r="G80" s="824">
        <v>72306</v>
      </c>
      <c r="H80" s="1755">
        <v>2017</v>
      </c>
      <c r="I80" s="1415"/>
      <c r="J80" s="1448"/>
      <c r="K80" s="437"/>
    </row>
    <row r="81" spans="2:12">
      <c r="B81" s="1449"/>
      <c r="C81" s="1754" t="s">
        <v>418</v>
      </c>
      <c r="D81" s="1452">
        <v>263.2</v>
      </c>
      <c r="E81" s="1452">
        <v>28</v>
      </c>
      <c r="F81" s="1453" t="s">
        <v>334</v>
      </c>
      <c r="G81" s="824">
        <v>68562</v>
      </c>
      <c r="H81" s="1755">
        <v>2017</v>
      </c>
      <c r="I81" s="1415"/>
      <c r="J81" s="1448"/>
      <c r="K81" s="1456"/>
    </row>
    <row r="82" spans="2:12">
      <c r="B82" s="1449"/>
      <c r="C82" s="1754" t="s">
        <v>420</v>
      </c>
      <c r="D82" s="1452">
        <v>263.2</v>
      </c>
      <c r="E82" s="1452">
        <v>17</v>
      </c>
      <c r="F82" s="1453" t="s">
        <v>334</v>
      </c>
      <c r="G82" s="824">
        <v>70926</v>
      </c>
      <c r="H82" s="1755">
        <v>2017</v>
      </c>
      <c r="I82" s="1311"/>
      <c r="J82" s="1457"/>
      <c r="K82" s="832"/>
      <c r="L82" s="330"/>
    </row>
    <row r="83" spans="2:12">
      <c r="B83" s="1449"/>
      <c r="C83" s="1450"/>
      <c r="D83" s="1415"/>
      <c r="E83" s="1415"/>
      <c r="F83" s="1415"/>
      <c r="G83" s="1415"/>
      <c r="H83" s="1415"/>
      <c r="I83" s="1415"/>
      <c r="J83" s="1457"/>
      <c r="K83" s="832"/>
      <c r="L83" s="330"/>
    </row>
    <row r="84" spans="2:12" s="1378" customFormat="1">
      <c r="B84" s="1458"/>
      <c r="C84" s="1459" t="s">
        <v>1302</v>
      </c>
      <c r="D84" s="1460"/>
      <c r="E84" s="1460"/>
      <c r="F84" s="1460"/>
      <c r="G84" s="1460"/>
      <c r="H84" s="1460"/>
      <c r="I84" s="1461"/>
      <c r="J84" s="1462"/>
      <c r="K84" s="1463"/>
      <c r="L84" s="345"/>
    </row>
    <row r="85" spans="2:12" s="1378" customFormat="1" ht="25.5">
      <c r="B85" s="1458">
        <v>1</v>
      </c>
      <c r="C85" s="1464" t="s">
        <v>1303</v>
      </c>
      <c r="D85" s="1465" t="s">
        <v>1304</v>
      </c>
      <c r="E85" s="1466" t="s">
        <v>1305</v>
      </c>
      <c r="F85" s="1467" t="s">
        <v>1305</v>
      </c>
      <c r="G85" s="1468">
        <f>SUM(G86:G88)</f>
        <v>33901588</v>
      </c>
      <c r="H85" s="2609"/>
      <c r="I85" s="1469" t="s">
        <v>456</v>
      </c>
      <c r="J85" s="1462"/>
      <c r="K85" s="1463"/>
      <c r="L85" s="345"/>
    </row>
    <row r="86" spans="2:12" s="1378" customFormat="1" ht="25.5">
      <c r="B86" s="1458"/>
      <c r="C86" s="1470" t="s">
        <v>1306</v>
      </c>
      <c r="D86" s="1471">
        <v>263</v>
      </c>
      <c r="E86" s="1471">
        <v>20</v>
      </c>
      <c r="F86" s="1472" t="s">
        <v>334</v>
      </c>
      <c r="G86" s="1473">
        <v>1231867</v>
      </c>
      <c r="H86" s="1755">
        <v>2017</v>
      </c>
      <c r="I86" s="1474" t="s">
        <v>1307</v>
      </c>
      <c r="J86" s="1462"/>
      <c r="K86" s="2139"/>
      <c r="L86" s="345"/>
    </row>
    <row r="87" spans="2:12" s="1378" customFormat="1" ht="25.5">
      <c r="B87" s="1458"/>
      <c r="C87" s="1475" t="s">
        <v>1308</v>
      </c>
      <c r="D87" s="1476">
        <v>263.10000000000002</v>
      </c>
      <c r="E87" s="1477">
        <v>26</v>
      </c>
      <c r="F87" s="1478" t="s">
        <v>334</v>
      </c>
      <c r="G87" s="1479">
        <v>30722628</v>
      </c>
      <c r="H87" s="1755">
        <v>2017</v>
      </c>
      <c r="I87" s="1480" t="s">
        <v>1309</v>
      </c>
      <c r="J87" s="1462"/>
      <c r="K87" s="1463"/>
      <c r="L87" s="1463"/>
    </row>
    <row r="88" spans="2:12" s="1378" customFormat="1" ht="25.5">
      <c r="B88" s="1458"/>
      <c r="C88" s="1481" t="s">
        <v>1310</v>
      </c>
      <c r="D88" s="1482">
        <v>263.2</v>
      </c>
      <c r="E88" s="1483">
        <v>15</v>
      </c>
      <c r="F88" s="1484" t="s">
        <v>334</v>
      </c>
      <c r="G88" s="1485">
        <v>1947093</v>
      </c>
      <c r="H88" s="1755">
        <v>2017</v>
      </c>
      <c r="I88" s="1486" t="s">
        <v>1311</v>
      </c>
      <c r="J88" s="1462"/>
      <c r="K88" s="2139"/>
      <c r="L88" s="1463"/>
    </row>
    <row r="89" spans="2:12" s="1378" customFormat="1" ht="25.5">
      <c r="B89" s="1458">
        <v>2</v>
      </c>
      <c r="C89" s="1487" t="s">
        <v>1312</v>
      </c>
      <c r="D89" s="1488">
        <v>263.10000000000002</v>
      </c>
      <c r="E89" s="1489">
        <v>5</v>
      </c>
      <c r="F89" s="1490" t="s">
        <v>334</v>
      </c>
      <c r="G89" s="1491">
        <v>205239</v>
      </c>
      <c r="H89" s="1756">
        <v>2017</v>
      </c>
      <c r="I89" s="1492" t="s">
        <v>452</v>
      </c>
      <c r="J89" s="1462"/>
      <c r="K89" s="1463"/>
      <c r="L89" s="345"/>
    </row>
    <row r="90" spans="2:12" s="1378" customFormat="1" ht="25.5">
      <c r="B90" s="1458">
        <v>3</v>
      </c>
      <c r="C90" s="1487" t="s">
        <v>1313</v>
      </c>
      <c r="D90" s="1488">
        <v>263.10000000000002</v>
      </c>
      <c r="E90" s="1489">
        <v>6</v>
      </c>
      <c r="F90" s="1490" t="s">
        <v>334</v>
      </c>
      <c r="G90" s="1491">
        <v>146233</v>
      </c>
      <c r="H90" s="1756">
        <v>2017</v>
      </c>
      <c r="I90" s="1492" t="s">
        <v>452</v>
      </c>
      <c r="J90" s="1462"/>
      <c r="K90" s="1463"/>
      <c r="L90" s="345"/>
    </row>
    <row r="91" spans="2:12" s="1378" customFormat="1">
      <c r="B91" s="1458">
        <v>4</v>
      </c>
      <c r="C91" s="1487" t="s">
        <v>1314</v>
      </c>
      <c r="D91" s="1488">
        <v>263</v>
      </c>
      <c r="E91" s="1489">
        <v>30</v>
      </c>
      <c r="F91" s="1490" t="s">
        <v>334</v>
      </c>
      <c r="G91" s="1491">
        <v>78800</v>
      </c>
      <c r="H91" s="1756">
        <v>2017</v>
      </c>
      <c r="I91" s="1492" t="s">
        <v>453</v>
      </c>
      <c r="J91" s="1462"/>
      <c r="K91" s="1463"/>
      <c r="L91" s="345"/>
    </row>
    <row r="92" spans="2:12" s="1378" customFormat="1" ht="42.75" customHeight="1">
      <c r="B92" s="1458">
        <v>5</v>
      </c>
      <c r="C92" s="1487" t="s">
        <v>1315</v>
      </c>
      <c r="D92" s="1488">
        <v>263.10000000000002</v>
      </c>
      <c r="E92" s="1489">
        <v>23</v>
      </c>
      <c r="F92" s="1490" t="s">
        <v>334</v>
      </c>
      <c r="G92" s="1491">
        <v>1614478</v>
      </c>
      <c r="H92" s="1756">
        <v>2017</v>
      </c>
      <c r="I92" s="1492" t="s">
        <v>454</v>
      </c>
      <c r="J92" s="1462"/>
      <c r="K92" s="1463"/>
      <c r="L92" s="345"/>
    </row>
    <row r="93" spans="2:12" s="1378" customFormat="1" ht="28.5" customHeight="1">
      <c r="B93" s="1458">
        <v>6</v>
      </c>
      <c r="C93" s="1487" t="s">
        <v>1316</v>
      </c>
      <c r="D93" s="1488">
        <v>263.2</v>
      </c>
      <c r="E93" s="1489">
        <v>13</v>
      </c>
      <c r="F93" s="1490" t="s">
        <v>334</v>
      </c>
      <c r="G93" s="1491">
        <v>1811786</v>
      </c>
      <c r="H93" s="1756">
        <v>2017</v>
      </c>
      <c r="I93" s="1492" t="s">
        <v>1317</v>
      </c>
      <c r="J93" s="1462"/>
      <c r="K93" s="1463"/>
      <c r="L93" s="345"/>
    </row>
    <row r="94" spans="2:12" s="1378" customFormat="1" ht="25.5">
      <c r="B94" s="1458">
        <v>7</v>
      </c>
      <c r="C94" s="1487" t="s">
        <v>1318</v>
      </c>
      <c r="D94" s="1488">
        <v>263.2</v>
      </c>
      <c r="E94" s="1489">
        <v>5</v>
      </c>
      <c r="F94" s="1490" t="s">
        <v>334</v>
      </c>
      <c r="G94" s="1491">
        <v>13451381</v>
      </c>
      <c r="H94" s="1756">
        <v>2017</v>
      </c>
      <c r="I94" s="1492" t="s">
        <v>457</v>
      </c>
      <c r="J94" s="1462"/>
      <c r="K94" s="1463"/>
      <c r="L94" s="1463"/>
    </row>
    <row r="95" spans="2:12" s="1378" customFormat="1" ht="25.5">
      <c r="B95" s="1458">
        <v>8</v>
      </c>
      <c r="C95" s="2261" t="s">
        <v>1319</v>
      </c>
      <c r="D95" s="2265" t="s">
        <v>1304</v>
      </c>
      <c r="E95" s="2269" t="s">
        <v>1305</v>
      </c>
      <c r="F95" s="2273" t="s">
        <v>1305</v>
      </c>
      <c r="G95" s="2275">
        <f>SUM(G96:G98)</f>
        <v>47308</v>
      </c>
      <c r="H95" s="2610"/>
      <c r="I95" s="2278" t="s">
        <v>455</v>
      </c>
      <c r="J95" s="1462"/>
      <c r="K95" s="1463"/>
      <c r="L95" s="1463"/>
    </row>
    <row r="96" spans="2:12">
      <c r="B96" s="1449"/>
      <c r="C96" s="2262" t="s">
        <v>603</v>
      </c>
      <c r="D96" s="2266">
        <v>263.2</v>
      </c>
      <c r="E96" s="2270">
        <v>4</v>
      </c>
      <c r="F96" s="2266" t="s">
        <v>334</v>
      </c>
      <c r="G96" s="2277">
        <v>27557</v>
      </c>
      <c r="H96" s="1755">
        <v>2017</v>
      </c>
      <c r="I96" s="2279"/>
      <c r="J96" s="1448"/>
    </row>
    <row r="97" spans="1:19" s="1307" customFormat="1">
      <c r="A97" s="437"/>
      <c r="B97" s="1449"/>
      <c r="C97" s="2263" t="s">
        <v>602</v>
      </c>
      <c r="D97" s="2267">
        <v>263.10000000000002</v>
      </c>
      <c r="E97" s="2271">
        <v>37</v>
      </c>
      <c r="F97" s="2267" t="s">
        <v>334</v>
      </c>
      <c r="G97" s="2259">
        <v>11</v>
      </c>
      <c r="H97" s="1755">
        <v>2017</v>
      </c>
      <c r="I97" s="2260"/>
      <c r="J97" s="1448"/>
      <c r="L97" s="437"/>
      <c r="M97" s="437"/>
      <c r="N97" s="437"/>
      <c r="O97" s="437"/>
      <c r="P97" s="437"/>
      <c r="Q97" s="437"/>
      <c r="R97" s="437"/>
      <c r="S97" s="437"/>
    </row>
    <row r="98" spans="1:19" s="1307" customFormat="1">
      <c r="A98" s="437"/>
      <c r="B98" s="1449"/>
      <c r="C98" s="2264" t="s">
        <v>1737</v>
      </c>
      <c r="D98" s="2268">
        <v>263.10000000000002</v>
      </c>
      <c r="E98" s="2272">
        <v>10</v>
      </c>
      <c r="F98" s="2268" t="s">
        <v>334</v>
      </c>
      <c r="G98" s="1497">
        <v>19740</v>
      </c>
      <c r="H98" s="1755">
        <v>2017</v>
      </c>
      <c r="I98" s="1496"/>
      <c r="J98" s="1448"/>
      <c r="L98" s="437"/>
      <c r="M98" s="437"/>
      <c r="N98" s="437"/>
      <c r="O98" s="437"/>
      <c r="P98" s="437"/>
      <c r="Q98" s="437"/>
      <c r="R98" s="437"/>
      <c r="S98" s="437"/>
    </row>
    <row r="99" spans="1:19" s="1307" customFormat="1">
      <c r="A99" s="437"/>
      <c r="B99" s="1449"/>
      <c r="C99" s="1493"/>
      <c r="D99" s="1494"/>
      <c r="E99" s="1495"/>
      <c r="F99" s="2274"/>
      <c r="G99" s="2276"/>
      <c r="H99" s="2611"/>
      <c r="I99" s="1496"/>
      <c r="J99" s="1448"/>
      <c r="L99" s="437"/>
      <c r="M99" s="437"/>
      <c r="N99" s="437"/>
      <c r="O99" s="437"/>
      <c r="P99" s="437"/>
      <c r="Q99" s="437"/>
      <c r="R99" s="437"/>
      <c r="S99" s="437"/>
    </row>
    <row r="100" spans="1:19" s="1307" customFormat="1" ht="13.5" thickBot="1">
      <c r="A100" s="437"/>
      <c r="B100" s="1498"/>
      <c r="C100" s="1499"/>
      <c r="D100" s="1499"/>
      <c r="E100" s="1500"/>
      <c r="F100" s="1499"/>
      <c r="G100" s="1499"/>
      <c r="H100" s="1499"/>
      <c r="I100" s="1499"/>
      <c r="J100" s="1501"/>
      <c r="L100" s="437"/>
      <c r="M100" s="437"/>
      <c r="N100" s="437"/>
      <c r="O100" s="437"/>
      <c r="P100" s="437"/>
      <c r="Q100" s="437"/>
      <c r="R100" s="437"/>
      <c r="S100" s="437"/>
    </row>
    <row r="103" spans="1:19">
      <c r="D103" s="2247"/>
      <c r="E103" s="437"/>
    </row>
    <row r="104" spans="1:19">
      <c r="D104" s="2247"/>
      <c r="E104" s="437"/>
    </row>
    <row r="105" spans="1:19">
      <c r="D105" s="2247"/>
      <c r="E105" s="437"/>
    </row>
    <row r="106" spans="1:19">
      <c r="D106" s="2247"/>
      <c r="E106" s="437"/>
    </row>
    <row r="107" spans="1:19">
      <c r="D107" s="2247"/>
      <c r="E107" s="437"/>
    </row>
    <row r="108" spans="1:19">
      <c r="D108" s="2247"/>
      <c r="E108" s="437"/>
    </row>
    <row r="109" spans="1:19">
      <c r="D109" s="2247"/>
      <c r="E109" s="437"/>
    </row>
    <row r="110" spans="1:19">
      <c r="D110" s="2247"/>
      <c r="E110" s="437"/>
    </row>
    <row r="111" spans="1:19">
      <c r="E111" s="2247"/>
    </row>
    <row r="112" spans="1:19">
      <c r="E112" s="2247"/>
    </row>
    <row r="113" spans="4:6">
      <c r="D113" s="1415"/>
      <c r="E113" s="2281"/>
      <c r="F113" s="1415"/>
    </row>
    <row r="114" spans="4:6">
      <c r="D114" s="2282"/>
      <c r="E114" s="2282"/>
      <c r="F114" s="2282"/>
    </row>
    <row r="115" spans="4:6">
      <c r="D115" s="2678"/>
      <c r="E115" s="2678"/>
      <c r="F115" s="2281"/>
    </row>
    <row r="116" spans="4:6">
      <c r="D116" s="1415"/>
      <c r="E116" s="1415"/>
      <c r="F116" s="2283"/>
    </row>
    <row r="117" spans="4:6">
      <c r="D117" s="2247"/>
      <c r="E117" s="437"/>
    </row>
    <row r="118" spans="4:6">
      <c r="D118" s="2247"/>
      <c r="E118" s="437"/>
    </row>
    <row r="119" spans="4:6">
      <c r="E119" s="437"/>
    </row>
    <row r="120" spans="4:6">
      <c r="E120" s="437"/>
    </row>
    <row r="121" spans="4:6">
      <c r="D121" s="2280"/>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heetViews>
  <sheetFormatPr defaultRowHeight="12.75"/>
  <cols>
    <col min="1" max="1" width="8.28515625" style="2028"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1976" t="s">
        <v>365</v>
      </c>
      <c r="B1" s="1976"/>
      <c r="C1" s="1976"/>
      <c r="D1" s="1976"/>
      <c r="E1" s="1976"/>
      <c r="F1" s="1309"/>
    </row>
    <row r="2" spans="1:66" ht="15.75">
      <c r="A2" s="1976" t="s">
        <v>247</v>
      </c>
      <c r="B2" s="1977"/>
      <c r="C2" s="1977"/>
      <c r="D2" s="1977"/>
      <c r="E2" s="1977"/>
    </row>
    <row r="3" spans="1:66" ht="15.75">
      <c r="A3" s="2679"/>
      <c r="B3" s="2679"/>
      <c r="C3" s="2679"/>
      <c r="D3" s="2679"/>
      <c r="E3" s="2679"/>
    </row>
    <row r="4" spans="1:66">
      <c r="A4" s="1978" t="s">
        <v>8</v>
      </c>
      <c r="B4" s="1979" t="s">
        <v>24</v>
      </c>
      <c r="C4" s="1980" t="s">
        <v>304</v>
      </c>
      <c r="D4" s="1980" t="s">
        <v>525</v>
      </c>
      <c r="E4" s="570" t="s">
        <v>326</v>
      </c>
    </row>
    <row r="5" spans="1:66">
      <c r="A5" s="1981"/>
      <c r="B5" s="1982"/>
      <c r="C5" s="1981"/>
      <c r="D5" s="1981"/>
      <c r="E5" s="163"/>
    </row>
    <row r="6" spans="1:66">
      <c r="A6" s="1981"/>
      <c r="B6" s="1983" t="s">
        <v>173</v>
      </c>
      <c r="C6" s="1309"/>
      <c r="D6" s="1309"/>
      <c r="E6" s="163"/>
    </row>
    <row r="7" spans="1:66">
      <c r="A7" s="1984">
        <v>1</v>
      </c>
      <c r="B7" s="1985" t="s">
        <v>3</v>
      </c>
      <c r="C7" s="1986"/>
      <c r="D7" s="1986"/>
      <c r="E7" s="1662">
        <f>Inputs!$E$94</f>
        <v>3344150.2</v>
      </c>
      <c r="G7" s="2061" t="s">
        <v>2158</v>
      </c>
    </row>
    <row r="8" spans="1:66">
      <c r="A8" s="1987">
        <f>A7+1</f>
        <v>2</v>
      </c>
      <c r="B8" s="1985" t="s">
        <v>677</v>
      </c>
      <c r="C8" s="1986"/>
      <c r="D8" s="1986"/>
      <c r="E8" s="1661">
        <v>240674.19</v>
      </c>
      <c r="G8" s="2061" t="s">
        <v>2158</v>
      </c>
    </row>
    <row r="9" spans="1:66">
      <c r="A9" s="1987">
        <f>A8+1</f>
        <v>3</v>
      </c>
      <c r="B9" s="1985" t="s">
        <v>678</v>
      </c>
      <c r="C9" s="459"/>
      <c r="D9" s="1988" t="s">
        <v>837</v>
      </c>
      <c r="E9" s="1662">
        <f>E42</f>
        <v>555768</v>
      </c>
    </row>
    <row r="10" spans="1:66">
      <c r="A10" s="1987">
        <f>A9+1</f>
        <v>4</v>
      </c>
      <c r="B10" s="1985" t="s">
        <v>679</v>
      </c>
      <c r="C10" s="1986"/>
      <c r="D10" s="1986"/>
      <c r="E10" s="1661">
        <v>1063822.3600000003</v>
      </c>
      <c r="G10" s="2061" t="s">
        <v>2158</v>
      </c>
    </row>
    <row r="11" spans="1:66">
      <c r="A11" s="1987">
        <f>A10+1</f>
        <v>5</v>
      </c>
      <c r="B11" s="1989" t="s">
        <v>839</v>
      </c>
      <c r="C11" s="459"/>
      <c r="D11" s="1988" t="s">
        <v>837</v>
      </c>
      <c r="E11" s="1662">
        <f>E36</f>
        <v>177132.56856561173</v>
      </c>
      <c r="G11" s="2061"/>
    </row>
    <row r="12" spans="1:66">
      <c r="A12" s="1981">
        <f>A11+1</f>
        <v>6</v>
      </c>
      <c r="B12" s="1990" t="s">
        <v>901</v>
      </c>
      <c r="C12" s="1991"/>
      <c r="D12" s="1817" t="str">
        <f>"(Sum Lines "&amp;A7&amp;"-"&amp;A11&amp;")"</f>
        <v>(Sum Lines 1-5)</v>
      </c>
      <c r="E12" s="1992">
        <f>SUM(E7:E11)</f>
        <v>5381547.3185656117</v>
      </c>
      <c r="G12" s="2061" t="s">
        <v>1574</v>
      </c>
    </row>
    <row r="13" spans="1:66">
      <c r="A13" s="1981"/>
      <c r="B13" s="1994"/>
      <c r="C13" s="1981"/>
      <c r="D13" s="1981"/>
      <c r="E13" s="569"/>
      <c r="G13" s="1993"/>
    </row>
    <row r="14" spans="1:66" s="1995" customFormat="1">
      <c r="A14" s="1981"/>
      <c r="B14" s="1983" t="s">
        <v>131</v>
      </c>
      <c r="C14" s="1981"/>
      <c r="D14" s="1981"/>
      <c r="E14" s="163"/>
      <c r="F14" s="436"/>
      <c r="G14" s="1993"/>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row>
    <row r="15" spans="1:66" s="1995" customFormat="1">
      <c r="A15" s="1987">
        <f>A12+1</f>
        <v>7</v>
      </c>
      <c r="B15" s="826" t="s">
        <v>895</v>
      </c>
      <c r="C15" s="1996" t="str">
        <f>$A$49</f>
        <v>Note 3</v>
      </c>
      <c r="D15" s="834" t="s">
        <v>835</v>
      </c>
      <c r="E15" s="1663">
        <f>'Att 13 - Revenue Credit Detail'!D38</f>
        <v>18885033.734999999</v>
      </c>
      <c r="F15" s="436"/>
      <c r="G15" s="2061" t="s">
        <v>2158</v>
      </c>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row>
    <row r="16" spans="1:66" ht="25.5">
      <c r="A16" s="1987">
        <f>A15+1</f>
        <v>8</v>
      </c>
      <c r="B16" s="1997" t="s">
        <v>896</v>
      </c>
      <c r="C16" s="1996" t="str">
        <f>$A$49</f>
        <v>Note 3</v>
      </c>
      <c r="D16" s="831"/>
      <c r="E16" s="1660">
        <v>0</v>
      </c>
      <c r="G16" s="2061" t="s">
        <v>2158</v>
      </c>
    </row>
    <row r="17" spans="1:19" ht="25.5">
      <c r="A17" s="1987">
        <f>A16+1</f>
        <v>9</v>
      </c>
      <c r="B17" s="1998" t="s">
        <v>425</v>
      </c>
      <c r="C17" s="1999"/>
      <c r="D17" s="834" t="s">
        <v>835</v>
      </c>
      <c r="E17" s="1663">
        <f>'Att 13 - Revenue Credit Detail'!D57</f>
        <v>66161880.050000012</v>
      </c>
      <c r="G17" s="2061" t="s">
        <v>2158</v>
      </c>
    </row>
    <row r="18" spans="1:19">
      <c r="A18" s="1987">
        <f>A17+1</f>
        <v>10</v>
      </c>
      <c r="B18" s="826" t="s">
        <v>898</v>
      </c>
      <c r="C18" s="1996" t="str">
        <f>$A$48</f>
        <v>Note 2</v>
      </c>
      <c r="D18" s="834"/>
      <c r="E18" s="2077">
        <f>SUM(Inputs!E95,Inputs!E96,Inputs!E97)</f>
        <v>1859285.8446050955</v>
      </c>
      <c r="G18" s="2061" t="s">
        <v>1876</v>
      </c>
    </row>
    <row r="19" spans="1:19">
      <c r="A19" s="1987">
        <f>A18+1</f>
        <v>11</v>
      </c>
      <c r="B19" s="826" t="s">
        <v>900</v>
      </c>
      <c r="C19" s="831"/>
      <c r="D19" s="831" t="s">
        <v>899</v>
      </c>
      <c r="E19" s="1660">
        <v>694737</v>
      </c>
      <c r="G19" s="1340" t="s">
        <v>2158</v>
      </c>
      <c r="J19" s="2343"/>
    </row>
    <row r="20" spans="1:19">
      <c r="A20" s="1987">
        <f>A19+1</f>
        <v>12</v>
      </c>
      <c r="B20" s="2000" t="s">
        <v>902</v>
      </c>
      <c r="C20" s="2001"/>
      <c r="D20" s="2001" t="str">
        <f>"(Sum Lines "&amp;A15&amp;"-"&amp;A19&amp;")"</f>
        <v>(Sum Lines 7-11)</v>
      </c>
      <c r="E20" s="2002">
        <f>SUM(E15:E19)</f>
        <v>87600936.6296051</v>
      </c>
      <c r="G20" s="2061" t="s">
        <v>1574</v>
      </c>
      <c r="I20" s="2343"/>
    </row>
    <row r="21" spans="1:19">
      <c r="A21" s="1981"/>
      <c r="B21" s="1994"/>
      <c r="C21" s="828"/>
      <c r="D21" s="828"/>
      <c r="E21" s="567"/>
    </row>
    <row r="22" spans="1:19" ht="13.5" thickBot="1">
      <c r="A22" s="1987">
        <f>A20+1</f>
        <v>13</v>
      </c>
      <c r="B22" s="2003" t="s">
        <v>1572</v>
      </c>
      <c r="C22" s="1991"/>
      <c r="D22" s="1817" t="str">
        <f>"(Sum Lines "&amp;A12&amp;" &amp;"&amp;A20&amp;")"</f>
        <v>(Sum Lines 6 &amp;12)</v>
      </c>
      <c r="E22" s="1239">
        <f>SUM(E12,E20)</f>
        <v>92982483.948170707</v>
      </c>
      <c r="G22" s="2061" t="s">
        <v>1575</v>
      </c>
      <c r="H22" s="1309"/>
      <c r="I22" s="1309"/>
      <c r="J22" s="1309"/>
      <c r="K22" s="1309"/>
      <c r="L22" s="1309"/>
      <c r="M22" s="1309"/>
      <c r="N22" s="1309"/>
      <c r="O22" s="1309"/>
      <c r="P22" s="1309"/>
      <c r="Q22" s="1309"/>
      <c r="R22" s="1309"/>
      <c r="S22" s="1309"/>
    </row>
    <row r="23" spans="1:19" ht="13.5" thickTop="1">
      <c r="A23" s="1981"/>
      <c r="B23" s="1994"/>
      <c r="C23" s="832"/>
      <c r="D23" s="832"/>
      <c r="E23" s="2004"/>
      <c r="H23" s="1309"/>
      <c r="I23" s="1309"/>
      <c r="J23" s="1309"/>
      <c r="K23" s="1309"/>
      <c r="L23" s="1309"/>
      <c r="M23" s="1309"/>
      <c r="N23" s="1309"/>
      <c r="O23" s="1309"/>
      <c r="P23" s="1309"/>
      <c r="Q23" s="1309"/>
      <c r="R23" s="1309"/>
      <c r="S23" s="1309"/>
    </row>
    <row r="24" spans="1:19" ht="13.5" thickBot="1">
      <c r="A24" s="2005"/>
      <c r="B24" s="2006"/>
      <c r="C24" s="2007"/>
      <c r="D24" s="2007"/>
      <c r="E24" s="2008"/>
      <c r="H24" s="1309"/>
      <c r="I24" s="1309"/>
      <c r="J24" s="1309"/>
      <c r="K24" s="1309"/>
      <c r="L24" s="1309"/>
      <c r="M24" s="1309"/>
      <c r="N24" s="1309"/>
      <c r="O24" s="1309"/>
      <c r="P24" s="1309"/>
      <c r="Q24" s="1309"/>
      <c r="R24" s="1309"/>
      <c r="S24" s="1309"/>
    </row>
    <row r="25" spans="1:19">
      <c r="A25" s="1981"/>
      <c r="B25" s="1994"/>
      <c r="C25" s="832"/>
      <c r="D25" s="832"/>
      <c r="E25" s="2004"/>
      <c r="H25" s="1309"/>
      <c r="I25" s="1309"/>
      <c r="J25" s="1309"/>
      <c r="K25" s="1309"/>
      <c r="L25" s="1309"/>
      <c r="M25" s="1309"/>
      <c r="N25" s="1309"/>
      <c r="O25" s="1309"/>
      <c r="P25" s="1309"/>
      <c r="Q25" s="1309"/>
      <c r="R25" s="1309"/>
      <c r="S25" s="1309"/>
    </row>
    <row r="26" spans="1:19">
      <c r="A26" s="1981"/>
      <c r="B26" s="2009" t="s">
        <v>838</v>
      </c>
      <c r="C26" s="832"/>
      <c r="D26" s="832"/>
      <c r="E26" s="1309"/>
      <c r="H26" s="1309"/>
      <c r="I26" s="1309"/>
      <c r="J26" s="1309"/>
      <c r="K26" s="1309"/>
      <c r="L26" s="1309"/>
      <c r="M26" s="1309"/>
      <c r="N26" s="1309"/>
      <c r="O26" s="1309"/>
      <c r="P26" s="1309"/>
      <c r="Q26" s="1309"/>
      <c r="R26" s="1309"/>
      <c r="S26" s="1309"/>
    </row>
    <row r="27" spans="1:19">
      <c r="A27" s="1981"/>
      <c r="B27" s="2009"/>
      <c r="C27" s="832"/>
      <c r="D27" s="832"/>
      <c r="E27" s="1309"/>
      <c r="H27" s="1309"/>
      <c r="I27" s="1309"/>
      <c r="J27" s="1309"/>
      <c r="K27" s="1309"/>
      <c r="L27" s="1309"/>
      <c r="M27" s="1309"/>
      <c r="N27" s="1309"/>
      <c r="O27" s="1309"/>
      <c r="P27" s="1309"/>
      <c r="Q27" s="1309"/>
      <c r="R27" s="1309"/>
      <c r="S27" s="1309"/>
    </row>
    <row r="28" spans="1:19">
      <c r="A28" s="1981"/>
      <c r="B28" s="1430" t="s">
        <v>839</v>
      </c>
      <c r="C28" s="832"/>
      <c r="D28" s="832"/>
      <c r="E28" s="1309"/>
      <c r="H28" s="1309"/>
      <c r="I28" s="1309"/>
      <c r="J28" s="1309"/>
      <c r="K28" s="1309"/>
      <c r="L28" s="1309"/>
      <c r="M28" s="1309"/>
      <c r="N28" s="1309"/>
      <c r="O28" s="1309"/>
      <c r="P28" s="1309"/>
      <c r="Q28" s="1309"/>
      <c r="R28" s="1309"/>
      <c r="S28" s="1309"/>
    </row>
    <row r="29" spans="1:19">
      <c r="A29" s="1981"/>
      <c r="B29" s="2010" t="s">
        <v>2163</v>
      </c>
      <c r="C29" s="832"/>
      <c r="D29" s="832"/>
      <c r="E29" s="2068">
        <v>170791.22</v>
      </c>
      <c r="G29" s="2061" t="s">
        <v>2158</v>
      </c>
      <c r="H29" s="1309"/>
      <c r="I29" s="1309"/>
      <c r="J29" s="1309"/>
      <c r="K29" s="1309"/>
      <c r="L29" s="1309"/>
      <c r="M29" s="1309"/>
      <c r="N29" s="1309"/>
      <c r="O29" s="1309"/>
      <c r="P29" s="1309"/>
      <c r="Q29" s="1309"/>
      <c r="R29" s="1309"/>
      <c r="S29" s="1309"/>
    </row>
    <row r="30" spans="1:19">
      <c r="A30" s="1981"/>
      <c r="B30" s="2010" t="s">
        <v>2164</v>
      </c>
      <c r="C30" s="832"/>
      <c r="D30" s="832"/>
      <c r="E30" s="2068">
        <v>1209539.67</v>
      </c>
      <c r="G30" s="2061" t="s">
        <v>2158</v>
      </c>
      <c r="H30" s="1309"/>
      <c r="I30" s="1309"/>
      <c r="J30" s="1309"/>
      <c r="K30" s="1309"/>
      <c r="L30" s="1309"/>
      <c r="M30" s="1309"/>
      <c r="N30" s="1309"/>
      <c r="O30" s="1309"/>
      <c r="P30" s="1309"/>
      <c r="Q30" s="1309"/>
      <c r="R30" s="1309"/>
      <c r="S30" s="1309"/>
    </row>
    <row r="31" spans="1:19">
      <c r="A31" s="1981"/>
      <c r="B31" s="2010" t="s">
        <v>2165</v>
      </c>
      <c r="C31" s="832"/>
      <c r="D31" s="832"/>
      <c r="E31" s="2068">
        <v>680719.14000000013</v>
      </c>
      <c r="G31" s="2061" t="s">
        <v>2158</v>
      </c>
      <c r="H31" s="1309"/>
      <c r="I31" s="1309"/>
      <c r="J31" s="1309"/>
      <c r="K31" s="1309"/>
      <c r="L31" s="1309"/>
      <c r="M31" s="1309"/>
      <c r="N31" s="1309"/>
      <c r="O31" s="1309"/>
      <c r="P31" s="1309"/>
      <c r="Q31" s="1309"/>
      <c r="R31" s="1309"/>
      <c r="S31" s="1309"/>
    </row>
    <row r="32" spans="1:19">
      <c r="A32" s="1981"/>
      <c r="B32" s="2010" t="s">
        <v>2166</v>
      </c>
      <c r="C32" s="832"/>
      <c r="D32" s="832"/>
      <c r="E32" s="2068">
        <v>0</v>
      </c>
      <c r="G32" s="2061" t="s">
        <v>2158</v>
      </c>
      <c r="H32" s="1309"/>
      <c r="I32" s="1309"/>
      <c r="J32" s="1309"/>
      <c r="K32" s="1309"/>
      <c r="L32" s="1309"/>
      <c r="M32" s="1309"/>
      <c r="N32" s="1309"/>
      <c r="O32" s="1309"/>
      <c r="P32" s="1309"/>
      <c r="Q32" s="1309"/>
      <c r="R32" s="1309"/>
      <c r="S32" s="1309"/>
    </row>
    <row r="33" spans="1:19">
      <c r="A33" s="1981"/>
      <c r="B33" s="2010" t="s">
        <v>2167</v>
      </c>
      <c r="C33" s="832"/>
      <c r="D33" s="832"/>
      <c r="E33" s="2401">
        <v>26501</v>
      </c>
      <c r="G33" s="2061" t="s">
        <v>2158</v>
      </c>
      <c r="H33" s="832"/>
      <c r="I33" s="1309"/>
      <c r="J33" s="1309"/>
      <c r="K33" s="1309"/>
      <c r="L33" s="1309"/>
      <c r="M33" s="1309"/>
      <c r="N33" s="1309"/>
      <c r="O33" s="1309"/>
      <c r="P33" s="1309"/>
      <c r="Q33" s="1309"/>
      <c r="R33" s="1309"/>
      <c r="S33" s="1309"/>
    </row>
    <row r="34" spans="1:19">
      <c r="A34" s="1981"/>
      <c r="B34" s="2011" t="s">
        <v>940</v>
      </c>
      <c r="C34" s="832"/>
      <c r="D34" s="832"/>
      <c r="E34" s="2012">
        <f>SUM(E29:E33)</f>
        <v>2087551.03</v>
      </c>
      <c r="H34" s="1309"/>
      <c r="I34" s="1309"/>
      <c r="J34" s="1309"/>
      <c r="K34" s="1309"/>
      <c r="L34" s="1309"/>
      <c r="M34" s="1309"/>
      <c r="N34" s="1309"/>
      <c r="O34" s="1309"/>
      <c r="P34" s="1309"/>
      <c r="Q34" s="1309"/>
      <c r="R34" s="1309"/>
      <c r="S34" s="1309"/>
    </row>
    <row r="35" spans="1:19">
      <c r="A35" s="1981"/>
      <c r="B35" s="1994" t="s">
        <v>271</v>
      </c>
      <c r="C35" s="832"/>
      <c r="D35" s="832"/>
      <c r="E35" s="568">
        <f>Allocator.wages.salary</f>
        <v>8.4851850814689656E-2</v>
      </c>
      <c r="H35" s="1309"/>
      <c r="I35" s="1309"/>
      <c r="J35" s="1309"/>
      <c r="K35" s="1309"/>
      <c r="L35" s="1309"/>
      <c r="M35" s="1309"/>
      <c r="N35" s="1309"/>
      <c r="O35" s="1309"/>
      <c r="P35" s="1309"/>
      <c r="Q35" s="1309"/>
      <c r="R35" s="1309"/>
      <c r="S35" s="1309"/>
    </row>
    <row r="36" spans="1:19">
      <c r="A36" s="1981"/>
      <c r="B36" s="2013" t="s">
        <v>946</v>
      </c>
      <c r="C36" s="832"/>
      <c r="D36" s="832"/>
      <c r="E36" s="2014">
        <f>E34*E35</f>
        <v>177132.56856561173</v>
      </c>
      <c r="H36" s="1309"/>
      <c r="I36" s="1309"/>
      <c r="J36" s="1309"/>
      <c r="K36" s="1309"/>
      <c r="L36" s="1309"/>
      <c r="M36" s="1309"/>
      <c r="N36" s="1309"/>
      <c r="O36" s="1309"/>
      <c r="P36" s="1309"/>
      <c r="Q36" s="1309"/>
      <c r="R36" s="1309"/>
      <c r="S36" s="1309"/>
    </row>
    <row r="37" spans="1:19">
      <c r="A37" s="1981"/>
      <c r="B37" s="1994"/>
      <c r="C37" s="832"/>
      <c r="D37" s="832"/>
      <c r="E37" s="2015"/>
      <c r="H37" s="1309"/>
      <c r="I37" s="1309"/>
      <c r="J37" s="1309"/>
      <c r="K37" s="1309"/>
      <c r="L37" s="1309"/>
      <c r="M37" s="1309"/>
      <c r="N37" s="1309"/>
      <c r="O37" s="1309"/>
      <c r="P37" s="1309"/>
      <c r="Q37" s="1309"/>
      <c r="R37" s="1309"/>
      <c r="S37" s="1309"/>
    </row>
    <row r="38" spans="1:19">
      <c r="A38" s="1981"/>
      <c r="B38" s="1994"/>
      <c r="C38" s="832"/>
      <c r="D38" s="832"/>
      <c r="E38" s="1309"/>
      <c r="H38" s="1309"/>
      <c r="I38" s="1309"/>
      <c r="J38" s="1309"/>
      <c r="K38" s="1309"/>
      <c r="L38" s="1309"/>
      <c r="M38" s="1309"/>
      <c r="N38" s="1309"/>
      <c r="O38" s="1309"/>
      <c r="P38" s="1309"/>
      <c r="Q38" s="1309"/>
      <c r="R38" s="1309"/>
      <c r="S38" s="1309"/>
    </row>
    <row r="39" spans="1:19">
      <c r="A39" s="1981"/>
      <c r="B39" s="1430" t="s">
        <v>680</v>
      </c>
      <c r="C39" s="832"/>
      <c r="D39" s="832"/>
      <c r="E39" s="1309"/>
      <c r="H39" s="1309"/>
      <c r="I39" s="1309"/>
      <c r="J39" s="1309"/>
      <c r="K39" s="1309"/>
      <c r="L39" s="1309"/>
      <c r="M39" s="1309"/>
      <c r="N39" s="1309"/>
      <c r="O39" s="1309"/>
      <c r="P39" s="1309"/>
      <c r="Q39" s="1309"/>
      <c r="R39" s="1309"/>
      <c r="S39" s="1309"/>
    </row>
    <row r="40" spans="1:19">
      <c r="A40" s="1981"/>
      <c r="B40" s="2016" t="s">
        <v>906</v>
      </c>
      <c r="C40" s="832"/>
      <c r="D40" s="832"/>
      <c r="E40" s="1235">
        <v>0</v>
      </c>
      <c r="G40" s="2061" t="s">
        <v>2158</v>
      </c>
      <c r="H40" s="1309"/>
      <c r="I40" s="1309"/>
      <c r="J40" s="1309"/>
      <c r="K40" s="1309"/>
      <c r="L40" s="1309"/>
      <c r="M40" s="1309"/>
      <c r="N40" s="1309"/>
      <c r="O40" s="1309"/>
      <c r="P40" s="1309"/>
      <c r="Q40" s="1309"/>
      <c r="R40" s="1309"/>
      <c r="S40" s="1309"/>
    </row>
    <row r="41" spans="1:19">
      <c r="A41" s="1981"/>
      <c r="B41" s="1771" t="s">
        <v>907</v>
      </c>
      <c r="C41" s="832"/>
      <c r="D41" s="828" t="s">
        <v>997</v>
      </c>
      <c r="E41" s="1240">
        <f>Inputs!E9</f>
        <v>555768</v>
      </c>
      <c r="G41" s="2061" t="s">
        <v>1382</v>
      </c>
      <c r="H41" s="1309"/>
      <c r="I41" s="1309"/>
      <c r="J41" s="1309"/>
      <c r="K41" s="1309"/>
      <c r="L41" s="1309"/>
      <c r="M41" s="1309"/>
      <c r="N41" s="1309"/>
      <c r="O41" s="1309"/>
      <c r="P41" s="1309"/>
      <c r="Q41" s="1309"/>
      <c r="R41" s="1309"/>
      <c r="S41" s="1309"/>
    </row>
    <row r="42" spans="1:19">
      <c r="A42" s="1981"/>
      <c r="B42" s="2013" t="s">
        <v>836</v>
      </c>
      <c r="C42" s="1309"/>
      <c r="D42" s="1309"/>
      <c r="E42" s="2014">
        <f>SUM(E40:E41)</f>
        <v>555768</v>
      </c>
      <c r="G42" s="2061" t="s">
        <v>2158</v>
      </c>
      <c r="H42" s="1309"/>
      <c r="I42" s="1309"/>
      <c r="J42" s="1309"/>
      <c r="K42" s="1309"/>
      <c r="L42" s="1309"/>
      <c r="M42" s="1309"/>
      <c r="N42" s="1309"/>
      <c r="O42" s="1309"/>
      <c r="P42" s="1309"/>
      <c r="Q42" s="1309"/>
      <c r="R42" s="1309"/>
      <c r="S42" s="1309"/>
    </row>
    <row r="43" spans="1:19">
      <c r="A43" s="1981"/>
      <c r="B43" s="1994"/>
      <c r="C43" s="832"/>
      <c r="D43" s="832"/>
      <c r="E43" s="2015"/>
      <c r="G43" s="2061"/>
      <c r="H43" s="1309"/>
      <c r="I43" s="1309"/>
      <c r="J43" s="1309"/>
      <c r="K43" s="1309"/>
      <c r="L43" s="1309"/>
      <c r="M43" s="1309"/>
      <c r="N43" s="1309"/>
      <c r="O43" s="1309"/>
      <c r="P43" s="1309"/>
      <c r="Q43" s="1309"/>
      <c r="R43" s="1309"/>
      <c r="S43" s="1309"/>
    </row>
    <row r="44" spans="1:19">
      <c r="A44" s="1981"/>
      <c r="B44" s="1994"/>
      <c r="C44" s="832"/>
      <c r="D44" s="832"/>
      <c r="E44" s="2015"/>
      <c r="G44" s="2061"/>
      <c r="H44" s="1309"/>
      <c r="I44" s="1309"/>
      <c r="J44" s="1309"/>
      <c r="K44" s="1309"/>
      <c r="L44" s="1309"/>
      <c r="M44" s="1309"/>
      <c r="N44" s="1309"/>
      <c r="O44" s="1309"/>
      <c r="P44" s="1309"/>
      <c r="Q44" s="1309"/>
      <c r="R44" s="1309"/>
      <c r="S44" s="1309"/>
    </row>
    <row r="45" spans="1:19">
      <c r="A45" s="1980" t="s">
        <v>304</v>
      </c>
      <c r="B45" s="2017"/>
      <c r="C45" s="2018"/>
      <c r="D45" s="2018"/>
      <c r="E45" s="572"/>
    </row>
    <row r="46" spans="1:19">
      <c r="A46" s="436"/>
      <c r="E46" s="436"/>
    </row>
    <row r="47" spans="1:19" ht="53.25" customHeight="1">
      <c r="A47" s="2019" t="s">
        <v>903</v>
      </c>
      <c r="B47" s="2020"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2"/>
      <c r="D47" s="832"/>
      <c r="E47" s="2004"/>
    </row>
    <row r="48" spans="1:19" ht="54" customHeight="1">
      <c r="A48" s="2019" t="s">
        <v>897</v>
      </c>
      <c r="B48" s="2020" t="s">
        <v>904</v>
      </c>
      <c r="C48" s="2021"/>
      <c r="D48" s="2021"/>
      <c r="E48" s="2022"/>
      <c r="F48" s="2023"/>
      <c r="G48" s="1309"/>
    </row>
    <row r="49" spans="1:7" ht="38.25">
      <c r="A49" s="2019" t="s">
        <v>894</v>
      </c>
      <c r="B49" s="2020" t="s">
        <v>1016</v>
      </c>
      <c r="C49" s="2024"/>
      <c r="D49" s="2024"/>
      <c r="E49" s="2022"/>
      <c r="F49" s="2023"/>
      <c r="G49" s="1309"/>
    </row>
    <row r="50" spans="1:7" ht="13.5" thickBot="1">
      <c r="A50" s="2005"/>
      <c r="B50" s="2025"/>
      <c r="C50" s="2025"/>
      <c r="D50" s="2025"/>
      <c r="E50" s="573"/>
      <c r="F50" s="1309"/>
      <c r="G50" s="1309"/>
    </row>
    <row r="51" spans="1:7">
      <c r="A51" s="1981"/>
      <c r="B51" s="1309"/>
      <c r="C51" s="1309"/>
      <c r="D51" s="1309"/>
      <c r="E51" s="163"/>
      <c r="F51" s="2026"/>
      <c r="G51" s="1309"/>
    </row>
    <row r="52" spans="1:7">
      <c r="A52" s="1981"/>
      <c r="B52" s="1309"/>
      <c r="C52" s="1309"/>
      <c r="D52" s="1309"/>
      <c r="E52" s="164"/>
      <c r="F52" s="1981"/>
      <c r="G52" s="1309"/>
    </row>
    <row r="53" spans="1:7">
      <c r="A53" s="1981"/>
      <c r="B53" s="1309"/>
      <c r="C53" s="832"/>
      <c r="D53" s="832"/>
      <c r="E53" s="2027"/>
      <c r="F53" s="2004"/>
      <c r="G53" s="1309"/>
    </row>
    <row r="54" spans="1:7">
      <c r="B54" s="2029"/>
      <c r="C54" s="2020"/>
      <c r="D54" s="2020"/>
      <c r="E54" s="163"/>
      <c r="F54" s="1309"/>
      <c r="G54" s="1309"/>
    </row>
    <row r="55" spans="1:7">
      <c r="E55" s="163"/>
      <c r="F55" s="1309"/>
      <c r="G55" s="1309"/>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2612" t="s">
        <v>365</v>
      </c>
      <c r="B1" s="354"/>
      <c r="C1" s="354"/>
      <c r="D1" s="354"/>
      <c r="E1" s="354"/>
      <c r="F1" s="354"/>
      <c r="G1" s="354"/>
      <c r="H1" s="680"/>
      <c r="I1" s="680"/>
    </row>
    <row r="2" spans="1:10" ht="18">
      <c r="A2" s="2232" t="s">
        <v>1067</v>
      </c>
      <c r="B2" s="676"/>
      <c r="C2" s="676"/>
      <c r="D2" s="676"/>
      <c r="E2" s="676"/>
      <c r="F2" s="676"/>
      <c r="G2" s="676"/>
      <c r="H2" s="710"/>
      <c r="I2" s="710"/>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730</v>
      </c>
      <c r="D7" s="23"/>
      <c r="E7" s="23"/>
      <c r="F7" s="349"/>
      <c r="G7" s="349"/>
      <c r="H7" s="349"/>
      <c r="I7" s="349"/>
    </row>
    <row r="8" spans="1:10" s="18" customFormat="1" ht="15">
      <c r="A8" s="44" t="s">
        <v>227</v>
      </c>
      <c r="B8" s="44"/>
      <c r="C8" s="23"/>
      <c r="D8" s="23" t="s">
        <v>731</v>
      </c>
      <c r="E8" s="23"/>
      <c r="F8" s="349"/>
      <c r="G8" s="242" t="str">
        <f>"Appendix A input: Line "&amp;A28&amp;" + Line "&amp;A50&amp;" from below"</f>
        <v>Appendix A input: Line 127 + Line 137 from below</v>
      </c>
      <c r="H8" s="349"/>
      <c r="I8" s="1242">
        <f>+I28+I50</f>
        <v>393276764.18947041</v>
      </c>
    </row>
    <row r="9" spans="1:10" s="18" customFormat="1" ht="15">
      <c r="A9" s="44" t="s">
        <v>283</v>
      </c>
      <c r="B9" s="44"/>
      <c r="C9" s="349"/>
      <c r="D9" s="349" t="str">
        <f>I9*10000&amp;" Basis Point increase in ROE"</f>
        <v>100 Basis Point increase in ROE</v>
      </c>
      <c r="E9" s="349"/>
      <c r="F9" s="349"/>
      <c r="G9" s="349"/>
      <c r="H9" s="349"/>
      <c r="I9" s="701">
        <v>0.01</v>
      </c>
    </row>
    <row r="10" spans="1:10" s="23" customFormat="1" ht="15">
      <c r="A10" s="44"/>
      <c r="B10" s="44"/>
      <c r="C10" s="349"/>
      <c r="D10" s="349"/>
      <c r="E10" s="349"/>
      <c r="F10" s="349"/>
      <c r="G10" s="349"/>
      <c r="H10" s="349"/>
    </row>
    <row r="11" spans="1:10" s="23" customFormat="1" ht="15.75">
      <c r="A11" s="1057" t="s">
        <v>170</v>
      </c>
      <c r="B11" s="63"/>
      <c r="C11" s="63"/>
      <c r="D11" s="63"/>
      <c r="E11" s="63"/>
      <c r="F11" s="63"/>
      <c r="G11" s="63"/>
      <c r="H11" s="63"/>
      <c r="I11" s="63"/>
    </row>
    <row r="12" spans="1:10" s="23" customFormat="1" ht="15.75">
      <c r="A12" s="1058"/>
      <c r="F12" s="23" t="s">
        <v>304</v>
      </c>
      <c r="G12" s="224" t="s">
        <v>905</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59"/>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0.48799562634614152</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1.6603904212645433E-4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0.51183833461173212</v>
      </c>
    </row>
    <row r="18" spans="1:10" s="18" customFormat="1" ht="15">
      <c r="A18" s="438"/>
      <c r="B18" s="30"/>
      <c r="C18" s="30"/>
      <c r="D18" s="19"/>
      <c r="E18" s="30"/>
      <c r="F18" s="531"/>
      <c r="G18" s="1060"/>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5.2094931850804244E-2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0"/>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2.5422098897992775E-2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1.1212064713378177E-5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5.5278540138067066E-2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8.0711851100773224E-2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278254882.31869394</v>
      </c>
    </row>
    <row r="29" spans="1:10" s="18" customFormat="1" ht="15.75" thickTop="1">
      <c r="A29" s="34"/>
      <c r="B29" s="8"/>
      <c r="C29" s="8"/>
      <c r="D29" s="506"/>
      <c r="E29" s="9"/>
      <c r="F29" s="44"/>
      <c r="G29" s="254"/>
      <c r="H29" s="476"/>
      <c r="I29" s="534"/>
    </row>
    <row r="30" spans="1:10" s="18" customFormat="1" ht="15.75">
      <c r="A30" s="1061" t="s">
        <v>134</v>
      </c>
      <c r="B30" s="1062"/>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868</v>
      </c>
      <c r="E33" s="9"/>
      <c r="F33" s="44"/>
      <c r="G33" s="167"/>
      <c r="H33" s="473"/>
      <c r="I33" s="1063">
        <f>+'Appendix A'!H226</f>
        <v>0.35</v>
      </c>
    </row>
    <row r="34" spans="1:10" s="18" customFormat="1" ht="15">
      <c r="A34" s="34">
        <f>+A33+1</f>
        <v>129</v>
      </c>
      <c r="B34" s="44"/>
      <c r="C34" s="8"/>
      <c r="D34" s="473" t="s">
        <v>869</v>
      </c>
      <c r="E34" s="536"/>
      <c r="F34" s="44"/>
      <c r="G34" s="167"/>
      <c r="H34" s="473"/>
      <c r="I34" s="1063">
        <f>+'Appendix A'!H227</f>
        <v>4.5400000000000003E-2</v>
      </c>
    </row>
    <row r="35" spans="1:10" s="18" customFormat="1" ht="15">
      <c r="A35" s="34">
        <f>+A34+1</f>
        <v>130</v>
      </c>
      <c r="B35" s="44"/>
      <c r="C35" s="8"/>
      <c r="D35" s="473" t="s">
        <v>100</v>
      </c>
      <c r="E35" s="473"/>
      <c r="F35" s="44"/>
      <c r="G35" s="42" t="str">
        <f>+'Appendix A'!F228</f>
        <v>Per state tax code</v>
      </c>
      <c r="H35" s="473"/>
      <c r="I35" s="1063">
        <f>+'Appendix A'!H228</f>
        <v>0</v>
      </c>
    </row>
    <row r="36" spans="1:10" s="18" customFormat="1" ht="15">
      <c r="A36" s="34">
        <f>+A35+1</f>
        <v>131</v>
      </c>
      <c r="B36" s="44"/>
      <c r="C36" s="8"/>
      <c r="D36" s="473" t="s">
        <v>307</v>
      </c>
      <c r="E36" s="538" t="s">
        <v>867</v>
      </c>
      <c r="F36" s="44"/>
      <c r="G36" s="349"/>
      <c r="H36" s="473"/>
      <c r="I36" s="1063">
        <f>+'Appendix A'!H229</f>
        <v>0.37951000000000001</v>
      </c>
    </row>
    <row r="37" spans="1:10" s="18" customFormat="1" ht="15">
      <c r="A37" s="34">
        <f>A36+1</f>
        <v>132</v>
      </c>
      <c r="B37" s="45"/>
      <c r="C37" s="34"/>
      <c r="D37" s="473" t="s">
        <v>29</v>
      </c>
      <c r="E37" s="323"/>
      <c r="F37" s="323"/>
      <c r="G37" s="323"/>
      <c r="H37" s="323"/>
      <c r="I37" s="1063">
        <f>I36/(1-I36)</f>
        <v>0.6116295186062628</v>
      </c>
      <c r="J37" s="23"/>
    </row>
    <row r="38" spans="1:10" s="18" customFormat="1" ht="15">
      <c r="A38" s="34">
        <f>A37+1</f>
        <v>133</v>
      </c>
      <c r="B38" s="45"/>
      <c r="C38" s="34"/>
      <c r="D38" s="473" t="s">
        <v>28</v>
      </c>
      <c r="E38" s="1064"/>
      <c r="F38" s="45"/>
      <c r="G38" s="22"/>
      <c r="H38" s="473"/>
      <c r="I38" s="1063">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2606"/>
      <c r="F41" s="1065"/>
      <c r="G41" s="1066" t="str">
        <f>+'Appendix A'!F233</f>
        <v>Attachment 5</v>
      </c>
      <c r="H41" s="1067"/>
      <c r="I41" s="660">
        <f>+'Appendix A'!H233</f>
        <v>-969214.4439162506</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6"/>
      <c r="H43" s="543"/>
      <c r="I43" s="654"/>
    </row>
    <row r="44" spans="1:10" s="18" customFormat="1" ht="15.75">
      <c r="A44" s="34">
        <f>+A41+1</f>
        <v>135</v>
      </c>
      <c r="B44" s="44"/>
      <c r="C44" s="8"/>
      <c r="D44" s="82" t="s">
        <v>109</v>
      </c>
      <c r="E44" s="349"/>
      <c r="F44" s="37"/>
      <c r="G44" s="242" t="str">
        <f>"(Line "&amp;A41&amp;" * (1 / (1 - Line "&amp;A36&amp;")"</f>
        <v>(Line 134 * (1 / (1 - Line 131)</v>
      </c>
      <c r="H44" s="1068"/>
      <c r="I44" s="1241">
        <f>I41*(1/(1-I36))</f>
        <v>-1562014.6076749836</v>
      </c>
    </row>
    <row r="45" spans="1:10" s="18" customFormat="1" ht="15.75">
      <c r="A45" s="34"/>
      <c r="B45" s="8"/>
      <c r="C45" s="8"/>
      <c r="D45" s="82"/>
      <c r="E45" s="37"/>
      <c r="F45" s="111"/>
      <c r="G45" s="110"/>
      <c r="H45" s="543"/>
      <c r="I45" s="1069"/>
    </row>
    <row r="46" spans="1:10" s="18" customFormat="1" ht="15.75">
      <c r="A46" s="34"/>
      <c r="B46" s="8"/>
      <c r="C46" s="8"/>
      <c r="D46" s="82"/>
      <c r="E46" s="37"/>
      <c r="F46" s="111"/>
      <c r="G46" s="110"/>
      <c r="H46" s="543"/>
      <c r="I46" s="1070"/>
    </row>
    <row r="47" spans="1:10" s="18" customFormat="1" ht="15.75">
      <c r="A47" s="34"/>
      <c r="B47" s="8"/>
      <c r="C47" s="8"/>
      <c r="D47" s="9"/>
      <c r="E47" s="9"/>
      <c r="F47" s="513"/>
      <c r="G47" s="538"/>
      <c r="H47" s="535"/>
      <c r="I47" s="109"/>
    </row>
    <row r="48" spans="1:10" s="18" customFormat="1" ht="15.75">
      <c r="A48" s="34">
        <f>+A44+1</f>
        <v>136</v>
      </c>
      <c r="B48" s="44"/>
      <c r="C48" s="1" t="s">
        <v>279</v>
      </c>
      <c r="D48" s="349"/>
      <c r="E48" s="9" t="s">
        <v>924</v>
      </c>
      <c r="F48" s="157"/>
      <c r="G48" s="475"/>
      <c r="H48" s="9"/>
      <c r="I48" s="706">
        <f>+I37*(1-I23/I26)*I28</f>
        <v>116583896.47845146</v>
      </c>
    </row>
    <row r="49" spans="1:9" s="18" customFormat="1" ht="15">
      <c r="A49" s="34"/>
      <c r="B49" s="8"/>
      <c r="C49" s="8"/>
      <c r="D49" s="36"/>
      <c r="E49" s="37"/>
      <c r="F49" s="883"/>
      <c r="G49" s="475"/>
      <c r="H49" s="543"/>
      <c r="I49" s="654"/>
    </row>
    <row r="50" spans="1:9" s="18" customFormat="1" ht="16.5" thickBot="1">
      <c r="A50" s="34">
        <f>+A48+1</f>
        <v>137</v>
      </c>
      <c r="B50" s="44"/>
      <c r="C50" s="54" t="s">
        <v>209</v>
      </c>
      <c r="D50" s="54"/>
      <c r="E50" s="52"/>
      <c r="F50" s="88"/>
      <c r="G50" s="14"/>
      <c r="H50" s="67"/>
      <c r="I50" s="655">
        <f>+I48+I44</f>
        <v>115021881.87077647</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24"/>
  <sheetViews>
    <sheetView zoomScale="85" zoomScaleNormal="85" workbookViewId="0"/>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246"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231" t="s">
        <v>365</v>
      </c>
      <c r="B1" s="1042"/>
      <c r="C1" s="1043"/>
      <c r="D1" s="1044"/>
      <c r="E1" s="1044"/>
      <c r="F1" s="1045"/>
      <c r="G1" s="1043"/>
      <c r="H1" s="1043"/>
      <c r="I1" s="1043"/>
      <c r="J1" s="1043"/>
      <c r="K1" s="1043"/>
      <c r="L1" s="1043"/>
      <c r="M1" s="1043"/>
    </row>
    <row r="2" spans="1:31" ht="21" customHeight="1">
      <c r="A2" s="2232" t="s">
        <v>292</v>
      </c>
      <c r="B2" s="1042"/>
      <c r="C2" s="1043"/>
      <c r="D2" s="1044"/>
      <c r="E2" s="1044"/>
      <c r="F2" s="1045"/>
      <c r="G2" s="1043"/>
      <c r="H2" s="1043"/>
      <c r="I2" s="1043"/>
      <c r="J2" s="1043"/>
      <c r="K2" s="1043"/>
      <c r="L2" s="1043"/>
      <c r="M2" s="1043"/>
    </row>
    <row r="3" spans="1:31" s="387" customFormat="1" ht="15.75">
      <c r="A3" s="753"/>
      <c r="B3" s="754"/>
      <c r="C3" s="754"/>
      <c r="D3" s="754"/>
      <c r="E3" s="754"/>
      <c r="F3" s="754"/>
      <c r="G3" s="754"/>
      <c r="H3" s="754"/>
      <c r="I3" s="754"/>
      <c r="J3" s="754"/>
      <c r="K3" s="754"/>
      <c r="L3" s="754"/>
      <c r="P3" s="2247"/>
    </row>
    <row r="4" spans="1:31" s="880" customFormat="1" ht="16.5" thickBot="1">
      <c r="A4" s="873" t="s">
        <v>607</v>
      </c>
      <c r="B4" s="754"/>
      <c r="C4" s="754"/>
      <c r="D4" s="754"/>
      <c r="E4" s="754"/>
      <c r="F4" s="754"/>
      <c r="G4" s="754"/>
      <c r="H4" s="754"/>
      <c r="I4" s="754"/>
      <c r="J4" s="754"/>
      <c r="K4" s="754"/>
      <c r="L4" s="754"/>
      <c r="O4" s="2390"/>
      <c r="P4" s="2391"/>
      <c r="Q4" s="2390"/>
      <c r="R4" s="2390"/>
      <c r="S4" s="2390"/>
      <c r="T4" s="2390"/>
      <c r="U4" s="2390"/>
      <c r="V4" s="2390"/>
      <c r="W4" s="2390"/>
      <c r="X4" s="2390"/>
      <c r="Y4" s="2390"/>
      <c r="Z4" s="2390"/>
      <c r="AA4" s="2390"/>
      <c r="AB4" s="2390"/>
      <c r="AC4" s="2390"/>
      <c r="AD4" s="2390"/>
      <c r="AE4" s="2390"/>
    </row>
    <row r="5" spans="1:31" s="387" customFormat="1">
      <c r="A5" s="2680" t="s">
        <v>608</v>
      </c>
      <c r="B5" s="2681"/>
      <c r="C5" s="2681"/>
      <c r="D5" s="2681"/>
      <c r="E5" s="2681"/>
      <c r="F5" s="2681"/>
      <c r="G5" s="2682"/>
      <c r="H5" s="913" t="s">
        <v>1038</v>
      </c>
      <c r="I5" s="914"/>
      <c r="J5" s="914"/>
      <c r="K5" s="915"/>
      <c r="L5" s="915"/>
      <c r="M5" s="916"/>
      <c r="O5" s="2390"/>
      <c r="P5" s="2391"/>
      <c r="Q5" s="2392"/>
      <c r="R5" s="2392"/>
      <c r="S5" s="2392"/>
      <c r="T5" s="2390"/>
      <c r="U5" s="2392"/>
      <c r="V5" s="2390"/>
      <c r="W5" s="2392"/>
      <c r="X5" s="2390"/>
      <c r="Y5" s="2390"/>
      <c r="Z5" s="2390"/>
      <c r="AA5" s="2390"/>
      <c r="AB5" s="2390"/>
      <c r="AC5" s="2390"/>
      <c r="AD5" s="2390"/>
      <c r="AE5" s="2390"/>
    </row>
    <row r="6" spans="1:31" s="387" customFormat="1" ht="15" customHeight="1">
      <c r="A6" s="2233"/>
      <c r="B6" s="758"/>
      <c r="C6" s="756" t="s">
        <v>609</v>
      </c>
      <c r="D6" s="757" t="s">
        <v>26</v>
      </c>
      <c r="E6" s="758" t="s">
        <v>1039</v>
      </c>
      <c r="F6" s="758" t="s">
        <v>141</v>
      </c>
      <c r="G6" s="759" t="s">
        <v>158</v>
      </c>
      <c r="H6" s="760"/>
      <c r="I6" s="782"/>
      <c r="J6" s="782"/>
      <c r="K6" s="2382"/>
      <c r="L6" s="2382"/>
      <c r="M6" s="762"/>
      <c r="O6" s="2391"/>
      <c r="P6" s="2391"/>
      <c r="Q6" s="2390"/>
      <c r="R6" s="2392"/>
      <c r="S6" s="2390"/>
      <c r="T6" s="2390"/>
      <c r="U6" s="2392"/>
      <c r="V6" s="2390"/>
      <c r="W6" s="2392"/>
      <c r="X6" s="2390"/>
      <c r="Y6" s="2390"/>
      <c r="Z6" s="2390"/>
      <c r="AA6" s="2390"/>
      <c r="AB6" s="2390"/>
      <c r="AC6" s="2390"/>
      <c r="AD6" s="2390"/>
      <c r="AE6" s="2390"/>
    </row>
    <row r="7" spans="1:31" s="387" customFormat="1">
      <c r="A7" s="2233"/>
      <c r="B7" s="816">
        <v>1</v>
      </c>
      <c r="C7" s="763" t="s">
        <v>358</v>
      </c>
      <c r="D7" s="392" t="s">
        <v>1331</v>
      </c>
      <c r="E7" s="392"/>
      <c r="F7" s="1574">
        <f>data_year-1</f>
        <v>2016</v>
      </c>
      <c r="G7" s="1158">
        <v>6051719907.0800028</v>
      </c>
      <c r="H7" s="1635" t="str">
        <f>IF((INDEX(Inputs_EndYrBal_prior,MATCH($D19,Inputs_FF1_Map,0))-G7)&lt;1,"-","Check values!")</f>
        <v>-</v>
      </c>
      <c r="I7" s="2383"/>
      <c r="J7" s="2603"/>
      <c r="K7" s="2382"/>
      <c r="L7" s="2382"/>
      <c r="M7" s="762"/>
      <c r="O7" s="2391"/>
      <c r="P7" s="2391"/>
      <c r="Q7" s="2390"/>
      <c r="R7" s="2390"/>
      <c r="S7" s="2390"/>
      <c r="T7" s="2390"/>
      <c r="U7" s="2390"/>
      <c r="V7" s="2390"/>
      <c r="W7" s="2390"/>
      <c r="X7" s="2390"/>
      <c r="Y7" s="2390"/>
      <c r="Z7" s="2390"/>
      <c r="AA7" s="2390"/>
      <c r="AB7" s="2390"/>
      <c r="AC7" s="2390"/>
      <c r="AD7" s="2390"/>
      <c r="AE7" s="2390"/>
    </row>
    <row r="8" spans="1:31" s="387" customFormat="1">
      <c r="A8" s="2233"/>
      <c r="B8" s="758">
        <f t="shared" ref="B8:B20" si="0">+B7+1</f>
        <v>2</v>
      </c>
      <c r="C8" s="765" t="s">
        <v>350</v>
      </c>
      <c r="D8" s="757" t="s">
        <v>630</v>
      </c>
      <c r="E8" s="757"/>
      <c r="F8" s="1574">
        <f>+F7+1</f>
        <v>2017</v>
      </c>
      <c r="G8" s="1158">
        <v>6052647589.4899988</v>
      </c>
      <c r="H8" s="766"/>
      <c r="I8" s="2383"/>
      <c r="J8" s="2603"/>
      <c r="K8" s="2382"/>
      <c r="L8" s="2384"/>
      <c r="M8" s="2245"/>
      <c r="O8" s="2391"/>
      <c r="P8" s="2391"/>
      <c r="Q8" s="2393"/>
      <c r="R8" s="2393"/>
      <c r="S8" s="2393"/>
      <c r="T8" s="2390"/>
      <c r="U8" s="2393"/>
      <c r="V8" s="2390"/>
      <c r="W8" s="2393"/>
      <c r="X8" s="2390"/>
      <c r="Y8" s="2390"/>
      <c r="Z8" s="2390"/>
      <c r="AA8" s="2390"/>
      <c r="AB8" s="2390"/>
      <c r="AC8" s="2390"/>
      <c r="AD8" s="2390"/>
      <c r="AE8" s="2390"/>
    </row>
    <row r="9" spans="1:31" s="387" customFormat="1">
      <c r="A9" s="2233"/>
      <c r="B9" s="758">
        <f t="shared" si="0"/>
        <v>3</v>
      </c>
      <c r="C9" s="768" t="s">
        <v>351</v>
      </c>
      <c r="D9" s="757" t="s">
        <v>630</v>
      </c>
      <c r="E9" s="757"/>
      <c r="F9" s="1574">
        <f t="shared" ref="F9:F19" si="1">+F8</f>
        <v>2017</v>
      </c>
      <c r="G9" s="1158">
        <v>6054500728.2599993</v>
      </c>
      <c r="H9" s="764"/>
      <c r="I9" s="2383"/>
      <c r="J9" s="2603"/>
      <c r="K9" s="2382"/>
      <c r="L9" s="2382"/>
      <c r="M9" s="2245"/>
      <c r="O9" s="2391"/>
      <c r="P9" s="2391"/>
      <c r="Q9" s="2393"/>
      <c r="R9" s="2393"/>
      <c r="S9" s="2393"/>
      <c r="T9" s="2390"/>
      <c r="U9" s="2393"/>
      <c r="V9" s="2390"/>
      <c r="W9" s="2393"/>
      <c r="X9" s="2390"/>
      <c r="Y9" s="2390"/>
      <c r="Z9" s="2390"/>
      <c r="AA9" s="2390"/>
      <c r="AB9" s="2390"/>
      <c r="AC9" s="2390"/>
      <c r="AD9" s="2390"/>
      <c r="AE9" s="2390"/>
    </row>
    <row r="10" spans="1:31" s="387" customFormat="1">
      <c r="A10" s="2233"/>
      <c r="B10" s="758">
        <f t="shared" si="0"/>
        <v>4</v>
      </c>
      <c r="C10" s="768" t="s">
        <v>352</v>
      </c>
      <c r="D10" s="757" t="s">
        <v>630</v>
      </c>
      <c r="E10" s="757"/>
      <c r="F10" s="1574">
        <f t="shared" si="1"/>
        <v>2017</v>
      </c>
      <c r="G10" s="1158">
        <v>6059997450.9499989</v>
      </c>
      <c r="H10" s="764"/>
      <c r="I10" s="2383"/>
      <c r="J10" s="2603"/>
      <c r="K10" s="761"/>
      <c r="L10" s="2382"/>
      <c r="M10" s="2245"/>
      <c r="O10" s="2391"/>
      <c r="P10" s="2391"/>
      <c r="Q10" s="2393"/>
      <c r="R10" s="2393"/>
      <c r="S10" s="2393"/>
      <c r="T10" s="2390"/>
      <c r="U10" s="2393"/>
      <c r="V10" s="2390"/>
      <c r="W10" s="2393"/>
      <c r="X10" s="2390"/>
      <c r="Y10" s="2390"/>
      <c r="Z10" s="2390"/>
      <c r="AA10" s="2390"/>
      <c r="AB10" s="2390"/>
      <c r="AC10" s="2390"/>
      <c r="AD10" s="2390"/>
      <c r="AE10" s="2390"/>
    </row>
    <row r="11" spans="1:31" s="387" customFormat="1">
      <c r="A11" s="2233"/>
      <c r="B11" s="758">
        <f t="shared" si="0"/>
        <v>5</v>
      </c>
      <c r="C11" s="765" t="s">
        <v>143</v>
      </c>
      <c r="D11" s="757" t="s">
        <v>630</v>
      </c>
      <c r="E11" s="757"/>
      <c r="F11" s="1574">
        <f t="shared" si="1"/>
        <v>2017</v>
      </c>
      <c r="G11" s="1158">
        <v>6096051446.5</v>
      </c>
      <c r="H11" s="764"/>
      <c r="I11" s="2383"/>
      <c r="J11" s="2603"/>
      <c r="K11" s="761"/>
      <c r="L11" s="2382"/>
      <c r="M11" s="2245"/>
      <c r="O11" s="2391"/>
      <c r="P11" s="2391"/>
      <c r="Q11" s="2393"/>
      <c r="R11" s="2393"/>
      <c r="S11" s="2393"/>
      <c r="T11" s="2390"/>
      <c r="U11" s="2393"/>
      <c r="V11" s="2390"/>
      <c r="W11" s="2393"/>
      <c r="X11" s="2390"/>
      <c r="Y11" s="2390"/>
      <c r="Z11" s="2390"/>
      <c r="AA11" s="2390"/>
      <c r="AB11" s="2390"/>
      <c r="AC11" s="2390"/>
      <c r="AD11" s="2390"/>
      <c r="AE11" s="2390"/>
    </row>
    <row r="12" spans="1:31" s="387" customFormat="1">
      <c r="A12" s="2233"/>
      <c r="B12" s="758">
        <f t="shared" si="0"/>
        <v>6</v>
      </c>
      <c r="C12" s="768" t="s">
        <v>144</v>
      </c>
      <c r="D12" s="757" t="s">
        <v>630</v>
      </c>
      <c r="E12" s="757"/>
      <c r="F12" s="1574">
        <f t="shared" si="1"/>
        <v>2017</v>
      </c>
      <c r="G12" s="1158">
        <v>6116626107.2600002</v>
      </c>
      <c r="H12" s="769"/>
      <c r="I12" s="2383"/>
      <c r="J12" s="2603"/>
      <c r="K12" s="782"/>
      <c r="L12" s="2382"/>
      <c r="M12" s="2385"/>
      <c r="O12" s="2391"/>
      <c r="P12" s="2391"/>
      <c r="Q12" s="2393"/>
      <c r="R12" s="2393"/>
      <c r="S12" s="2393"/>
      <c r="T12" s="2390"/>
      <c r="U12" s="2393"/>
      <c r="V12" s="2390"/>
      <c r="W12" s="2393"/>
      <c r="X12" s="2390"/>
      <c r="Y12" s="2390"/>
      <c r="Z12" s="2390"/>
      <c r="AA12" s="2390"/>
      <c r="AB12" s="2390"/>
      <c r="AC12" s="2390"/>
      <c r="AD12" s="2390"/>
      <c r="AE12" s="2390"/>
    </row>
    <row r="13" spans="1:31" s="387" customFormat="1">
      <c r="A13" s="2233"/>
      <c r="B13" s="758">
        <f t="shared" si="0"/>
        <v>7</v>
      </c>
      <c r="C13" s="768" t="s">
        <v>610</v>
      </c>
      <c r="D13" s="757" t="s">
        <v>630</v>
      </c>
      <c r="E13" s="757"/>
      <c r="F13" s="1574">
        <f t="shared" si="1"/>
        <v>2017</v>
      </c>
      <c r="G13" s="1158">
        <v>6126198370.2100019</v>
      </c>
      <c r="H13" s="764"/>
      <c r="I13" s="2383"/>
      <c r="J13" s="2603"/>
      <c r="K13" s="761"/>
      <c r="L13" s="2382"/>
      <c r="M13" s="2245"/>
      <c r="O13" s="2391"/>
      <c r="P13" s="2391"/>
      <c r="Q13" s="2393"/>
      <c r="R13" s="2393"/>
      <c r="S13" s="2393"/>
      <c r="T13" s="2390"/>
      <c r="U13" s="2393"/>
      <c r="V13" s="2390"/>
      <c r="W13" s="2393"/>
      <c r="X13" s="2390"/>
      <c r="Y13" s="2390"/>
      <c r="Z13" s="2390"/>
      <c r="AA13" s="2390"/>
      <c r="AB13" s="2390"/>
      <c r="AC13" s="2390"/>
      <c r="AD13" s="2390"/>
      <c r="AE13" s="2390"/>
    </row>
    <row r="14" spans="1:31" s="387" customFormat="1">
      <c r="A14" s="2233"/>
      <c r="B14" s="758">
        <f t="shared" si="0"/>
        <v>8</v>
      </c>
      <c r="C14" s="765" t="s">
        <v>353</v>
      </c>
      <c r="D14" s="757" t="s">
        <v>630</v>
      </c>
      <c r="E14" s="757"/>
      <c r="F14" s="1574">
        <f t="shared" si="1"/>
        <v>2017</v>
      </c>
      <c r="G14" s="1158">
        <v>6133854927.4500008</v>
      </c>
      <c r="H14" s="766"/>
      <c r="I14" s="2383"/>
      <c r="J14" s="2603"/>
      <c r="K14" s="761"/>
      <c r="L14" s="2382"/>
      <c r="M14" s="2245"/>
      <c r="O14" s="2391"/>
      <c r="P14" s="2391"/>
      <c r="Q14" s="2393"/>
      <c r="R14" s="2393"/>
      <c r="S14" s="2393"/>
      <c r="T14" s="2390"/>
      <c r="U14" s="2393"/>
      <c r="V14" s="2390"/>
      <c r="W14" s="2393"/>
      <c r="X14" s="2390"/>
      <c r="Y14" s="2390"/>
      <c r="Z14" s="2390"/>
      <c r="AA14" s="2390"/>
      <c r="AB14" s="2390"/>
      <c r="AC14" s="2390"/>
      <c r="AD14" s="2390"/>
      <c r="AE14" s="2390"/>
    </row>
    <row r="15" spans="1:31" s="387" customFormat="1">
      <c r="A15" s="2233"/>
      <c r="B15" s="758">
        <f t="shared" si="0"/>
        <v>9</v>
      </c>
      <c r="C15" s="768" t="s">
        <v>354</v>
      </c>
      <c r="D15" s="757" t="s">
        <v>630</v>
      </c>
      <c r="E15" s="757"/>
      <c r="F15" s="1574">
        <f t="shared" si="1"/>
        <v>2017</v>
      </c>
      <c r="G15" s="1158">
        <v>6149335759.0299978</v>
      </c>
      <c r="H15" s="764"/>
      <c r="I15" s="2383"/>
      <c r="J15" s="2603"/>
      <c r="K15" s="761"/>
      <c r="L15" s="2382"/>
      <c r="M15" s="2245"/>
      <c r="O15" s="2391"/>
      <c r="P15" s="2391"/>
      <c r="Q15" s="2393"/>
      <c r="R15" s="2393"/>
      <c r="S15" s="2393"/>
      <c r="T15" s="2390"/>
      <c r="U15" s="2393"/>
      <c r="V15" s="2390"/>
      <c r="W15" s="2393"/>
      <c r="X15" s="2390"/>
      <c r="Y15" s="2390"/>
      <c r="Z15" s="2390"/>
      <c r="AA15" s="2390"/>
      <c r="AB15" s="2390"/>
      <c r="AC15" s="2390"/>
      <c r="AD15" s="2390"/>
      <c r="AE15" s="2390"/>
    </row>
    <row r="16" spans="1:31" s="387" customFormat="1">
      <c r="A16" s="2233"/>
      <c r="B16" s="758">
        <f t="shared" si="0"/>
        <v>10</v>
      </c>
      <c r="C16" s="768" t="s">
        <v>355</v>
      </c>
      <c r="D16" s="757" t="s">
        <v>630</v>
      </c>
      <c r="E16" s="757"/>
      <c r="F16" s="1574">
        <f t="shared" si="1"/>
        <v>2017</v>
      </c>
      <c r="G16" s="1158">
        <v>6155856079.3100014</v>
      </c>
      <c r="H16" s="764"/>
      <c r="I16" s="2383"/>
      <c r="J16" s="2603"/>
      <c r="K16" s="761"/>
      <c r="L16" s="2382"/>
      <c r="M16" s="2245"/>
      <c r="O16" s="2391"/>
      <c r="P16" s="2391"/>
      <c r="Q16" s="2393"/>
      <c r="R16" s="2393"/>
      <c r="S16" s="2393"/>
      <c r="T16" s="2390"/>
      <c r="U16" s="2393"/>
      <c r="V16" s="2390"/>
      <c r="W16" s="2393"/>
      <c r="X16" s="2390"/>
      <c r="Y16" s="2390"/>
      <c r="Z16" s="2390"/>
      <c r="AA16" s="2390"/>
      <c r="AB16" s="2390"/>
      <c r="AC16" s="2390"/>
      <c r="AD16" s="2390"/>
      <c r="AE16" s="2390"/>
    </row>
    <row r="17" spans="1:31" s="387" customFormat="1">
      <c r="A17" s="2233"/>
      <c r="B17" s="758">
        <f t="shared" si="0"/>
        <v>11</v>
      </c>
      <c r="C17" s="765" t="s">
        <v>611</v>
      </c>
      <c r="D17" s="757" t="s">
        <v>630</v>
      </c>
      <c r="E17" s="757"/>
      <c r="F17" s="1574">
        <f t="shared" si="1"/>
        <v>2017</v>
      </c>
      <c r="G17" s="1158">
        <v>6167792394.0600014</v>
      </c>
      <c r="H17" s="764"/>
      <c r="I17" s="2383"/>
      <c r="J17" s="2603"/>
      <c r="K17" s="761"/>
      <c r="L17" s="2382"/>
      <c r="M17" s="2245"/>
      <c r="O17" s="2391"/>
      <c r="P17" s="2391"/>
      <c r="Q17" s="2393"/>
      <c r="R17" s="2393"/>
      <c r="S17" s="2393"/>
      <c r="T17" s="2390"/>
      <c r="U17" s="2393"/>
      <c r="V17" s="2390"/>
      <c r="W17" s="2393"/>
      <c r="X17" s="2390"/>
      <c r="Y17" s="2390"/>
      <c r="Z17" s="2390"/>
      <c r="AA17" s="2390"/>
      <c r="AB17" s="2390"/>
      <c r="AC17" s="2390"/>
      <c r="AD17" s="2390"/>
      <c r="AE17" s="2390"/>
    </row>
    <row r="18" spans="1:31" s="387" customFormat="1">
      <c r="A18" s="2233"/>
      <c r="B18" s="758">
        <f t="shared" si="0"/>
        <v>12</v>
      </c>
      <c r="C18" s="765" t="s">
        <v>357</v>
      </c>
      <c r="D18" s="757" t="s">
        <v>630</v>
      </c>
      <c r="E18" s="757"/>
      <c r="F18" s="1574">
        <f t="shared" si="1"/>
        <v>2017</v>
      </c>
      <c r="G18" s="1158">
        <v>6207459519.0500002</v>
      </c>
      <c r="H18" s="764"/>
      <c r="I18" s="2383"/>
      <c r="J18" s="2603"/>
      <c r="K18" s="761"/>
      <c r="L18" s="2382"/>
      <c r="M18" s="2245"/>
      <c r="O18" s="2391"/>
      <c r="P18" s="2391"/>
      <c r="Q18" s="2393"/>
      <c r="R18" s="2393"/>
      <c r="S18" s="2393"/>
      <c r="T18" s="2390"/>
      <c r="U18" s="2393"/>
      <c r="V18" s="2390"/>
      <c r="W18" s="2393"/>
      <c r="X18" s="2390"/>
      <c r="Y18" s="2390"/>
      <c r="Z18" s="2390"/>
      <c r="AA18" s="2390"/>
      <c r="AB18" s="2390"/>
      <c r="AC18" s="2390"/>
      <c r="AD18" s="2390"/>
      <c r="AE18" s="2390"/>
    </row>
    <row r="19" spans="1:31" s="387" customFormat="1">
      <c r="A19" s="2233"/>
      <c r="B19" s="758">
        <f t="shared" si="0"/>
        <v>13</v>
      </c>
      <c r="C19" s="771" t="s">
        <v>358</v>
      </c>
      <c r="D19" s="395" t="s">
        <v>1330</v>
      </c>
      <c r="E19" s="395"/>
      <c r="F19" s="1575">
        <f t="shared" si="1"/>
        <v>2017</v>
      </c>
      <c r="G19" s="1573">
        <v>6222285657.000001</v>
      </c>
      <c r="H19" s="1635" t="str">
        <f>IF((INDEX(Inputs_EndYrBal,MATCH($D19,Inputs_FF1_Map,0))-G19)&lt;1,"-","Check values!")</f>
        <v>-</v>
      </c>
      <c r="I19" s="2383"/>
      <c r="J19" s="2603"/>
      <c r="K19" s="2244"/>
      <c r="L19" s="2382"/>
      <c r="M19" s="2245"/>
      <c r="O19" s="2391"/>
      <c r="P19" s="2391"/>
      <c r="Q19" s="2393"/>
      <c r="R19" s="2393"/>
      <c r="S19" s="2393"/>
      <c r="T19" s="2390"/>
      <c r="U19" s="2393"/>
      <c r="V19" s="2390"/>
      <c r="W19" s="2393"/>
      <c r="X19" s="2390"/>
      <c r="Y19" s="2390"/>
      <c r="Z19" s="2390"/>
      <c r="AA19" s="2390"/>
      <c r="AB19" s="2390"/>
      <c r="AC19" s="2390"/>
      <c r="AD19" s="2390"/>
      <c r="AE19" s="2390"/>
    </row>
    <row r="20" spans="1:31" s="387" customFormat="1" ht="15.75">
      <c r="A20" s="2233">
        <f>'Appendix A'!$A$38</f>
        <v>15</v>
      </c>
      <c r="B20" s="758">
        <f t="shared" si="0"/>
        <v>14</v>
      </c>
      <c r="C20" s="773" t="s">
        <v>274</v>
      </c>
      <c r="D20" s="1001" t="str">
        <f>IF(Toggle=Projection,"(line "&amp;B19&amp;")",IF(Toggle=True_up,"(sum lines "&amp;B7&amp;"-"&amp;B19&amp;") /13","Set Toggle!"))</f>
        <v>(sum lines 1-13) /13</v>
      </c>
      <c r="E20" s="996" t="str">
        <f>'Appendix A'!$E$38</f>
        <v>(Note M)</v>
      </c>
      <c r="F20" s="999" t="str">
        <f>Toggle</f>
        <v>True-up</v>
      </c>
      <c r="G20" s="1243">
        <f>IF(Toggle=Projection,G19,IF(Toggle=True_up,AVERAGE(G7:G19),"Set Toggle!"))</f>
        <v>6122640456.5884609</v>
      </c>
      <c r="H20" s="772" t="s">
        <v>1012</v>
      </c>
      <c r="I20" s="2383"/>
      <c r="J20" s="2603"/>
      <c r="K20" s="761"/>
      <c r="L20" s="2226"/>
      <c r="M20" s="2386"/>
      <c r="O20" s="2393"/>
      <c r="P20" s="2393"/>
      <c r="Q20" s="2394"/>
      <c r="R20" s="2395"/>
      <c r="S20" s="2394"/>
      <c r="T20" s="2390"/>
      <c r="U20" s="2395"/>
      <c r="V20" s="2390"/>
      <c r="W20" s="2394"/>
      <c r="X20" s="2390"/>
      <c r="Y20" s="2390"/>
      <c r="Z20" s="2390"/>
      <c r="AA20" s="2390"/>
      <c r="AB20" s="2390"/>
      <c r="AC20" s="2390"/>
      <c r="AD20" s="2390"/>
      <c r="AE20" s="2390"/>
    </row>
    <row r="21" spans="1:31" s="387" customFormat="1">
      <c r="A21" s="2233"/>
      <c r="B21" s="758"/>
      <c r="C21" s="768"/>
      <c r="D21" s="757"/>
      <c r="E21" s="757"/>
      <c r="F21" s="776"/>
      <c r="G21" s="1152"/>
      <c r="H21" s="764"/>
      <c r="I21" s="2383"/>
      <c r="J21" s="2603"/>
      <c r="K21" s="761"/>
      <c r="L21" s="2353"/>
      <c r="M21" s="762"/>
      <c r="O21" s="2390"/>
      <c r="P21" s="2391"/>
      <c r="Q21" s="2390"/>
      <c r="R21" s="2690"/>
      <c r="S21" s="2690"/>
      <c r="T21" s="2390"/>
      <c r="U21" s="2396"/>
      <c r="V21" s="2390"/>
      <c r="W21" s="2390"/>
      <c r="X21" s="2390"/>
      <c r="Y21" s="2390"/>
      <c r="Z21" s="2390"/>
      <c r="AA21" s="2390"/>
      <c r="AB21" s="2390"/>
      <c r="AC21" s="2390"/>
      <c r="AD21" s="2390"/>
      <c r="AE21" s="2390"/>
    </row>
    <row r="22" spans="1:31" s="387" customFormat="1" ht="15.75">
      <c r="A22" s="2233"/>
      <c r="B22" s="758"/>
      <c r="C22" s="756" t="s">
        <v>612</v>
      </c>
      <c r="D22" s="757" t="s">
        <v>26</v>
      </c>
      <c r="E22" s="757"/>
      <c r="F22" s="758" t="s">
        <v>141</v>
      </c>
      <c r="G22" s="1157" t="s">
        <v>158</v>
      </c>
      <c r="H22" s="769"/>
      <c r="I22" s="2383"/>
      <c r="J22" s="2603"/>
      <c r="K22" s="761"/>
      <c r="L22" s="2353"/>
      <c r="M22" s="762"/>
      <c r="O22" s="2390"/>
      <c r="P22" s="2391"/>
      <c r="Q22" s="2390"/>
      <c r="R22" s="2390"/>
      <c r="S22" s="2390"/>
      <c r="T22" s="2390"/>
      <c r="U22" s="2390"/>
      <c r="V22" s="2390"/>
      <c r="W22" s="2390"/>
      <c r="X22" s="2390"/>
      <c r="Y22" s="2392"/>
      <c r="Z22" s="2392"/>
      <c r="AA22" s="2390"/>
      <c r="AB22" s="2392"/>
      <c r="AC22" s="2392"/>
      <c r="AD22" s="2392"/>
      <c r="AE22" s="2390"/>
    </row>
    <row r="23" spans="1:31" s="387" customFormat="1" ht="15" customHeight="1">
      <c r="A23" s="2233"/>
      <c r="B23" s="758">
        <f>+B20+1</f>
        <v>15</v>
      </c>
      <c r="C23" s="763" t="s">
        <v>358</v>
      </c>
      <c r="D23" s="392" t="s">
        <v>1332</v>
      </c>
      <c r="E23" s="392"/>
      <c r="F23" s="1574">
        <f>+F7</f>
        <v>2016</v>
      </c>
      <c r="G23" s="1158">
        <v>6582809078.5499964</v>
      </c>
      <c r="H23" s="1635" t="str">
        <f>IF((INDEX(Inputs_EndYrBal_prior,MATCH($D23,Inputs_FF1_Map,0))-G23)&lt;1,"-","Check values!")</f>
        <v>-</v>
      </c>
      <c r="I23" s="2383"/>
      <c r="J23" s="2603"/>
      <c r="K23" s="761"/>
      <c r="L23" s="2353"/>
      <c r="M23" s="762"/>
      <c r="O23" s="2397"/>
      <c r="P23" s="2391"/>
      <c r="Q23" s="2398"/>
      <c r="R23" s="2398"/>
      <c r="S23" s="2398"/>
      <c r="T23" s="2390"/>
      <c r="U23" s="2398"/>
      <c r="V23" s="2390"/>
      <c r="W23" s="2390"/>
      <c r="X23" s="2390"/>
      <c r="Y23" s="2390"/>
      <c r="Z23" s="2392"/>
      <c r="AA23" s="2390"/>
      <c r="AB23" s="2392"/>
      <c r="AC23" s="2392"/>
      <c r="AD23" s="2392"/>
      <c r="AE23" s="2390"/>
    </row>
    <row r="24" spans="1:31" s="387" customFormat="1">
      <c r="A24" s="2233"/>
      <c r="B24" s="758">
        <f t="shared" ref="B24:B36" si="2">+B23+1</f>
        <v>16</v>
      </c>
      <c r="C24" s="765" t="s">
        <v>350</v>
      </c>
      <c r="D24" s="757" t="s">
        <v>630</v>
      </c>
      <c r="E24" s="757"/>
      <c r="F24" s="1574">
        <f>+F23+1</f>
        <v>2017</v>
      </c>
      <c r="G24" s="1158">
        <v>6595971129.3899994</v>
      </c>
      <c r="H24" s="766"/>
      <c r="I24" s="2383"/>
      <c r="J24" s="2603"/>
      <c r="K24" s="761"/>
      <c r="L24" s="2353"/>
      <c r="M24" s="762"/>
      <c r="O24" s="2390"/>
      <c r="P24" s="2399"/>
      <c r="Q24" s="2391"/>
      <c r="R24" s="2391"/>
      <c r="S24" s="2391"/>
      <c r="T24" s="2390"/>
      <c r="U24" s="2391"/>
      <c r="V24" s="2391"/>
      <c r="W24" s="2391"/>
      <c r="X24" s="2390"/>
      <c r="Y24" s="2391"/>
      <c r="Z24" s="2391"/>
      <c r="AA24" s="2390"/>
      <c r="AB24" s="2393"/>
      <c r="AC24" s="2393"/>
      <c r="AD24" s="2393"/>
      <c r="AE24" s="2390"/>
    </row>
    <row r="25" spans="1:31" s="387" customFormat="1">
      <c r="A25" s="2233"/>
      <c r="B25" s="758">
        <f t="shared" si="2"/>
        <v>17</v>
      </c>
      <c r="C25" s="768" t="s">
        <v>351</v>
      </c>
      <c r="D25" s="757" t="s">
        <v>630</v>
      </c>
      <c r="E25" s="757"/>
      <c r="F25" s="1574">
        <f t="shared" ref="F25:F35" si="3">+F24</f>
        <v>2017</v>
      </c>
      <c r="G25" s="1158">
        <v>6608302489.2400026</v>
      </c>
      <c r="H25" s="764"/>
      <c r="I25" s="2383"/>
      <c r="J25" s="2603"/>
      <c r="K25" s="761"/>
      <c r="L25" s="2353"/>
      <c r="M25" s="762"/>
      <c r="O25" s="2390"/>
      <c r="P25" s="2399"/>
      <c r="Q25" s="2391"/>
      <c r="R25" s="2391"/>
      <c r="S25" s="2391"/>
      <c r="T25" s="2390"/>
      <c r="U25" s="2391"/>
      <c r="V25" s="2391"/>
      <c r="W25" s="2391"/>
      <c r="X25" s="2390"/>
      <c r="Y25" s="2391"/>
      <c r="Z25" s="2391"/>
      <c r="AA25" s="2390"/>
      <c r="AB25" s="2393"/>
      <c r="AC25" s="2393"/>
      <c r="AD25" s="2393"/>
      <c r="AE25" s="2390"/>
    </row>
    <row r="26" spans="1:31" s="387" customFormat="1">
      <c r="A26" s="2233"/>
      <c r="B26" s="758">
        <f t="shared" si="2"/>
        <v>18</v>
      </c>
      <c r="C26" s="768" t="s">
        <v>352</v>
      </c>
      <c r="D26" s="757" t="s">
        <v>630</v>
      </c>
      <c r="E26" s="757"/>
      <c r="F26" s="1574">
        <f t="shared" si="3"/>
        <v>2017</v>
      </c>
      <c r="G26" s="1158">
        <v>6621113795.9899969</v>
      </c>
      <c r="H26" s="764"/>
      <c r="I26" s="2383"/>
      <c r="J26" s="2603"/>
      <c r="K26" s="761"/>
      <c r="L26" s="2353"/>
      <c r="M26" s="762"/>
      <c r="O26" s="2390"/>
      <c r="P26" s="2399"/>
      <c r="Q26" s="2391"/>
      <c r="R26" s="2391"/>
      <c r="S26" s="2391"/>
      <c r="T26" s="2390"/>
      <c r="U26" s="2391"/>
      <c r="V26" s="2391"/>
      <c r="W26" s="2391"/>
      <c r="X26" s="2390"/>
      <c r="Y26" s="2391"/>
      <c r="Z26" s="2391"/>
      <c r="AA26" s="2390"/>
      <c r="AB26" s="2393"/>
      <c r="AC26" s="2393"/>
      <c r="AD26" s="2393"/>
      <c r="AE26" s="2390"/>
    </row>
    <row r="27" spans="1:31" s="387" customFormat="1">
      <c r="A27" s="2233"/>
      <c r="B27" s="758">
        <f t="shared" si="2"/>
        <v>19</v>
      </c>
      <c r="C27" s="765" t="s">
        <v>143</v>
      </c>
      <c r="D27" s="757" t="s">
        <v>630</v>
      </c>
      <c r="E27" s="757"/>
      <c r="F27" s="1574">
        <f t="shared" si="3"/>
        <v>2017</v>
      </c>
      <c r="G27" s="1158">
        <v>6631706812.9000006</v>
      </c>
      <c r="H27" s="764"/>
      <c r="I27" s="2383"/>
      <c r="J27" s="2603"/>
      <c r="K27" s="761"/>
      <c r="L27" s="2353"/>
      <c r="M27" s="762"/>
      <c r="O27" s="2390"/>
      <c r="P27" s="2399"/>
      <c r="Q27" s="2391"/>
      <c r="R27" s="2391"/>
      <c r="S27" s="2391"/>
      <c r="T27" s="2390"/>
      <c r="U27" s="2391"/>
      <c r="V27" s="2391"/>
      <c r="W27" s="2391"/>
      <c r="X27" s="2390"/>
      <c r="Y27" s="2391"/>
      <c r="Z27" s="2391"/>
      <c r="AA27" s="2390"/>
      <c r="AB27" s="2393"/>
      <c r="AC27" s="2393"/>
      <c r="AD27" s="2393"/>
      <c r="AE27" s="2390"/>
    </row>
    <row r="28" spans="1:31" s="387" customFormat="1">
      <c r="A28" s="2233"/>
      <c r="B28" s="758">
        <f t="shared" si="2"/>
        <v>20</v>
      </c>
      <c r="C28" s="768" t="s">
        <v>144</v>
      </c>
      <c r="D28" s="757" t="s">
        <v>630</v>
      </c>
      <c r="E28" s="757"/>
      <c r="F28" s="1574">
        <f t="shared" si="3"/>
        <v>2017</v>
      </c>
      <c r="G28" s="1158">
        <v>6657749048.1899996</v>
      </c>
      <c r="H28" s="769"/>
      <c r="I28" s="2383"/>
      <c r="J28" s="2603"/>
      <c r="K28" s="782"/>
      <c r="L28" s="2387"/>
      <c r="M28" s="2388"/>
      <c r="O28" s="2390"/>
      <c r="P28" s="2399"/>
      <c r="Q28" s="2391"/>
      <c r="R28" s="2391"/>
      <c r="S28" s="2391"/>
      <c r="T28" s="2390"/>
      <c r="U28" s="2391"/>
      <c r="V28" s="2391"/>
      <c r="W28" s="2391"/>
      <c r="X28" s="2390"/>
      <c r="Y28" s="2391"/>
      <c r="Z28" s="2391"/>
      <c r="AA28" s="2390"/>
      <c r="AB28" s="2393"/>
      <c r="AC28" s="2393"/>
      <c r="AD28" s="2393"/>
      <c r="AE28" s="2390"/>
    </row>
    <row r="29" spans="1:31" s="387" customFormat="1">
      <c r="A29" s="2233"/>
      <c r="B29" s="758">
        <f t="shared" si="2"/>
        <v>21</v>
      </c>
      <c r="C29" s="768" t="s">
        <v>610</v>
      </c>
      <c r="D29" s="757" t="s">
        <v>630</v>
      </c>
      <c r="E29" s="757"/>
      <c r="F29" s="1574">
        <f t="shared" si="3"/>
        <v>2017</v>
      </c>
      <c r="G29" s="1158">
        <v>6671918115.489996</v>
      </c>
      <c r="H29" s="764"/>
      <c r="I29" s="2383"/>
      <c r="J29" s="2603"/>
      <c r="K29" s="761"/>
      <c r="L29" s="2353"/>
      <c r="M29" s="762"/>
      <c r="O29" s="2390"/>
      <c r="P29" s="2399"/>
      <c r="Q29" s="2391"/>
      <c r="R29" s="2391"/>
      <c r="S29" s="2391"/>
      <c r="T29" s="2390"/>
      <c r="U29" s="2391"/>
      <c r="V29" s="2391"/>
      <c r="W29" s="2391"/>
      <c r="X29" s="2390"/>
      <c r="Y29" s="2391"/>
      <c r="Z29" s="2391"/>
      <c r="AA29" s="2390"/>
      <c r="AB29" s="2393"/>
      <c r="AC29" s="2393"/>
      <c r="AD29" s="2393"/>
      <c r="AE29" s="2390"/>
    </row>
    <row r="30" spans="1:31" s="387" customFormat="1">
      <c r="A30" s="2233"/>
      <c r="B30" s="758">
        <f t="shared" si="2"/>
        <v>22</v>
      </c>
      <c r="C30" s="765" t="s">
        <v>353</v>
      </c>
      <c r="D30" s="757" t="s">
        <v>630</v>
      </c>
      <c r="E30" s="757"/>
      <c r="F30" s="1574">
        <f t="shared" si="3"/>
        <v>2017</v>
      </c>
      <c r="G30" s="1158">
        <v>6688061553.4399967</v>
      </c>
      <c r="H30" s="766"/>
      <c r="I30" s="2383"/>
      <c r="J30" s="2603"/>
      <c r="K30" s="761"/>
      <c r="L30" s="2353"/>
      <c r="M30" s="762"/>
      <c r="O30" s="2390"/>
      <c r="P30" s="2399"/>
      <c r="Q30" s="2391"/>
      <c r="R30" s="2391"/>
      <c r="S30" s="2391"/>
      <c r="T30" s="2390"/>
      <c r="U30" s="2391"/>
      <c r="V30" s="2391"/>
      <c r="W30" s="2391"/>
      <c r="X30" s="2390"/>
      <c r="Y30" s="2391"/>
      <c r="Z30" s="2391"/>
      <c r="AA30" s="2390"/>
      <c r="AB30" s="2393"/>
      <c r="AC30" s="2393"/>
      <c r="AD30" s="2393"/>
      <c r="AE30" s="2390"/>
    </row>
    <row r="31" spans="1:31" s="387" customFormat="1">
      <c r="A31" s="2233"/>
      <c r="B31" s="758">
        <f t="shared" si="2"/>
        <v>23</v>
      </c>
      <c r="C31" s="768" t="s">
        <v>354</v>
      </c>
      <c r="D31" s="757" t="s">
        <v>630</v>
      </c>
      <c r="E31" s="757"/>
      <c r="F31" s="1574">
        <f t="shared" si="3"/>
        <v>2017</v>
      </c>
      <c r="G31" s="1158">
        <v>6708124888.0999994</v>
      </c>
      <c r="H31" s="764"/>
      <c r="I31" s="2383"/>
      <c r="J31" s="2603"/>
      <c r="K31" s="761"/>
      <c r="L31" s="2353"/>
      <c r="M31" s="762"/>
      <c r="O31" s="2390"/>
      <c r="P31" s="2399"/>
      <c r="Q31" s="2391"/>
      <c r="R31" s="2391"/>
      <c r="S31" s="2391"/>
      <c r="T31" s="2390"/>
      <c r="U31" s="2391"/>
      <c r="V31" s="2391"/>
      <c r="W31" s="2391"/>
      <c r="X31" s="2390"/>
      <c r="Y31" s="2391"/>
      <c r="Z31" s="2391"/>
      <c r="AA31" s="2390"/>
      <c r="AB31" s="2393"/>
      <c r="AC31" s="2393"/>
      <c r="AD31" s="2393"/>
      <c r="AE31" s="2390"/>
    </row>
    <row r="32" spans="1:31" s="387" customFormat="1">
      <c r="A32" s="2233"/>
      <c r="B32" s="758">
        <f t="shared" si="2"/>
        <v>24</v>
      </c>
      <c r="C32" s="768" t="s">
        <v>355</v>
      </c>
      <c r="D32" s="757" t="s">
        <v>630</v>
      </c>
      <c r="E32" s="757"/>
      <c r="F32" s="1574">
        <f t="shared" si="3"/>
        <v>2017</v>
      </c>
      <c r="G32" s="1158">
        <v>6721948959.0399971</v>
      </c>
      <c r="H32" s="764"/>
      <c r="I32" s="2383"/>
      <c r="J32" s="2603"/>
      <c r="K32" s="761"/>
      <c r="L32" s="2353"/>
      <c r="M32" s="762"/>
      <c r="O32" s="2390"/>
      <c r="P32" s="2399"/>
      <c r="Q32" s="2391"/>
      <c r="R32" s="2391"/>
      <c r="S32" s="2391"/>
      <c r="T32" s="2390"/>
      <c r="U32" s="2391"/>
      <c r="V32" s="2391"/>
      <c r="W32" s="2391"/>
      <c r="X32" s="2390"/>
      <c r="Y32" s="2391"/>
      <c r="Z32" s="2391"/>
      <c r="AA32" s="2390"/>
      <c r="AB32" s="2393"/>
      <c r="AC32" s="2393"/>
      <c r="AD32" s="2393"/>
      <c r="AE32" s="2390"/>
    </row>
    <row r="33" spans="1:31" s="387" customFormat="1">
      <c r="A33" s="2233"/>
      <c r="B33" s="758">
        <f t="shared" si="2"/>
        <v>25</v>
      </c>
      <c r="C33" s="765" t="s">
        <v>356</v>
      </c>
      <c r="D33" s="757" t="s">
        <v>630</v>
      </c>
      <c r="E33" s="757"/>
      <c r="F33" s="1574">
        <f t="shared" si="3"/>
        <v>2017</v>
      </c>
      <c r="G33" s="1158">
        <v>6734360443.7999983</v>
      </c>
      <c r="H33" s="764"/>
      <c r="I33" s="2383"/>
      <c r="J33" s="2603"/>
      <c r="K33" s="761"/>
      <c r="L33" s="2353"/>
      <c r="M33" s="762"/>
      <c r="O33" s="2390"/>
      <c r="P33" s="2399"/>
      <c r="Q33" s="2391"/>
      <c r="R33" s="2391"/>
      <c r="S33" s="2391"/>
      <c r="T33" s="2390"/>
      <c r="U33" s="2391"/>
      <c r="V33" s="2391"/>
      <c r="W33" s="2391"/>
      <c r="X33" s="2390"/>
      <c r="Y33" s="2391"/>
      <c r="Z33" s="2391"/>
      <c r="AA33" s="2390"/>
      <c r="AB33" s="2393"/>
      <c r="AC33" s="2393"/>
      <c r="AD33" s="2393"/>
      <c r="AE33" s="2390"/>
    </row>
    <row r="34" spans="1:31" s="387" customFormat="1">
      <c r="A34" s="2233"/>
      <c r="B34" s="758">
        <f t="shared" si="2"/>
        <v>26</v>
      </c>
      <c r="C34" s="765" t="s">
        <v>357</v>
      </c>
      <c r="D34" s="757" t="s">
        <v>630</v>
      </c>
      <c r="E34" s="757"/>
      <c r="F34" s="1574">
        <f t="shared" si="3"/>
        <v>2017</v>
      </c>
      <c r="G34" s="1158">
        <v>6751320979.9600019</v>
      </c>
      <c r="H34" s="764"/>
      <c r="I34" s="2383"/>
      <c r="J34" s="2603"/>
      <c r="K34" s="761"/>
      <c r="L34" s="2353"/>
      <c r="M34" s="762"/>
      <c r="O34" s="2390"/>
      <c r="P34" s="2399"/>
      <c r="Q34" s="2391"/>
      <c r="R34" s="2391"/>
      <c r="S34" s="2391"/>
      <c r="T34" s="2390"/>
      <c r="U34" s="2391"/>
      <c r="V34" s="2391"/>
      <c r="W34" s="2391"/>
      <c r="X34" s="2390"/>
      <c r="Y34" s="2391"/>
      <c r="Z34" s="2391"/>
      <c r="AA34" s="2390"/>
      <c r="AB34" s="2393"/>
      <c r="AC34" s="2393"/>
      <c r="AD34" s="2393"/>
      <c r="AE34" s="2390"/>
    </row>
    <row r="35" spans="1:31" s="387" customFormat="1">
      <c r="A35" s="2233"/>
      <c r="B35" s="758">
        <f t="shared" si="2"/>
        <v>27</v>
      </c>
      <c r="C35" s="771" t="s">
        <v>358</v>
      </c>
      <c r="D35" s="395" t="s">
        <v>1339</v>
      </c>
      <c r="E35" s="395"/>
      <c r="F35" s="1575">
        <f t="shared" si="3"/>
        <v>2017</v>
      </c>
      <c r="G35" s="1573">
        <v>6781903360.4599981</v>
      </c>
      <c r="H35" s="1635" t="str">
        <f>IF((INDEX(Inputs_EndYrBal,MATCH($D35,Inputs_FF1_Map,0))-G35)&lt;1,"-","Check values!")</f>
        <v>-</v>
      </c>
      <c r="I35" s="2383"/>
      <c r="J35" s="2603"/>
      <c r="K35" s="2244"/>
      <c r="L35" s="2387"/>
      <c r="M35" s="2388"/>
      <c r="O35" s="2390"/>
      <c r="P35" s="2399"/>
      <c r="Q35" s="2391"/>
      <c r="R35" s="2391"/>
      <c r="S35" s="2391"/>
      <c r="T35" s="2390"/>
      <c r="U35" s="2391"/>
      <c r="V35" s="2391"/>
      <c r="W35" s="2391"/>
      <c r="X35" s="2390"/>
      <c r="Y35" s="2391"/>
      <c r="Z35" s="2391"/>
      <c r="AA35" s="2390"/>
      <c r="AB35" s="2393"/>
      <c r="AC35" s="2393"/>
      <c r="AD35" s="2393"/>
      <c r="AE35" s="2390"/>
    </row>
    <row r="36" spans="1:31" s="387" customFormat="1" ht="15.75">
      <c r="A36" s="2233"/>
      <c r="B36" s="758">
        <f t="shared" si="2"/>
        <v>28</v>
      </c>
      <c r="C36" s="773" t="s">
        <v>613</v>
      </c>
      <c r="D36" s="1001" t="str">
        <f>IF(Toggle=Projection,"(line "&amp;B35&amp;")",IF(Toggle=True_up,"(sum lines "&amp;B23&amp;"-"&amp;B35&amp;") /13","Set Toggle!"))</f>
        <v>(sum lines 15-27) /13</v>
      </c>
      <c r="E36" s="757"/>
      <c r="F36" s="999" t="str">
        <f>Toggle</f>
        <v>True-up</v>
      </c>
      <c r="G36" s="1151">
        <f>IF(Toggle=Projection,G35,IF(Toggle=True_up,AVERAGE(G23:G35),"Set Toggle!"))</f>
        <v>6673483896.5038452</v>
      </c>
      <c r="H36" s="772"/>
      <c r="I36" s="2383"/>
      <c r="J36" s="2603"/>
      <c r="K36" s="761"/>
      <c r="L36" s="2226"/>
      <c r="M36" s="2386"/>
      <c r="O36" s="2390"/>
      <c r="P36" s="2391"/>
      <c r="Q36" s="2391"/>
      <c r="R36" s="2391"/>
      <c r="S36" s="2391"/>
      <c r="T36" s="2391"/>
      <c r="U36" s="2391"/>
      <c r="V36" s="2391"/>
      <c r="W36" s="2391"/>
      <c r="X36" s="2390"/>
      <c r="Y36" s="2391"/>
      <c r="Z36" s="2391"/>
      <c r="AA36" s="2390"/>
      <c r="AB36" s="2395"/>
      <c r="AC36" s="2395"/>
      <c r="AD36" s="2395"/>
      <c r="AE36" s="2390"/>
    </row>
    <row r="37" spans="1:31" s="387" customFormat="1">
      <c r="A37" s="2233"/>
      <c r="B37" s="758"/>
      <c r="C37" s="768"/>
      <c r="D37" s="757"/>
      <c r="E37" s="757"/>
      <c r="F37" s="776"/>
      <c r="G37" s="1152"/>
      <c r="H37" s="764"/>
      <c r="I37" s="2383"/>
      <c r="J37" s="2603"/>
      <c r="K37" s="761"/>
      <c r="L37" s="2353"/>
      <c r="M37" s="762"/>
      <c r="O37" s="2390"/>
      <c r="P37" s="2391"/>
      <c r="Q37" s="2390"/>
      <c r="R37" s="2390"/>
      <c r="S37" s="2390"/>
      <c r="T37" s="2390"/>
      <c r="U37" s="2390"/>
      <c r="V37" s="2390"/>
      <c r="W37" s="2390"/>
      <c r="X37" s="2390"/>
      <c r="Y37" s="2390"/>
      <c r="Z37" s="2400"/>
      <c r="AA37" s="2390"/>
      <c r="AB37" s="2690"/>
      <c r="AC37" s="2690"/>
      <c r="AD37" s="2396"/>
      <c r="AE37" s="2390"/>
    </row>
    <row r="38" spans="1:31" s="387" customFormat="1" ht="15.75">
      <c r="A38" s="2233"/>
      <c r="B38" s="758"/>
      <c r="C38" s="756" t="s">
        <v>614</v>
      </c>
      <c r="D38" s="757" t="s">
        <v>26</v>
      </c>
      <c r="E38" s="757"/>
      <c r="F38" s="758" t="s">
        <v>141</v>
      </c>
      <c r="G38" s="1157" t="s">
        <v>158</v>
      </c>
      <c r="H38" s="769"/>
      <c r="I38" s="2383"/>
      <c r="J38" s="2603"/>
      <c r="K38" s="761"/>
      <c r="L38" s="2353"/>
      <c r="M38" s="762"/>
      <c r="P38" s="2247"/>
    </row>
    <row r="39" spans="1:31" s="387" customFormat="1">
      <c r="A39" s="2233"/>
      <c r="B39" s="758">
        <f>+B36+1</f>
        <v>29</v>
      </c>
      <c r="C39" s="763" t="s">
        <v>358</v>
      </c>
      <c r="D39" s="392" t="s">
        <v>1333</v>
      </c>
      <c r="E39" s="392"/>
      <c r="F39" s="1574">
        <f>+F23</f>
        <v>2016</v>
      </c>
      <c r="G39" s="1158">
        <v>884188667.33000004</v>
      </c>
      <c r="H39" s="1635" t="str">
        <f>IF((INDEX(Inputs_EndYrBal,MATCH($D39,Inputs_FF1_Map,0))-G39)&lt;1,"-","Check values!")</f>
        <v>-</v>
      </c>
      <c r="I39" s="2383"/>
      <c r="J39" s="2603"/>
      <c r="K39" s="761"/>
      <c r="L39" s="2353"/>
      <c r="M39" s="762"/>
      <c r="P39" s="2247"/>
    </row>
    <row r="40" spans="1:31" s="387" customFormat="1">
      <c r="A40" s="2233"/>
      <c r="B40" s="758">
        <f>+B39+1</f>
        <v>30</v>
      </c>
      <c r="C40" s="771" t="s">
        <v>358</v>
      </c>
      <c r="D40" s="395" t="s">
        <v>1334</v>
      </c>
      <c r="E40" s="395"/>
      <c r="F40" s="1575">
        <f>+F39+1</f>
        <v>2017</v>
      </c>
      <c r="G40" s="1573">
        <v>936922781.95999992</v>
      </c>
      <c r="H40" s="1635" t="str">
        <f>IF((INDEX(Inputs_EndYrBal,MATCH($D40,Inputs_FF1_Map,0))-G40)&lt;1,"-","Check values!")</f>
        <v>-</v>
      </c>
      <c r="I40" s="2383"/>
      <c r="J40" s="2603"/>
      <c r="K40" s="782"/>
      <c r="L40" s="2387"/>
      <c r="M40" s="762"/>
      <c r="P40" s="2247"/>
    </row>
    <row r="41" spans="1:31" s="387" customFormat="1" ht="15.75">
      <c r="A41" s="2233">
        <f>'Appendix A'!$A$43</f>
        <v>19</v>
      </c>
      <c r="B41" s="758">
        <f>+B40+1</f>
        <v>31</v>
      </c>
      <c r="C41" s="773" t="s">
        <v>615</v>
      </c>
      <c r="D41" s="1001" t="str">
        <f>IF(Toggle=Projection,"(line "&amp;B40&amp;")",IF(Toggle=True_up,"(sum lines "&amp;B39&amp;" &amp; "&amp;B40&amp;") /2","Set Toggle!"))</f>
        <v>(sum lines 29 &amp; 30) /2</v>
      </c>
      <c r="E41" s="996" t="str">
        <f>'Appendix A'!$E$43</f>
        <v>(Note N)</v>
      </c>
      <c r="F41" s="999" t="str">
        <f>Toggle</f>
        <v>True-up</v>
      </c>
      <c r="G41" s="1243">
        <f>IF(Toggle=Projection,G40,IF(Toggle=True_up,AVERAGE(G39:G40),"Set Toggle!"))</f>
        <v>910555724.64499998</v>
      </c>
      <c r="H41" s="772" t="s">
        <v>1012</v>
      </c>
      <c r="I41" s="2383"/>
      <c r="J41" s="2603"/>
      <c r="K41" s="761"/>
      <c r="L41" s="2226"/>
      <c r="M41" s="2386"/>
      <c r="P41" s="2247"/>
    </row>
    <row r="42" spans="1:31" s="387" customFormat="1">
      <c r="A42" s="2233"/>
      <c r="B42" s="758"/>
      <c r="C42" s="765"/>
      <c r="D42" s="757"/>
      <c r="E42" s="757"/>
      <c r="F42" s="779"/>
      <c r="G42" s="1154"/>
      <c r="H42" s="764"/>
      <c r="I42" s="2383"/>
      <c r="J42" s="2603"/>
      <c r="K42" s="761"/>
      <c r="L42" s="2226"/>
      <c r="M42" s="762"/>
      <c r="P42" s="2247"/>
    </row>
    <row r="43" spans="1:31" s="387" customFormat="1" ht="15.75">
      <c r="A43" s="2233"/>
      <c r="B43" s="758"/>
      <c r="C43" s="756" t="s">
        <v>616</v>
      </c>
      <c r="D43" s="757" t="s">
        <v>26</v>
      </c>
      <c r="E43" s="757"/>
      <c r="F43" s="758" t="s">
        <v>141</v>
      </c>
      <c r="G43" s="1157" t="s">
        <v>158</v>
      </c>
      <c r="H43" s="769"/>
      <c r="I43" s="2383"/>
      <c r="J43" s="2603"/>
      <c r="K43" s="761"/>
      <c r="L43" s="2353"/>
      <c r="M43" s="762"/>
      <c r="P43" s="2247"/>
    </row>
    <row r="44" spans="1:31" s="387" customFormat="1">
      <c r="A44" s="2233"/>
      <c r="B44" s="758">
        <f>+B41+1</f>
        <v>32</v>
      </c>
      <c r="C44" s="763" t="s">
        <v>358</v>
      </c>
      <c r="D44" s="392" t="s">
        <v>1335</v>
      </c>
      <c r="E44" s="392"/>
      <c r="F44" s="1574">
        <f>+F39</f>
        <v>2016</v>
      </c>
      <c r="G44" s="1158">
        <v>1177924891.47</v>
      </c>
      <c r="H44" s="1635" t="str">
        <f>IF((INDEX(Inputs_EndYrBal,MATCH($D44,Inputs_FF1_Map,0))-G44)&lt;1,"-","Check values!")</f>
        <v>-</v>
      </c>
      <c r="I44" s="2383"/>
      <c r="J44" s="2603"/>
      <c r="K44" s="761"/>
      <c r="L44" s="2353"/>
      <c r="M44" s="762"/>
      <c r="P44" s="2247"/>
    </row>
    <row r="45" spans="1:31" s="387" customFormat="1">
      <c r="A45" s="2233"/>
      <c r="B45" s="758">
        <f>+B44+1</f>
        <v>33</v>
      </c>
      <c r="C45" s="771" t="s">
        <v>358</v>
      </c>
      <c r="D45" s="395" t="s">
        <v>1336</v>
      </c>
      <c r="E45" s="395"/>
      <c r="F45" s="1575">
        <f>+F44+1</f>
        <v>2017</v>
      </c>
      <c r="G45" s="1573">
        <v>1230870806.7400002</v>
      </c>
      <c r="H45" s="1635" t="str">
        <f>IF((INDEX(Inputs_EndYrBal,MATCH($D45,Inputs_FF1_Map,0))-G45)&lt;1,"-","Check values!")</f>
        <v>-</v>
      </c>
      <c r="I45" s="2383"/>
      <c r="J45" s="2603"/>
      <c r="K45" s="2244"/>
      <c r="L45" s="2354"/>
      <c r="M45" s="762"/>
      <c r="P45" s="2247"/>
    </row>
    <row r="46" spans="1:31" s="387" customFormat="1" ht="15.75">
      <c r="A46" s="2233">
        <f>'Appendix A'!$A$42</f>
        <v>18</v>
      </c>
      <c r="B46" s="758">
        <f>+B45+1</f>
        <v>34</v>
      </c>
      <c r="C46" s="773" t="s">
        <v>617</v>
      </c>
      <c r="D46" s="1001" t="str">
        <f>IF(Toggle=Projection,"(line "&amp;B45&amp;")",IF(Toggle=True_up,"(sum lines "&amp;B44&amp;" &amp; "&amp;B45&amp;") /2","Set Toggle!"))</f>
        <v>(sum lines 32 &amp; 33) /2</v>
      </c>
      <c r="E46" s="996" t="str">
        <f>'Appendix A'!$E$42</f>
        <v>(Note N)</v>
      </c>
      <c r="F46" s="999" t="str">
        <f>Toggle</f>
        <v>True-up</v>
      </c>
      <c r="G46" s="1243">
        <f>IF(Toggle=Projection,G45,IF(Toggle=True_up,AVERAGE(G44:G45),"Set Toggle!"))</f>
        <v>1204397849.105</v>
      </c>
      <c r="H46" s="772" t="s">
        <v>1012</v>
      </c>
      <c r="I46" s="2383"/>
      <c r="J46" s="2603"/>
      <c r="K46" s="761"/>
      <c r="L46" s="2226"/>
      <c r="M46" s="2386"/>
      <c r="P46" s="2247"/>
    </row>
    <row r="47" spans="1:31" s="387" customFormat="1">
      <c r="A47" s="2233"/>
      <c r="B47" s="758"/>
      <c r="C47" s="768"/>
      <c r="D47" s="392"/>
      <c r="E47" s="392"/>
      <c r="F47" s="780"/>
      <c r="G47" s="1154"/>
      <c r="H47" s="769"/>
      <c r="I47" s="2383"/>
      <c r="J47" s="2603"/>
      <c r="K47" s="782"/>
      <c r="L47" s="2387"/>
      <c r="M47" s="2388"/>
      <c r="P47" s="2247"/>
    </row>
    <row r="48" spans="1:31" s="387" customFormat="1" ht="15.75">
      <c r="A48" s="2233"/>
      <c r="B48" s="758"/>
      <c r="C48" s="756" t="s">
        <v>618</v>
      </c>
      <c r="D48" s="757" t="s">
        <v>26</v>
      </c>
      <c r="E48" s="757"/>
      <c r="F48" s="758" t="s">
        <v>141</v>
      </c>
      <c r="G48" s="1157" t="s">
        <v>158</v>
      </c>
      <c r="H48" s="769"/>
      <c r="I48" s="2383"/>
      <c r="J48" s="2603"/>
      <c r="K48" s="761"/>
      <c r="L48" s="2353"/>
      <c r="M48" s="762"/>
      <c r="P48" s="2247"/>
    </row>
    <row r="49" spans="1:16" s="387" customFormat="1">
      <c r="A49" s="2233"/>
      <c r="B49" s="758">
        <f>+B46+1</f>
        <v>35</v>
      </c>
      <c r="C49" s="763" t="s">
        <v>358</v>
      </c>
      <c r="D49" s="392" t="s">
        <v>1337</v>
      </c>
      <c r="E49" s="392"/>
      <c r="F49" s="1574">
        <f>+F44</f>
        <v>2016</v>
      </c>
      <c r="G49" s="1158">
        <v>12367792103.060003</v>
      </c>
      <c r="H49" s="1635" t="str">
        <f>IF((INDEX(Inputs_EndYrBal_prior,MATCH($D61,Inputs_FF1_Map,0))-G49)&lt;1,"-","Check values!")</f>
        <v>-</v>
      </c>
      <c r="I49" s="2383"/>
      <c r="J49" s="2603"/>
      <c r="K49" s="761"/>
      <c r="L49" s="2353"/>
      <c r="M49" s="762"/>
      <c r="P49" s="2247"/>
    </row>
    <row r="50" spans="1:16" s="387" customFormat="1">
      <c r="A50" s="2233"/>
      <c r="B50" s="758">
        <f t="shared" ref="B50:B62" si="4">+B49+1</f>
        <v>36</v>
      </c>
      <c r="C50" s="781" t="s">
        <v>350</v>
      </c>
      <c r="D50" s="757" t="s">
        <v>630</v>
      </c>
      <c r="E50" s="757"/>
      <c r="F50" s="1574">
        <f>+F49+1</f>
        <v>2017</v>
      </c>
      <c r="G50" s="1158">
        <v>12373792063.41</v>
      </c>
      <c r="H50" s="769"/>
      <c r="I50" s="2383"/>
      <c r="J50" s="2603"/>
      <c r="K50" s="761"/>
      <c r="L50" s="2353"/>
      <c r="M50" s="762"/>
      <c r="P50" s="2247"/>
    </row>
    <row r="51" spans="1:16" s="387" customFormat="1">
      <c r="A51" s="2233"/>
      <c r="B51" s="758">
        <f t="shared" si="4"/>
        <v>37</v>
      </c>
      <c r="C51" s="768" t="s">
        <v>351</v>
      </c>
      <c r="D51" s="757" t="s">
        <v>630</v>
      </c>
      <c r="E51" s="757"/>
      <c r="F51" s="1574">
        <f t="shared" ref="F51:F61" si="5">+F50</f>
        <v>2017</v>
      </c>
      <c r="G51" s="1158">
        <v>12377755562.040001</v>
      </c>
      <c r="H51" s="769"/>
      <c r="I51" s="2383"/>
      <c r="J51" s="2603"/>
      <c r="K51" s="761"/>
      <c r="L51" s="2353"/>
      <c r="M51" s="762"/>
      <c r="P51" s="2247"/>
    </row>
    <row r="52" spans="1:16" s="387" customFormat="1">
      <c r="A52" s="2233"/>
      <c r="B52" s="758">
        <f t="shared" si="4"/>
        <v>38</v>
      </c>
      <c r="C52" s="768" t="s">
        <v>352</v>
      </c>
      <c r="D52" s="757" t="s">
        <v>630</v>
      </c>
      <c r="E52" s="757"/>
      <c r="F52" s="1574">
        <f t="shared" si="5"/>
        <v>2017</v>
      </c>
      <c r="G52" s="1158">
        <v>12352898924.82</v>
      </c>
      <c r="H52" s="769"/>
      <c r="I52" s="2383"/>
      <c r="J52" s="2603"/>
      <c r="K52" s="761"/>
      <c r="L52" s="2353"/>
      <c r="M52" s="762"/>
      <c r="P52" s="2247"/>
    </row>
    <row r="53" spans="1:16" s="387" customFormat="1">
      <c r="A53" s="2233"/>
      <c r="B53" s="758">
        <f t="shared" si="4"/>
        <v>39</v>
      </c>
      <c r="C53" s="781" t="s">
        <v>143</v>
      </c>
      <c r="D53" s="757" t="s">
        <v>630</v>
      </c>
      <c r="E53" s="757"/>
      <c r="F53" s="1574">
        <f t="shared" si="5"/>
        <v>2017</v>
      </c>
      <c r="G53" s="1158">
        <v>12357752337.959999</v>
      </c>
      <c r="H53" s="769"/>
      <c r="I53" s="2383"/>
      <c r="J53" s="2603"/>
      <c r="K53" s="761"/>
      <c r="L53" s="2353"/>
      <c r="M53" s="762"/>
      <c r="P53" s="2247"/>
    </row>
    <row r="54" spans="1:16" s="387" customFormat="1">
      <c r="A54" s="2233"/>
      <c r="B54" s="758">
        <f t="shared" si="4"/>
        <v>40</v>
      </c>
      <c r="C54" s="768" t="s">
        <v>144</v>
      </c>
      <c r="D54" s="757" t="s">
        <v>630</v>
      </c>
      <c r="E54" s="757"/>
      <c r="F54" s="1574">
        <f t="shared" si="5"/>
        <v>2017</v>
      </c>
      <c r="G54" s="1158">
        <v>12411263581.560003</v>
      </c>
      <c r="H54" s="769"/>
      <c r="I54" s="2383"/>
      <c r="J54" s="2603"/>
      <c r="K54" s="761"/>
      <c r="L54" s="2353"/>
      <c r="M54" s="762"/>
      <c r="P54" s="2247"/>
    </row>
    <row r="55" spans="1:16" s="387" customFormat="1">
      <c r="A55" s="2233"/>
      <c r="B55" s="758">
        <f t="shared" si="4"/>
        <v>41</v>
      </c>
      <c r="C55" s="768" t="str">
        <f>+C52</f>
        <v>March</v>
      </c>
      <c r="D55" s="757" t="s">
        <v>630</v>
      </c>
      <c r="E55" s="757"/>
      <c r="F55" s="1574">
        <f t="shared" si="5"/>
        <v>2017</v>
      </c>
      <c r="G55" s="1158">
        <v>12401124175.109999</v>
      </c>
      <c r="H55" s="769"/>
      <c r="I55" s="2383"/>
      <c r="J55" s="2603"/>
      <c r="K55" s="761"/>
      <c r="L55" s="2353"/>
      <c r="M55" s="762"/>
      <c r="P55" s="2247"/>
    </row>
    <row r="56" spans="1:16" s="387" customFormat="1">
      <c r="A56" s="2233"/>
      <c r="B56" s="758">
        <f t="shared" si="4"/>
        <v>42</v>
      </c>
      <c r="C56" s="781" t="str">
        <f>+C53</f>
        <v>April</v>
      </c>
      <c r="D56" s="757" t="s">
        <v>630</v>
      </c>
      <c r="E56" s="757"/>
      <c r="F56" s="1574">
        <f t="shared" si="5"/>
        <v>2017</v>
      </c>
      <c r="G56" s="1158">
        <v>12404868963.670002</v>
      </c>
      <c r="H56" s="769"/>
      <c r="I56" s="2383"/>
      <c r="J56" s="2603"/>
      <c r="K56" s="761"/>
      <c r="L56" s="2353"/>
      <c r="M56" s="762"/>
      <c r="P56" s="2247"/>
    </row>
    <row r="57" spans="1:16" s="387" customFormat="1">
      <c r="A57" s="2233"/>
      <c r="B57" s="758">
        <f t="shared" si="4"/>
        <v>43</v>
      </c>
      <c r="C57" s="768" t="s">
        <v>354</v>
      </c>
      <c r="D57" s="757" t="s">
        <v>630</v>
      </c>
      <c r="E57" s="757"/>
      <c r="F57" s="1574">
        <f t="shared" si="5"/>
        <v>2017</v>
      </c>
      <c r="G57" s="1158">
        <v>12405291596.110001</v>
      </c>
      <c r="H57" s="769"/>
      <c r="I57" s="2383"/>
      <c r="J57" s="2603"/>
      <c r="K57" s="761"/>
      <c r="L57" s="2353"/>
      <c r="M57" s="762"/>
      <c r="P57" s="2247"/>
    </row>
    <row r="58" spans="1:16" s="387" customFormat="1">
      <c r="A58" s="2233"/>
      <c r="B58" s="758">
        <f t="shared" si="4"/>
        <v>44</v>
      </c>
      <c r="C58" s="768" t="s">
        <v>355</v>
      </c>
      <c r="D58" s="757" t="s">
        <v>630</v>
      </c>
      <c r="E58" s="757"/>
      <c r="F58" s="1574">
        <f t="shared" si="5"/>
        <v>2017</v>
      </c>
      <c r="G58" s="1158">
        <v>12402839446.470001</v>
      </c>
      <c r="H58" s="769"/>
      <c r="I58" s="2383"/>
      <c r="J58" s="2603"/>
      <c r="K58" s="761"/>
      <c r="L58" s="2353"/>
      <c r="M58" s="762"/>
      <c r="P58" s="2247"/>
    </row>
    <row r="59" spans="1:16" s="387" customFormat="1">
      <c r="A59" s="2233"/>
      <c r="B59" s="758">
        <f t="shared" si="4"/>
        <v>45</v>
      </c>
      <c r="C59" s="781" t="s">
        <v>356</v>
      </c>
      <c r="D59" s="757" t="s">
        <v>630</v>
      </c>
      <c r="E59" s="757"/>
      <c r="F59" s="1574">
        <f t="shared" si="5"/>
        <v>2017</v>
      </c>
      <c r="G59" s="1158">
        <v>12406426943.190002</v>
      </c>
      <c r="H59" s="769"/>
      <c r="I59" s="2383"/>
      <c r="J59" s="2603"/>
      <c r="K59" s="761"/>
      <c r="L59" s="2353"/>
      <c r="M59" s="762"/>
      <c r="P59" s="2247"/>
    </row>
    <row r="60" spans="1:16" s="387" customFormat="1" ht="15" customHeight="1">
      <c r="A60" s="2233"/>
      <c r="B60" s="758">
        <f t="shared" si="4"/>
        <v>46</v>
      </c>
      <c r="C60" s="781" t="s">
        <v>357</v>
      </c>
      <c r="D60" s="757" t="s">
        <v>630</v>
      </c>
      <c r="E60" s="757"/>
      <c r="F60" s="1574">
        <f t="shared" si="5"/>
        <v>2017</v>
      </c>
      <c r="G60" s="1158">
        <v>12413180941.630003</v>
      </c>
      <c r="H60" s="769"/>
      <c r="I60" s="2383"/>
      <c r="J60" s="2603"/>
      <c r="K60" s="2243"/>
      <c r="L60" s="2355"/>
      <c r="M60" s="762"/>
      <c r="P60" s="2247"/>
    </row>
    <row r="61" spans="1:16" s="387" customFormat="1">
      <c r="A61" s="2233"/>
      <c r="B61" s="758">
        <f t="shared" si="4"/>
        <v>47</v>
      </c>
      <c r="C61" s="771" t="s">
        <v>358</v>
      </c>
      <c r="D61" s="395" t="s">
        <v>1338</v>
      </c>
      <c r="E61" s="395"/>
      <c r="F61" s="1575">
        <f t="shared" si="5"/>
        <v>2017</v>
      </c>
      <c r="G61" s="1573">
        <v>12487001483.250004</v>
      </c>
      <c r="H61" s="1635" t="str">
        <f>IF((INDEX(Inputs_EndYrBal,MATCH($D61,Inputs_FF1_Map,0))-G61)&lt;1,"-","Check values!")</f>
        <v>-</v>
      </c>
      <c r="I61" s="2383"/>
      <c r="J61" s="2603"/>
      <c r="K61" s="782"/>
      <c r="L61" s="2387"/>
      <c r="M61" s="762"/>
      <c r="P61" s="2247"/>
    </row>
    <row r="62" spans="1:16" s="387" customFormat="1" ht="15.75">
      <c r="A62" s="2233"/>
      <c r="B62" s="758">
        <f t="shared" si="4"/>
        <v>48</v>
      </c>
      <c r="C62" s="773" t="s">
        <v>619</v>
      </c>
      <c r="D62" s="1001" t="str">
        <f>IF(Toggle=Projection,"(line "&amp;B61&amp;")",IF(Toggle=True_up,"(sum lines "&amp;B49&amp;"-"&amp;B61&amp;") /13","Set Toggle!"))</f>
        <v>(sum lines 35-47) /13</v>
      </c>
      <c r="E62" s="757"/>
      <c r="F62" s="999" t="str">
        <f>Toggle</f>
        <v>True-up</v>
      </c>
      <c r="G62" s="1151">
        <f>IF(Toggle=Projection,G61,IF(Toggle=True_up,AVERAGE(G49:G61),"Set Toggle!"))</f>
        <v>12397076009.406155</v>
      </c>
      <c r="H62" s="775"/>
      <c r="I62" s="2383"/>
      <c r="J62" s="2603"/>
      <c r="K62" s="761"/>
      <c r="L62" s="2226"/>
      <c r="M62" s="2386"/>
      <c r="P62" s="2247"/>
    </row>
    <row r="63" spans="1:16" s="387" customFormat="1">
      <c r="A63" s="2234"/>
      <c r="B63" s="757"/>
      <c r="C63" s="768"/>
      <c r="D63" s="757"/>
      <c r="E63" s="757"/>
      <c r="F63" s="776"/>
      <c r="G63" s="1152"/>
      <c r="H63" s="764"/>
      <c r="I63" s="2383"/>
      <c r="J63" s="2603"/>
      <c r="K63" s="761"/>
      <c r="L63" s="2353"/>
      <c r="M63" s="762"/>
      <c r="P63" s="2247"/>
    </row>
    <row r="64" spans="1:16" s="387" customFormat="1" ht="15.75">
      <c r="A64" s="2234"/>
      <c r="B64" s="755"/>
      <c r="C64" s="783"/>
      <c r="D64" s="782"/>
      <c r="E64" s="782"/>
      <c r="F64" s="784"/>
      <c r="G64" s="1156"/>
      <c r="H64" s="785"/>
      <c r="I64" s="2383"/>
      <c r="J64" s="2603"/>
      <c r="K64" s="761"/>
      <c r="L64" s="2353"/>
      <c r="M64" s="762"/>
      <c r="P64" s="2247"/>
    </row>
    <row r="65" spans="1:16" s="387" customFormat="1">
      <c r="A65" s="2233"/>
      <c r="B65" s="784">
        <f>+B62+1</f>
        <v>49</v>
      </c>
      <c r="C65" s="768" t="s">
        <v>638</v>
      </c>
      <c r="D65" s="392" t="s">
        <v>2024</v>
      </c>
      <c r="E65" s="392"/>
      <c r="F65" s="786"/>
      <c r="G65" s="1158">
        <v>0</v>
      </c>
      <c r="H65" s="1635" t="str">
        <f>IF((INDEX(Inputs_EndYrBal,MATCH("206.102g",Inputs_FF1_Map,0))-G65)&lt;1,"-","Check values!")</f>
        <v>-</v>
      </c>
      <c r="I65" s="2383"/>
      <c r="J65" s="2603"/>
      <c r="K65" s="761"/>
      <c r="L65" s="2226"/>
      <c r="M65" s="2386"/>
      <c r="P65" s="2247"/>
    </row>
    <row r="66" spans="1:16" s="387" customFormat="1" ht="15.75">
      <c r="A66" s="2233"/>
      <c r="B66" s="784"/>
      <c r="C66" s="773"/>
      <c r="D66" s="782"/>
      <c r="E66" s="782"/>
      <c r="F66" s="774"/>
      <c r="G66" s="1151"/>
      <c r="H66" s="787"/>
      <c r="I66" s="2383"/>
      <c r="J66" s="2603"/>
      <c r="K66" s="761"/>
      <c r="L66" s="2353"/>
      <c r="M66" s="762"/>
      <c r="P66" s="2247"/>
    </row>
    <row r="67" spans="1:16" s="387" customFormat="1" ht="15.75">
      <c r="A67" s="2233"/>
      <c r="B67" s="758"/>
      <c r="C67" s="773"/>
      <c r="D67" s="757"/>
      <c r="E67" s="757"/>
      <c r="F67" s="774"/>
      <c r="G67" s="1151"/>
      <c r="H67" s="788"/>
      <c r="I67" s="2383"/>
      <c r="J67" s="2603"/>
      <c r="K67" s="761"/>
      <c r="L67" s="2353"/>
      <c r="M67" s="2389"/>
      <c r="P67" s="2247"/>
    </row>
    <row r="68" spans="1:16" s="387" customFormat="1" ht="15.75">
      <c r="A68" s="2233">
        <f>'Appendix A'!$A$21</f>
        <v>6</v>
      </c>
      <c r="B68" s="758">
        <f>+B65+1</f>
        <v>50</v>
      </c>
      <c r="C68" s="815" t="s">
        <v>620</v>
      </c>
      <c r="D68" s="901" t="str">
        <f>"(sum lines "&amp;B20&amp;", "&amp;B36&amp;", "&amp;B41&amp;", "&amp;B46&amp;", "&amp;B62&amp;", &amp; "&amp;B65&amp;")"</f>
        <v>(sum lines 14, 28, 31, 34, 48, &amp; 49)</v>
      </c>
      <c r="E68" s="998" t="str">
        <f>'Appendix A'!$E$21</f>
        <v>(Note M)</v>
      </c>
      <c r="F68" s="1000" t="str">
        <f>Toggle</f>
        <v>True-up</v>
      </c>
      <c r="G68" s="1244">
        <f>SUM(G62,G46,G41,G36,G20,G65)</f>
        <v>27308153936.248459</v>
      </c>
      <c r="H68" s="772" t="s">
        <v>1012</v>
      </c>
      <c r="I68" s="2383"/>
      <c r="J68" s="2603"/>
      <c r="K68" s="782"/>
      <c r="L68" s="782"/>
      <c r="M68" s="2388"/>
      <c r="P68" s="2247"/>
    </row>
    <row r="69" spans="1:16" s="387" customFormat="1" ht="15.75" thickBot="1">
      <c r="A69" s="790"/>
      <c r="B69" s="791"/>
      <c r="C69" s="792"/>
      <c r="D69" s="793"/>
      <c r="E69" s="866"/>
      <c r="F69" s="794"/>
      <c r="G69" s="795"/>
      <c r="H69" s="796"/>
      <c r="I69" s="797"/>
      <c r="J69" s="797"/>
      <c r="K69" s="798"/>
      <c r="L69" s="798"/>
      <c r="M69" s="799"/>
      <c r="P69" s="2247"/>
    </row>
    <row r="70" spans="1:16" s="387" customFormat="1">
      <c r="A70" s="778"/>
      <c r="B70" s="767"/>
      <c r="C70" s="768"/>
      <c r="D70" s="757"/>
      <c r="E70" s="757"/>
      <c r="F70" s="776"/>
      <c r="G70" s="768"/>
      <c r="H70" s="787"/>
      <c r="I70" s="758"/>
      <c r="J70" s="758"/>
      <c r="K70" s="761"/>
      <c r="L70" s="761"/>
      <c r="M70" s="761"/>
      <c r="P70" s="2247"/>
    </row>
    <row r="71" spans="1:16" s="387" customFormat="1">
      <c r="A71" s="778"/>
      <c r="B71" s="767"/>
      <c r="C71" s="768"/>
      <c r="D71" s="757"/>
      <c r="E71" s="757"/>
      <c r="F71" s="776"/>
      <c r="G71" s="768"/>
      <c r="H71" s="800"/>
      <c r="I71" s="758"/>
      <c r="J71" s="758"/>
      <c r="K71" s="761"/>
      <c r="L71" s="761"/>
      <c r="M71" s="761"/>
      <c r="N71" s="391"/>
      <c r="P71" s="2247"/>
    </row>
    <row r="72" spans="1:16" s="387" customFormat="1" ht="16.5" thickBot="1">
      <c r="A72" s="873" t="s">
        <v>621</v>
      </c>
      <c r="B72" s="754"/>
      <c r="C72" s="754"/>
      <c r="D72" s="754"/>
      <c r="E72" s="754"/>
      <c r="F72" s="754"/>
      <c r="G72" s="754"/>
      <c r="H72" s="754"/>
      <c r="I72" s="754"/>
      <c r="J72" s="754"/>
      <c r="K72" s="754"/>
      <c r="L72" s="754"/>
      <c r="M72" s="754"/>
      <c r="P72" s="2247"/>
    </row>
    <row r="73" spans="1:16" s="387" customFormat="1">
      <c r="A73" s="2683" t="s">
        <v>608</v>
      </c>
      <c r="B73" s="2684"/>
      <c r="C73" s="2684"/>
      <c r="D73" s="2684"/>
      <c r="E73" s="2684"/>
      <c r="F73" s="2684"/>
      <c r="G73" s="2685"/>
      <c r="H73" s="906" t="s">
        <v>304</v>
      </c>
      <c r="I73" s="2136"/>
      <c r="J73" s="917"/>
      <c r="K73" s="917"/>
      <c r="L73" s="917"/>
      <c r="M73" s="918"/>
      <c r="P73" s="2247"/>
    </row>
    <row r="74" spans="1:16" s="387" customFormat="1" ht="15.75">
      <c r="A74" s="2233"/>
      <c r="B74" s="758"/>
      <c r="C74" s="756" t="s">
        <v>622</v>
      </c>
      <c r="D74" s="757" t="s">
        <v>26</v>
      </c>
      <c r="E74" s="757"/>
      <c r="F74" s="758" t="s">
        <v>141</v>
      </c>
      <c r="G74" s="759" t="s">
        <v>158</v>
      </c>
      <c r="H74" s="760"/>
      <c r="I74" s="757"/>
      <c r="J74" s="757"/>
      <c r="K74" s="761"/>
      <c r="L74" s="761"/>
      <c r="M74" s="762"/>
      <c r="P74" s="2247"/>
    </row>
    <row r="75" spans="1:16" s="387" customFormat="1">
      <c r="A75" s="2233"/>
      <c r="B75" s="758">
        <f>+B68+1</f>
        <v>51</v>
      </c>
      <c r="C75" s="763" t="s">
        <v>358</v>
      </c>
      <c r="D75" s="392" t="s">
        <v>1353</v>
      </c>
      <c r="E75" s="392"/>
      <c r="F75" s="1574">
        <f>+F49</f>
        <v>2016</v>
      </c>
      <c r="G75" s="1158">
        <v>1593178784.24</v>
      </c>
      <c r="H75" s="1635" t="str">
        <f>IF((INDEX(Inputs_EndYrBal_prior,MATCH($D87,Inputs_FF1_Map,0))-G75)&lt;1,"-","Check values!")</f>
        <v>-</v>
      </c>
      <c r="I75" s="757"/>
      <c r="J75" s="2603"/>
      <c r="K75" s="761"/>
      <c r="L75" s="761"/>
      <c r="M75" s="762"/>
      <c r="P75" s="2247"/>
    </row>
    <row r="76" spans="1:16" s="387" customFormat="1">
      <c r="A76" s="2233"/>
      <c r="B76" s="758">
        <f t="shared" ref="B76:B88" si="6">+B75+1</f>
        <v>52</v>
      </c>
      <c r="C76" s="765" t="s">
        <v>350</v>
      </c>
      <c r="D76" s="757" t="s">
        <v>630</v>
      </c>
      <c r="E76" s="757"/>
      <c r="F76" s="1574">
        <f>+F75+1</f>
        <v>2017</v>
      </c>
      <c r="G76" s="1158">
        <v>1601151320.6800001</v>
      </c>
      <c r="H76" s="766"/>
      <c r="I76" s="757"/>
      <c r="J76" s="2603"/>
      <c r="K76" s="761"/>
      <c r="L76" s="761"/>
      <c r="M76" s="762"/>
      <c r="P76" s="2247"/>
    </row>
    <row r="77" spans="1:16" s="387" customFormat="1">
      <c r="A77" s="2233"/>
      <c r="B77" s="758">
        <f t="shared" si="6"/>
        <v>53</v>
      </c>
      <c r="C77" s="768" t="s">
        <v>351</v>
      </c>
      <c r="D77" s="757" t="s">
        <v>630</v>
      </c>
      <c r="E77" s="757"/>
      <c r="F77" s="1574">
        <f t="shared" ref="F77:F87" si="7">+F76</f>
        <v>2017</v>
      </c>
      <c r="G77" s="1158">
        <v>1608801140.3499999</v>
      </c>
      <c r="H77" s="764"/>
      <c r="I77" s="757"/>
      <c r="J77" s="2603"/>
      <c r="K77" s="761"/>
      <c r="L77" s="761"/>
      <c r="M77" s="762"/>
      <c r="P77" s="2247"/>
    </row>
    <row r="78" spans="1:16" s="387" customFormat="1">
      <c r="A78" s="2233"/>
      <c r="B78" s="758">
        <f t="shared" si="6"/>
        <v>54</v>
      </c>
      <c r="C78" s="768" t="s">
        <v>352</v>
      </c>
      <c r="D78" s="757" t="s">
        <v>630</v>
      </c>
      <c r="E78" s="757"/>
      <c r="F78" s="1574">
        <f t="shared" si="7"/>
        <v>2017</v>
      </c>
      <c r="G78" s="1158">
        <v>1616483920.8499999</v>
      </c>
      <c r="H78" s="764"/>
      <c r="I78" s="757"/>
      <c r="J78" s="2603"/>
      <c r="K78" s="761"/>
      <c r="L78" s="761"/>
      <c r="M78" s="762"/>
      <c r="P78" s="2247"/>
    </row>
    <row r="79" spans="1:16" s="387" customFormat="1">
      <c r="A79" s="2233"/>
      <c r="B79" s="758">
        <f t="shared" si="6"/>
        <v>55</v>
      </c>
      <c r="C79" s="765" t="s">
        <v>143</v>
      </c>
      <c r="D79" s="757" t="s">
        <v>630</v>
      </c>
      <c r="E79" s="757"/>
      <c r="F79" s="1574">
        <f t="shared" si="7"/>
        <v>2017</v>
      </c>
      <c r="G79" s="1158">
        <v>1624880614.8199999</v>
      </c>
      <c r="H79" s="764"/>
      <c r="I79" s="757"/>
      <c r="J79" s="2603"/>
      <c r="K79" s="761"/>
      <c r="L79" s="761"/>
      <c r="M79" s="762"/>
      <c r="P79" s="2247"/>
    </row>
    <row r="80" spans="1:16" s="387" customFormat="1">
      <c r="A80" s="2233"/>
      <c r="B80" s="758">
        <f t="shared" si="6"/>
        <v>56</v>
      </c>
      <c r="C80" s="768" t="s">
        <v>144</v>
      </c>
      <c r="D80" s="757" t="s">
        <v>630</v>
      </c>
      <c r="E80" s="757"/>
      <c r="F80" s="1574">
        <f t="shared" si="7"/>
        <v>2017</v>
      </c>
      <c r="G80" s="1158">
        <v>1632723972.2</v>
      </c>
      <c r="H80" s="769"/>
      <c r="I80" s="757"/>
      <c r="J80" s="2603"/>
      <c r="K80" s="757"/>
      <c r="L80" s="757"/>
      <c r="M80" s="770"/>
      <c r="P80" s="2247"/>
    </row>
    <row r="81" spans="1:16" s="387" customFormat="1">
      <c r="A81" s="2233"/>
      <c r="B81" s="758">
        <f t="shared" si="6"/>
        <v>57</v>
      </c>
      <c r="C81" s="768" t="s">
        <v>610</v>
      </c>
      <c r="D81" s="757" t="s">
        <v>630</v>
      </c>
      <c r="E81" s="757"/>
      <c r="F81" s="1574">
        <f t="shared" si="7"/>
        <v>2017</v>
      </c>
      <c r="G81" s="1158">
        <v>1640908678.6300001</v>
      </c>
      <c r="H81" s="764"/>
      <c r="I81" s="757"/>
      <c r="J81" s="2603"/>
      <c r="K81" s="761"/>
      <c r="L81" s="761"/>
      <c r="M81" s="762"/>
      <c r="P81" s="2247"/>
    </row>
    <row r="82" spans="1:16" s="387" customFormat="1">
      <c r="A82" s="2233"/>
      <c r="B82" s="758">
        <f t="shared" si="6"/>
        <v>58</v>
      </c>
      <c r="C82" s="765" t="s">
        <v>353</v>
      </c>
      <c r="D82" s="757" t="s">
        <v>630</v>
      </c>
      <c r="E82" s="757"/>
      <c r="F82" s="1574">
        <f t="shared" si="7"/>
        <v>2017</v>
      </c>
      <c r="G82" s="1158">
        <v>1648959682.6600001</v>
      </c>
      <c r="H82" s="766"/>
      <c r="I82" s="757"/>
      <c r="J82" s="2603"/>
      <c r="K82" s="391"/>
      <c r="L82" s="391"/>
      <c r="M82" s="762"/>
      <c r="P82" s="2247"/>
    </row>
    <row r="83" spans="1:16" s="387" customFormat="1">
      <c r="A83" s="2233"/>
      <c r="B83" s="758">
        <f t="shared" si="6"/>
        <v>59</v>
      </c>
      <c r="C83" s="768" t="s">
        <v>354</v>
      </c>
      <c r="D83" s="757" t="s">
        <v>630</v>
      </c>
      <c r="E83" s="757"/>
      <c r="F83" s="1574">
        <f t="shared" si="7"/>
        <v>2017</v>
      </c>
      <c r="G83" s="1158">
        <v>1656125815.5799999</v>
      </c>
      <c r="H83" s="764"/>
      <c r="I83" s="757"/>
      <c r="J83" s="2603"/>
      <c r="K83" s="391"/>
      <c r="L83" s="391"/>
      <c r="M83" s="762"/>
      <c r="P83" s="2247"/>
    </row>
    <row r="84" spans="1:16" s="387" customFormat="1">
      <c r="A84" s="2233"/>
      <c r="B84" s="758">
        <f t="shared" si="6"/>
        <v>60</v>
      </c>
      <c r="C84" s="768" t="s">
        <v>355</v>
      </c>
      <c r="D84" s="757" t="s">
        <v>630</v>
      </c>
      <c r="E84" s="757"/>
      <c r="F84" s="1574">
        <f t="shared" si="7"/>
        <v>2017</v>
      </c>
      <c r="G84" s="1158">
        <v>1663134560.9400001</v>
      </c>
      <c r="H84" s="764"/>
      <c r="I84" s="757"/>
      <c r="J84" s="2603"/>
      <c r="K84" s="391"/>
      <c r="L84" s="391"/>
      <c r="M84" s="762"/>
      <c r="P84" s="2247"/>
    </row>
    <row r="85" spans="1:16" s="387" customFormat="1">
      <c r="A85" s="2233"/>
      <c r="B85" s="758">
        <f t="shared" si="6"/>
        <v>61</v>
      </c>
      <c r="C85" s="765" t="s">
        <v>356</v>
      </c>
      <c r="D85" s="757" t="s">
        <v>630</v>
      </c>
      <c r="E85" s="757"/>
      <c r="F85" s="1574">
        <f t="shared" si="7"/>
        <v>2017</v>
      </c>
      <c r="G85" s="1158">
        <v>1670454963.53</v>
      </c>
      <c r="H85" s="764"/>
      <c r="I85" s="757"/>
      <c r="J85" s="2603"/>
      <c r="K85" s="391"/>
      <c r="L85" s="391"/>
      <c r="M85" s="762"/>
      <c r="P85" s="2247"/>
    </row>
    <row r="86" spans="1:16" s="387" customFormat="1">
      <c r="A86" s="2233"/>
      <c r="B86" s="758">
        <f t="shared" si="6"/>
        <v>62</v>
      </c>
      <c r="C86" s="765" t="s">
        <v>357</v>
      </c>
      <c r="D86" s="757" t="s">
        <v>630</v>
      </c>
      <c r="E86" s="757"/>
      <c r="F86" s="1574">
        <f t="shared" si="7"/>
        <v>2017</v>
      </c>
      <c r="G86" s="1158">
        <v>1673650298.1900001</v>
      </c>
      <c r="H86" s="769"/>
      <c r="I86" s="757"/>
      <c r="J86" s="2603"/>
      <c r="K86" s="391"/>
      <c r="L86" s="391"/>
      <c r="M86" s="762"/>
      <c r="P86" s="2247"/>
    </row>
    <row r="87" spans="1:16" s="387" customFormat="1">
      <c r="A87" s="2233"/>
      <c r="B87" s="758">
        <f t="shared" si="6"/>
        <v>63</v>
      </c>
      <c r="C87" s="771" t="s">
        <v>358</v>
      </c>
      <c r="D87" s="395" t="s">
        <v>1340</v>
      </c>
      <c r="E87" s="395"/>
      <c r="F87" s="1575">
        <f t="shared" si="7"/>
        <v>2017</v>
      </c>
      <c r="G87" s="1573">
        <v>1680313619.21</v>
      </c>
      <c r="H87" s="1635" t="str">
        <f>IF((INDEX(Inputs_EndYrBal,MATCH($D87,Inputs_FF1_Map,0))-G87)&lt;1,"-","Check values!")</f>
        <v>-</v>
      </c>
      <c r="I87" s="757"/>
      <c r="J87" s="2603"/>
      <c r="K87" s="391"/>
      <c r="L87" s="391"/>
      <c r="M87" s="770"/>
      <c r="P87" s="2247"/>
    </row>
    <row r="88" spans="1:16" s="387" customFormat="1" ht="15.75">
      <c r="A88" s="2233">
        <f>'Appendix A'!$A$54</f>
        <v>25</v>
      </c>
      <c r="B88" s="758">
        <f t="shared" si="6"/>
        <v>64</v>
      </c>
      <c r="C88" s="773" t="s">
        <v>287</v>
      </c>
      <c r="D88" s="1001" t="str">
        <f>IF(Toggle=Projection,"(line "&amp;B87&amp;")",IF(Toggle=True_up,"(sum lines "&amp;B75&amp;"-"&amp;B87&amp;") /13","Set Toggle!"))</f>
        <v>(sum lines 51-63) /13</v>
      </c>
      <c r="E88" s="996" t="str">
        <f>'Appendix A'!$E$54</f>
        <v>(Note M)</v>
      </c>
      <c r="F88" s="999" t="str">
        <f>Toggle</f>
        <v>True-up</v>
      </c>
      <c r="G88" s="1243">
        <f>IF(Toggle=Projection,G87,IF(Toggle=True_up,AVERAGE(G75:G87),"Set Toggle!"))</f>
        <v>1639289797.8369229</v>
      </c>
      <c r="H88" s="772" t="s">
        <v>1012</v>
      </c>
      <c r="I88" s="757"/>
      <c r="J88" s="2603"/>
      <c r="K88" s="391"/>
      <c r="L88" s="391"/>
      <c r="M88" s="762"/>
      <c r="P88" s="2247"/>
    </row>
    <row r="89" spans="1:16" s="387" customFormat="1">
      <c r="A89" s="2233"/>
      <c r="B89" s="758"/>
      <c r="C89" s="768"/>
      <c r="D89" s="757"/>
      <c r="E89" s="757"/>
      <c r="F89" s="776"/>
      <c r="G89" s="1152"/>
      <c r="H89" s="764"/>
      <c r="I89" s="757"/>
      <c r="J89" s="2603"/>
      <c r="K89" s="391"/>
      <c r="L89" s="391"/>
      <c r="M89" s="762"/>
      <c r="P89" s="2247"/>
    </row>
    <row r="90" spans="1:16" s="387" customFormat="1" ht="15.75">
      <c r="A90" s="2233"/>
      <c r="B90" s="758"/>
      <c r="C90" s="756" t="s">
        <v>623</v>
      </c>
      <c r="D90" s="757" t="s">
        <v>26</v>
      </c>
      <c r="E90" s="757"/>
      <c r="F90" s="758" t="s">
        <v>141</v>
      </c>
      <c r="G90" s="1153" t="s">
        <v>158</v>
      </c>
      <c r="H90" s="769"/>
      <c r="I90" s="757"/>
      <c r="J90" s="2603"/>
      <c r="K90" s="2133"/>
      <c r="L90" s="761"/>
      <c r="M90" s="762"/>
      <c r="P90" s="2247"/>
    </row>
    <row r="91" spans="1:16" s="387" customFormat="1">
      <c r="A91" s="2233"/>
      <c r="B91" s="758">
        <f>+B88+1</f>
        <v>65</v>
      </c>
      <c r="C91" s="763" t="s">
        <v>358</v>
      </c>
      <c r="D91" s="392" t="s">
        <v>1352</v>
      </c>
      <c r="E91" s="392"/>
      <c r="F91" s="1574">
        <f>+F75</f>
        <v>2016</v>
      </c>
      <c r="G91" s="1158">
        <v>2679105242.77</v>
      </c>
      <c r="H91" s="1635" t="s">
        <v>2162</v>
      </c>
      <c r="I91" s="757"/>
      <c r="J91" s="2603"/>
      <c r="K91" s="2132"/>
      <c r="L91" s="2132"/>
      <c r="M91" s="762"/>
      <c r="P91" s="2247"/>
    </row>
    <row r="92" spans="1:16" s="387" customFormat="1">
      <c r="A92" s="2233"/>
      <c r="B92" s="758">
        <f t="shared" ref="B92:B104" si="8">+B91+1</f>
        <v>66</v>
      </c>
      <c r="C92" s="765" t="s">
        <v>350</v>
      </c>
      <c r="D92" s="757" t="s">
        <v>630</v>
      </c>
      <c r="E92" s="757"/>
      <c r="F92" s="1574">
        <f>+F91+1</f>
        <v>2017</v>
      </c>
      <c r="G92" s="1158">
        <v>2685148622.2999997</v>
      </c>
      <c r="H92" s="766"/>
      <c r="I92" s="757"/>
      <c r="J92" s="2603"/>
      <c r="K92" s="761"/>
      <c r="L92" s="761"/>
      <c r="M92" s="762"/>
      <c r="P92" s="2247"/>
    </row>
    <row r="93" spans="1:16" s="387" customFormat="1">
      <c r="A93" s="2233"/>
      <c r="B93" s="758">
        <f t="shared" si="8"/>
        <v>67</v>
      </c>
      <c r="C93" s="768" t="s">
        <v>351</v>
      </c>
      <c r="D93" s="757" t="s">
        <v>630</v>
      </c>
      <c r="E93" s="757"/>
      <c r="F93" s="1574">
        <f t="shared" ref="F93:F103" si="9">+F92</f>
        <v>2017</v>
      </c>
      <c r="G93" s="1158">
        <v>2696484876.0799999</v>
      </c>
      <c r="H93" s="764"/>
      <c r="I93" s="757"/>
      <c r="J93" s="2603"/>
      <c r="K93" s="761"/>
      <c r="L93" s="761"/>
      <c r="M93" s="762"/>
      <c r="P93" s="2247"/>
    </row>
    <row r="94" spans="1:16" s="387" customFormat="1">
      <c r="A94" s="2233"/>
      <c r="B94" s="758">
        <f t="shared" si="8"/>
        <v>68</v>
      </c>
      <c r="C94" s="768" t="s">
        <v>352</v>
      </c>
      <c r="D94" s="757" t="s">
        <v>630</v>
      </c>
      <c r="E94" s="757"/>
      <c r="F94" s="1574">
        <f t="shared" si="9"/>
        <v>2017</v>
      </c>
      <c r="G94" s="1158">
        <v>2704798256.6200004</v>
      </c>
      <c r="H94" s="764"/>
      <c r="I94" s="757"/>
      <c r="J94" s="2603"/>
      <c r="K94" s="761"/>
      <c r="L94" s="761"/>
      <c r="M94" s="762"/>
      <c r="P94" s="2247"/>
    </row>
    <row r="95" spans="1:16" s="387" customFormat="1">
      <c r="A95" s="2233"/>
      <c r="B95" s="758">
        <f t="shared" si="8"/>
        <v>69</v>
      </c>
      <c r="C95" s="765" t="s">
        <v>143</v>
      </c>
      <c r="D95" s="757" t="s">
        <v>630</v>
      </c>
      <c r="E95" s="757"/>
      <c r="F95" s="1574">
        <f t="shared" si="9"/>
        <v>2017</v>
      </c>
      <c r="G95" s="1158">
        <v>2715021349.4699998</v>
      </c>
      <c r="H95" s="764"/>
      <c r="I95" s="757"/>
      <c r="J95" s="2603"/>
      <c r="K95" s="761"/>
      <c r="L95" s="761"/>
      <c r="M95" s="762"/>
      <c r="P95" s="2247"/>
    </row>
    <row r="96" spans="1:16" s="387" customFormat="1">
      <c r="A96" s="2233"/>
      <c r="B96" s="758">
        <f t="shared" si="8"/>
        <v>70</v>
      </c>
      <c r="C96" s="768" t="s">
        <v>144</v>
      </c>
      <c r="D96" s="757" t="s">
        <v>630</v>
      </c>
      <c r="E96" s="757"/>
      <c r="F96" s="1574">
        <f t="shared" si="9"/>
        <v>2017</v>
      </c>
      <c r="G96" s="1158">
        <v>2722787705.8499994</v>
      </c>
      <c r="H96" s="769"/>
      <c r="I96" s="757"/>
      <c r="J96" s="2603"/>
      <c r="K96" s="757"/>
      <c r="L96" s="757"/>
      <c r="M96" s="770"/>
      <c r="P96" s="2247"/>
    </row>
    <row r="97" spans="1:16" s="387" customFormat="1">
      <c r="A97" s="2233"/>
      <c r="B97" s="758">
        <f t="shared" si="8"/>
        <v>71</v>
      </c>
      <c r="C97" s="768" t="s">
        <v>610</v>
      </c>
      <c r="D97" s="757" t="s">
        <v>630</v>
      </c>
      <c r="E97" s="757"/>
      <c r="F97" s="1574">
        <f t="shared" si="9"/>
        <v>2017</v>
      </c>
      <c r="G97" s="1158">
        <v>2732197208.1999998</v>
      </c>
      <c r="H97" s="764"/>
      <c r="I97" s="757"/>
      <c r="J97" s="2603"/>
      <c r="K97" s="761"/>
      <c r="L97" s="761"/>
      <c r="M97" s="762"/>
      <c r="P97" s="2247"/>
    </row>
    <row r="98" spans="1:16" s="387" customFormat="1">
      <c r="A98" s="2233"/>
      <c r="B98" s="758">
        <f t="shared" si="8"/>
        <v>72</v>
      </c>
      <c r="C98" s="765" t="s">
        <v>353</v>
      </c>
      <c r="D98" s="757" t="s">
        <v>630</v>
      </c>
      <c r="E98" s="757"/>
      <c r="F98" s="1574">
        <f t="shared" si="9"/>
        <v>2017</v>
      </c>
      <c r="G98" s="1158">
        <v>2740804920.96</v>
      </c>
      <c r="H98" s="766"/>
      <c r="I98" s="757"/>
      <c r="J98" s="2603"/>
      <c r="K98" s="761"/>
      <c r="L98" s="761"/>
      <c r="M98" s="762"/>
      <c r="P98" s="2247"/>
    </row>
    <row r="99" spans="1:16" s="387" customFormat="1">
      <c r="A99" s="2233"/>
      <c r="B99" s="758">
        <f t="shared" si="8"/>
        <v>73</v>
      </c>
      <c r="C99" s="768" t="s">
        <v>354</v>
      </c>
      <c r="D99" s="757" t="s">
        <v>630</v>
      </c>
      <c r="E99" s="757"/>
      <c r="F99" s="1574">
        <f t="shared" si="9"/>
        <v>2017</v>
      </c>
      <c r="G99" s="1158">
        <v>2749349166.8600001</v>
      </c>
      <c r="H99" s="764"/>
      <c r="I99" s="757"/>
      <c r="J99" s="2603"/>
      <c r="K99" s="761"/>
      <c r="L99" s="761"/>
      <c r="M99" s="762"/>
      <c r="P99" s="2247"/>
    </row>
    <row r="100" spans="1:16" s="387" customFormat="1">
      <c r="A100" s="2233"/>
      <c r="B100" s="758">
        <f t="shared" si="8"/>
        <v>74</v>
      </c>
      <c r="C100" s="768" t="s">
        <v>355</v>
      </c>
      <c r="D100" s="757" t="s">
        <v>630</v>
      </c>
      <c r="E100" s="757"/>
      <c r="F100" s="1574">
        <f t="shared" si="9"/>
        <v>2017</v>
      </c>
      <c r="G100" s="1158">
        <v>2757547627.6299996</v>
      </c>
      <c r="H100" s="764"/>
      <c r="I100" s="757"/>
      <c r="J100" s="2603"/>
      <c r="K100" s="761"/>
      <c r="L100" s="761"/>
      <c r="M100" s="762"/>
      <c r="P100" s="2247"/>
    </row>
    <row r="101" spans="1:16" s="387" customFormat="1">
      <c r="A101" s="2233"/>
      <c r="B101" s="758">
        <f t="shared" si="8"/>
        <v>75</v>
      </c>
      <c r="C101" s="765" t="s">
        <v>611</v>
      </c>
      <c r="D101" s="757" t="s">
        <v>630</v>
      </c>
      <c r="E101" s="757"/>
      <c r="F101" s="1574">
        <f t="shared" si="9"/>
        <v>2017</v>
      </c>
      <c r="G101" s="1158">
        <v>2766417712.8199997</v>
      </c>
      <c r="H101" s="764"/>
      <c r="I101" s="757"/>
      <c r="J101" s="2603"/>
      <c r="K101" s="761"/>
      <c r="L101" s="761"/>
      <c r="M101" s="762"/>
      <c r="P101" s="2247"/>
    </row>
    <row r="102" spans="1:16" s="387" customFormat="1">
      <c r="A102" s="2233"/>
      <c r="B102" s="758">
        <f t="shared" si="8"/>
        <v>76</v>
      </c>
      <c r="C102" s="765" t="s">
        <v>357</v>
      </c>
      <c r="D102" s="757" t="s">
        <v>630</v>
      </c>
      <c r="E102" s="757"/>
      <c r="F102" s="1574">
        <f t="shared" si="9"/>
        <v>2017</v>
      </c>
      <c r="G102" s="1158">
        <v>2775218568.02</v>
      </c>
      <c r="H102" s="764"/>
      <c r="I102" s="757"/>
      <c r="J102" s="2603"/>
      <c r="K102" s="761"/>
      <c r="L102" s="761"/>
      <c r="M102" s="762"/>
      <c r="P102" s="2247"/>
    </row>
    <row r="103" spans="1:16" s="387" customFormat="1">
      <c r="A103" s="2233"/>
      <c r="B103" s="758">
        <f t="shared" si="8"/>
        <v>77</v>
      </c>
      <c r="C103" s="771" t="s">
        <v>358</v>
      </c>
      <c r="D103" s="395" t="s">
        <v>1341</v>
      </c>
      <c r="E103" s="395"/>
      <c r="F103" s="1575">
        <f t="shared" si="9"/>
        <v>2017</v>
      </c>
      <c r="G103" s="1573">
        <v>2782769275.73</v>
      </c>
      <c r="H103" s="1635" t="s">
        <v>2162</v>
      </c>
      <c r="I103" s="757"/>
      <c r="J103" s="2603"/>
      <c r="K103" s="2129"/>
      <c r="L103" s="757"/>
      <c r="M103" s="770"/>
      <c r="P103" s="2247"/>
    </row>
    <row r="104" spans="1:16" s="387" customFormat="1" ht="15.75">
      <c r="A104" s="2233"/>
      <c r="B104" s="758">
        <f t="shared" si="8"/>
        <v>78</v>
      </c>
      <c r="C104" s="773" t="s">
        <v>624</v>
      </c>
      <c r="D104" s="1001" t="str">
        <f>IF(Toggle=Projection,"(line "&amp;B103&amp;")",IF(Toggle=True_up,"(sum lines "&amp;B91&amp;"-"&amp;B103&amp;") /13","Set Toggle!"))</f>
        <v>(sum lines 65-77) /13</v>
      </c>
      <c r="E104" s="757"/>
      <c r="F104" s="999" t="str">
        <f>Toggle</f>
        <v>True-up</v>
      </c>
      <c r="G104" s="1151">
        <f>IF(Toggle=Projection,G103,IF(Toggle=True_up,AVERAGE(G91:G103),"Set Toggle!"))</f>
        <v>2731357733.3315387</v>
      </c>
      <c r="H104" s="2137"/>
      <c r="I104" s="757"/>
      <c r="J104" s="2603"/>
      <c r="K104" s="761"/>
      <c r="L104" s="761"/>
      <c r="M104" s="762"/>
      <c r="P104" s="2247"/>
    </row>
    <row r="105" spans="1:16" s="387" customFormat="1">
      <c r="A105" s="2233"/>
      <c r="B105" s="758"/>
      <c r="C105" s="768"/>
      <c r="D105" s="757"/>
      <c r="E105" s="757"/>
      <c r="F105" s="776"/>
      <c r="G105" s="1152"/>
      <c r="H105" s="764"/>
      <c r="I105" s="757"/>
      <c r="J105" s="2603"/>
      <c r="K105" s="761"/>
      <c r="L105" s="761"/>
      <c r="M105" s="762"/>
      <c r="P105" s="2247"/>
    </row>
    <row r="106" spans="1:16" s="387" customFormat="1" ht="15.75">
      <c r="A106" s="2233"/>
      <c r="B106" s="758"/>
      <c r="C106" s="756" t="s">
        <v>625</v>
      </c>
      <c r="D106" s="757" t="s">
        <v>26</v>
      </c>
      <c r="E106" s="757"/>
      <c r="F106" s="758" t="s">
        <v>141</v>
      </c>
      <c r="G106" s="1153" t="s">
        <v>158</v>
      </c>
      <c r="H106" s="769"/>
      <c r="I106" s="757"/>
      <c r="J106" s="2603"/>
      <c r="K106" s="761"/>
      <c r="L106" s="761"/>
      <c r="M106" s="762"/>
      <c r="P106" s="2247"/>
    </row>
    <row r="107" spans="1:16" s="387" customFormat="1">
      <c r="A107" s="2233"/>
      <c r="B107" s="758">
        <f>+B104+1</f>
        <v>79</v>
      </c>
      <c r="C107" s="763" t="s">
        <v>358</v>
      </c>
      <c r="D107" s="392" t="s">
        <v>1354</v>
      </c>
      <c r="E107" s="392"/>
      <c r="F107" s="1574">
        <f>+F91</f>
        <v>2016</v>
      </c>
      <c r="G107" s="1158">
        <v>550535864.47000003</v>
      </c>
      <c r="H107" s="1635"/>
      <c r="I107" s="757"/>
      <c r="J107" s="2603"/>
      <c r="K107" s="761"/>
      <c r="L107" s="761"/>
      <c r="M107" s="762"/>
      <c r="P107" s="2247"/>
    </row>
    <row r="108" spans="1:16" s="387" customFormat="1">
      <c r="A108" s="2233"/>
      <c r="B108" s="758">
        <f>+B107+1</f>
        <v>80</v>
      </c>
      <c r="C108" s="771" t="s">
        <v>358</v>
      </c>
      <c r="D108" s="395" t="s">
        <v>1342</v>
      </c>
      <c r="E108" s="395"/>
      <c r="F108" s="1575">
        <f>+F107+1</f>
        <v>2017</v>
      </c>
      <c r="G108" s="1728">
        <v>580005314.62</v>
      </c>
      <c r="H108" s="1635" t="str">
        <f>IF((INDEX(Inputs_EndYrBal,MATCH($D108,Inputs_FF1_Map,0))-G108)&lt;1,"-","Check values!")</f>
        <v>-</v>
      </c>
      <c r="I108" s="757"/>
      <c r="J108" s="2603"/>
      <c r="K108" s="757"/>
      <c r="L108" s="757"/>
      <c r="M108" s="770"/>
      <c r="P108" s="2247"/>
    </row>
    <row r="109" spans="1:16" s="387" customFormat="1" ht="15.75">
      <c r="A109" s="2235">
        <f>'Appendix A'!$A$24</f>
        <v>8</v>
      </c>
      <c r="B109" s="758">
        <f>+B108+1</f>
        <v>81</v>
      </c>
      <c r="C109" s="773" t="s">
        <v>626</v>
      </c>
      <c r="D109" s="1001" t="str">
        <f>IF(Toggle=Projection,"(line "&amp;B108&amp;")",IF(Toggle=True_up,"(sum lines "&amp;B107&amp;" &amp; "&amp;B108&amp;") /2","Set Toggle!"))</f>
        <v>(sum lines 79 &amp; 80) /2</v>
      </c>
      <c r="E109" s="996" t="str">
        <f>'Appendix A'!$E$24</f>
        <v>(Note N)</v>
      </c>
      <c r="F109" s="999" t="str">
        <f>Toggle</f>
        <v>True-up</v>
      </c>
      <c r="G109" s="1243">
        <f>IF(Toggle=Projection,G108,IF(Toggle=True_up,AVERAGE(G107:G108),"Set Toggle!"))</f>
        <v>565270589.54500008</v>
      </c>
      <c r="H109" s="772" t="s">
        <v>1012</v>
      </c>
      <c r="I109" s="757"/>
      <c r="J109" s="2603"/>
      <c r="K109" s="391"/>
      <c r="L109" s="391"/>
      <c r="M109" s="2138"/>
      <c r="P109" s="2247"/>
    </row>
    <row r="110" spans="1:16" s="387" customFormat="1">
      <c r="A110" s="2233"/>
      <c r="B110" s="758"/>
      <c r="C110" s="765"/>
      <c r="D110" s="757"/>
      <c r="E110" s="757"/>
      <c r="F110" s="779"/>
      <c r="G110" s="1154"/>
      <c r="H110" s="764"/>
      <c r="I110" s="757"/>
      <c r="J110" s="2603"/>
      <c r="K110" s="391"/>
      <c r="L110" s="391"/>
      <c r="M110" s="2138"/>
      <c r="O110" s="2130"/>
      <c r="P110" s="2247"/>
    </row>
    <row r="111" spans="1:16" s="387" customFormat="1" ht="15.75">
      <c r="A111" s="2233"/>
      <c r="B111" s="758"/>
      <c r="C111" s="756" t="s">
        <v>627</v>
      </c>
      <c r="D111" s="757" t="s">
        <v>26</v>
      </c>
      <c r="E111" s="757"/>
      <c r="F111" s="758" t="s">
        <v>141</v>
      </c>
      <c r="G111" s="1153" t="s">
        <v>158</v>
      </c>
      <c r="H111" s="769"/>
      <c r="I111" s="757"/>
      <c r="J111" s="2603"/>
      <c r="K111" s="391"/>
      <c r="L111" s="391"/>
      <c r="M111" s="2138"/>
      <c r="O111" s="2130"/>
      <c r="P111" s="2247"/>
    </row>
    <row r="112" spans="1:16" s="387" customFormat="1">
      <c r="A112" s="2233"/>
      <c r="B112" s="758">
        <f>+B109+1</f>
        <v>82</v>
      </c>
      <c r="C112" s="763" t="s">
        <v>358</v>
      </c>
      <c r="D112" s="392" t="s">
        <v>1351</v>
      </c>
      <c r="E112" s="392"/>
      <c r="F112" s="1574">
        <f>+F107</f>
        <v>2016</v>
      </c>
      <c r="G112" s="1158">
        <v>434527790.31999999</v>
      </c>
      <c r="H112" s="1635" t="str">
        <f>IF((INDEX(Inputs_EndYrBal_prior,MATCH($D113,Inputs_FF1_Map,0))-G112)&lt;1,"-","Check values!")</f>
        <v>-</v>
      </c>
      <c r="I112" s="757"/>
      <c r="J112" s="2603"/>
      <c r="K112" s="391"/>
      <c r="L112" s="391"/>
      <c r="M112" s="2138"/>
      <c r="O112" s="2130"/>
      <c r="P112" s="2247"/>
    </row>
    <row r="113" spans="1:16" s="387" customFormat="1">
      <c r="A113" s="2233"/>
      <c r="B113" s="758">
        <f>+B112+1</f>
        <v>83</v>
      </c>
      <c r="C113" s="771" t="s">
        <v>358</v>
      </c>
      <c r="D113" s="395" t="s">
        <v>1343</v>
      </c>
      <c r="E113" s="395"/>
      <c r="F113" s="1575">
        <f>+F112+1</f>
        <v>2017</v>
      </c>
      <c r="G113" s="1573">
        <v>461124272.17999995</v>
      </c>
      <c r="H113" s="1635" t="str">
        <f>IF((INDEX(Inputs_EndYrBal,MATCH($D113,Inputs_FF1_Map,0))-G113)&lt;1,"-","Check values!")</f>
        <v>-</v>
      </c>
      <c r="I113" s="757"/>
      <c r="J113" s="2603"/>
      <c r="K113" s="391"/>
      <c r="L113" s="391"/>
      <c r="M113" s="2138"/>
      <c r="O113" s="2131"/>
      <c r="P113" s="2247"/>
    </row>
    <row r="114" spans="1:16" s="387" customFormat="1" ht="15.75">
      <c r="A114" s="2233">
        <f>'Appendix A'!$A$56</f>
        <v>26</v>
      </c>
      <c r="B114" s="758">
        <f>+B113+1</f>
        <v>84</v>
      </c>
      <c r="C114" s="773" t="s">
        <v>318</v>
      </c>
      <c r="D114" s="1001" t="str">
        <f>IF(Toggle=Projection,"(line "&amp;B113&amp;")",IF(Toggle=True_up,"(sum lines "&amp;B112&amp;" &amp; "&amp;B113&amp;") /2","Set Toggle!"))</f>
        <v>(sum lines 82 &amp; 83) /2</v>
      </c>
      <c r="E114" s="996" t="str">
        <f>'Appendix A'!$E$56</f>
        <v>(Note N)</v>
      </c>
      <c r="F114" s="999" t="str">
        <f>Toggle</f>
        <v>True-up</v>
      </c>
      <c r="G114" s="1243">
        <f>IF(Toggle=Projection,G113,IF(Toggle=True_up,AVERAGE(G112:G113),"Set Toggle!"))</f>
        <v>447826031.25</v>
      </c>
      <c r="H114" s="772" t="s">
        <v>1012</v>
      </c>
      <c r="I114" s="757"/>
      <c r="J114" s="2603"/>
      <c r="K114" s="391"/>
      <c r="L114" s="391"/>
      <c r="M114" s="2138"/>
      <c r="O114" s="2130"/>
      <c r="P114" s="2247"/>
    </row>
    <row r="115" spans="1:16" s="387" customFormat="1">
      <c r="A115" s="2233"/>
      <c r="B115" s="758"/>
      <c r="C115" s="768"/>
      <c r="D115" s="392"/>
      <c r="E115" s="392"/>
      <c r="F115" s="780"/>
      <c r="G115" s="1154"/>
      <c r="H115" s="769"/>
      <c r="I115" s="757"/>
      <c r="J115" s="2603"/>
      <c r="K115" s="391"/>
      <c r="L115" s="391"/>
      <c r="M115" s="2138"/>
      <c r="O115" s="2131"/>
      <c r="P115" s="2247"/>
    </row>
    <row r="116" spans="1:16" s="387" customFormat="1" ht="15.75">
      <c r="A116" s="2233"/>
      <c r="B116" s="758"/>
      <c r="C116" s="756" t="s">
        <v>628</v>
      </c>
      <c r="D116" s="757" t="s">
        <v>26</v>
      </c>
      <c r="E116" s="757"/>
      <c r="F116" s="758" t="s">
        <v>141</v>
      </c>
      <c r="G116" s="1153" t="s">
        <v>158</v>
      </c>
      <c r="H116" s="769"/>
      <c r="I116" s="757"/>
      <c r="J116" s="2603"/>
      <c r="K116" s="391"/>
      <c r="L116" s="391"/>
      <c r="M116" s="2138"/>
      <c r="P116" s="2248"/>
    </row>
    <row r="117" spans="1:16" s="387" customFormat="1">
      <c r="A117" s="2233"/>
      <c r="B117" s="758">
        <f>+B114+1</f>
        <v>85</v>
      </c>
      <c r="C117" s="763" t="s">
        <v>358</v>
      </c>
      <c r="D117" s="392" t="s">
        <v>1350</v>
      </c>
      <c r="E117" s="392"/>
      <c r="F117" s="1574">
        <f>+F112</f>
        <v>2016</v>
      </c>
      <c r="G117" s="1158">
        <v>4287973862.8900003</v>
      </c>
      <c r="H117" s="1635"/>
      <c r="I117" s="757"/>
      <c r="J117" s="2603"/>
      <c r="K117" s="391"/>
      <c r="L117" s="391"/>
      <c r="M117" s="2138"/>
      <c r="O117" s="954"/>
      <c r="P117" s="2248"/>
    </row>
    <row r="118" spans="1:16" s="387" customFormat="1">
      <c r="A118" s="2233"/>
      <c r="B118" s="758">
        <f t="shared" ref="B118:B130" si="10">+B117+1</f>
        <v>86</v>
      </c>
      <c r="C118" s="781" t="s">
        <v>350</v>
      </c>
      <c r="D118" s="757" t="s">
        <v>630</v>
      </c>
      <c r="E118" s="757"/>
      <c r="F118" s="1574">
        <f>+F117+1</f>
        <v>2017</v>
      </c>
      <c r="G118" s="1158">
        <v>4321459965.71</v>
      </c>
      <c r="H118" s="769"/>
      <c r="I118" s="757"/>
      <c r="J118" s="2603"/>
      <c r="K118" s="391"/>
      <c r="L118" s="391"/>
      <c r="M118" s="2138"/>
      <c r="O118" s="954"/>
      <c r="P118" s="2248"/>
    </row>
    <row r="119" spans="1:16" s="387" customFormat="1" ht="15" customHeight="1">
      <c r="A119" s="2233"/>
      <c r="B119" s="758">
        <f t="shared" si="10"/>
        <v>87</v>
      </c>
      <c r="C119" s="768" t="s">
        <v>351</v>
      </c>
      <c r="D119" s="757" t="s">
        <v>630</v>
      </c>
      <c r="E119" s="757"/>
      <c r="F119" s="1574">
        <f t="shared" ref="F119:F129" si="11">+F118</f>
        <v>2017</v>
      </c>
      <c r="G119" s="1158">
        <v>4351537059.079999</v>
      </c>
      <c r="H119" s="769"/>
      <c r="I119" s="757"/>
      <c r="J119" s="2603"/>
      <c r="K119" s="391"/>
      <c r="L119" s="391"/>
      <c r="M119" s="2138"/>
      <c r="O119" s="954"/>
      <c r="P119" s="2248"/>
    </row>
    <row r="120" spans="1:16" s="387" customFormat="1" ht="15" customHeight="1">
      <c r="A120" s="2233"/>
      <c r="B120" s="758">
        <f t="shared" si="10"/>
        <v>88</v>
      </c>
      <c r="C120" s="768" t="s">
        <v>352</v>
      </c>
      <c r="D120" s="757" t="s">
        <v>630</v>
      </c>
      <c r="E120" s="757"/>
      <c r="F120" s="1574">
        <f t="shared" si="11"/>
        <v>2017</v>
      </c>
      <c r="G120" s="1158">
        <v>4373195570.4499989</v>
      </c>
      <c r="H120" s="769"/>
      <c r="I120" s="757"/>
      <c r="J120" s="2603"/>
      <c r="K120" s="391"/>
      <c r="L120" s="391"/>
      <c r="M120" s="2138"/>
      <c r="O120" s="954"/>
      <c r="P120" s="2248"/>
    </row>
    <row r="121" spans="1:16" s="387" customFormat="1">
      <c r="A121" s="2233"/>
      <c r="B121" s="758">
        <f t="shared" si="10"/>
        <v>89</v>
      </c>
      <c r="C121" s="781" t="s">
        <v>143</v>
      </c>
      <c r="D121" s="757" t="s">
        <v>630</v>
      </c>
      <c r="E121" s="757"/>
      <c r="F121" s="1574">
        <f t="shared" si="11"/>
        <v>2017</v>
      </c>
      <c r="G121" s="1158">
        <v>4409364569.1700001</v>
      </c>
      <c r="H121" s="769"/>
      <c r="I121" s="757"/>
      <c r="J121" s="2603"/>
      <c r="K121" s="391"/>
      <c r="L121" s="391"/>
      <c r="M121" s="2138"/>
      <c r="O121" s="954"/>
      <c r="P121" s="2248"/>
    </row>
    <row r="122" spans="1:16" s="387" customFormat="1">
      <c r="A122" s="2233"/>
      <c r="B122" s="758">
        <f t="shared" si="10"/>
        <v>90</v>
      </c>
      <c r="C122" s="768" t="s">
        <v>144</v>
      </c>
      <c r="D122" s="757" t="s">
        <v>630</v>
      </c>
      <c r="E122" s="757"/>
      <c r="F122" s="1574">
        <f t="shared" si="11"/>
        <v>2017</v>
      </c>
      <c r="G122" s="1158">
        <v>4435821335.8299999</v>
      </c>
      <c r="H122" s="769"/>
      <c r="I122" s="757"/>
      <c r="J122" s="2603"/>
      <c r="K122" s="391"/>
      <c r="L122" s="391"/>
      <c r="M122" s="2138"/>
      <c r="O122" s="954"/>
      <c r="P122" s="2248"/>
    </row>
    <row r="123" spans="1:16" s="387" customFormat="1">
      <c r="A123" s="2233"/>
      <c r="B123" s="758">
        <f t="shared" si="10"/>
        <v>91</v>
      </c>
      <c r="C123" s="768" t="s">
        <v>610</v>
      </c>
      <c r="D123" s="757" t="s">
        <v>630</v>
      </c>
      <c r="E123" s="757"/>
      <c r="F123" s="1574">
        <f t="shared" si="11"/>
        <v>2017</v>
      </c>
      <c r="G123" s="1158">
        <v>4455235329.5599995</v>
      </c>
      <c r="H123" s="769"/>
      <c r="I123" s="757"/>
      <c r="J123" s="2603"/>
      <c r="K123" s="391"/>
      <c r="L123" s="391"/>
      <c r="M123" s="2138"/>
      <c r="O123" s="954"/>
      <c r="P123" s="2248"/>
    </row>
    <row r="124" spans="1:16" s="387" customFormat="1">
      <c r="A124" s="2233"/>
      <c r="B124" s="758">
        <f t="shared" si="10"/>
        <v>92</v>
      </c>
      <c r="C124" s="781" t="s">
        <v>353</v>
      </c>
      <c r="D124" s="757" t="s">
        <v>630</v>
      </c>
      <c r="E124" s="757"/>
      <c r="F124" s="1574">
        <f t="shared" si="11"/>
        <v>2017</v>
      </c>
      <c r="G124" s="1158">
        <v>4482634510.0699997</v>
      </c>
      <c r="H124" s="769"/>
      <c r="I124" s="757"/>
      <c r="J124" s="2603"/>
      <c r="K124" s="391"/>
      <c r="L124" s="391"/>
      <c r="M124" s="2138"/>
      <c r="P124" s="2247"/>
    </row>
    <row r="125" spans="1:16" s="387" customFormat="1">
      <c r="A125" s="2233"/>
      <c r="B125" s="758">
        <f t="shared" si="10"/>
        <v>93</v>
      </c>
      <c r="C125" s="768" t="s">
        <v>354</v>
      </c>
      <c r="D125" s="757" t="s">
        <v>630</v>
      </c>
      <c r="E125" s="757"/>
      <c r="F125" s="1574">
        <f t="shared" si="11"/>
        <v>2017</v>
      </c>
      <c r="G125" s="1158">
        <v>4512735963.4700012</v>
      </c>
      <c r="H125" s="769"/>
      <c r="I125" s="757"/>
      <c r="J125" s="2603"/>
      <c r="K125" s="391"/>
      <c r="L125" s="391"/>
      <c r="M125" s="2138"/>
      <c r="P125" s="2247"/>
    </row>
    <row r="126" spans="1:16" s="387" customFormat="1">
      <c r="A126" s="2233"/>
      <c r="B126" s="758">
        <f t="shared" si="10"/>
        <v>94</v>
      </c>
      <c r="C126" s="768" t="s">
        <v>355</v>
      </c>
      <c r="D126" s="757" t="s">
        <v>630</v>
      </c>
      <c r="E126" s="757"/>
      <c r="F126" s="1574">
        <f t="shared" si="11"/>
        <v>2017</v>
      </c>
      <c r="G126" s="1158">
        <v>4541473890.5400009</v>
      </c>
      <c r="H126" s="769"/>
      <c r="I126" s="757"/>
      <c r="J126" s="2603"/>
      <c r="K126" s="391"/>
      <c r="L126" s="391"/>
      <c r="M126" s="2138"/>
      <c r="P126" s="2247"/>
    </row>
    <row r="127" spans="1:16" s="387" customFormat="1">
      <c r="A127" s="2233"/>
      <c r="B127" s="758">
        <f t="shared" si="10"/>
        <v>95</v>
      </c>
      <c r="C127" s="781" t="s">
        <v>611</v>
      </c>
      <c r="D127" s="757" t="s">
        <v>630</v>
      </c>
      <c r="E127" s="757"/>
      <c r="F127" s="1574">
        <f t="shared" si="11"/>
        <v>2017</v>
      </c>
      <c r="G127" s="1158">
        <v>4574300093.8299999</v>
      </c>
      <c r="H127" s="769"/>
      <c r="I127" s="757"/>
      <c r="J127" s="2603"/>
      <c r="K127" s="391"/>
      <c r="L127" s="391"/>
      <c r="M127" s="2138"/>
      <c r="P127" s="2247"/>
    </row>
    <row r="128" spans="1:16" s="387" customFormat="1">
      <c r="A128" s="2233"/>
      <c r="B128" s="758">
        <f t="shared" si="10"/>
        <v>96</v>
      </c>
      <c r="C128" s="781" t="s">
        <v>357</v>
      </c>
      <c r="D128" s="757" t="s">
        <v>630</v>
      </c>
      <c r="E128" s="757"/>
      <c r="F128" s="1574">
        <f t="shared" si="11"/>
        <v>2017</v>
      </c>
      <c r="G128" s="1158">
        <v>4605088463.8400002</v>
      </c>
      <c r="H128" s="764"/>
      <c r="I128" s="757"/>
      <c r="J128" s="2603"/>
      <c r="K128" s="391"/>
      <c r="L128" s="391"/>
      <c r="M128" s="2138"/>
      <c r="P128" s="2247"/>
    </row>
    <row r="129" spans="1:16" s="387" customFormat="1">
      <c r="A129" s="2233"/>
      <c r="B129" s="758">
        <f t="shared" si="10"/>
        <v>97</v>
      </c>
      <c r="C129" s="771" t="s">
        <v>358</v>
      </c>
      <c r="D129" s="395" t="s">
        <v>1349</v>
      </c>
      <c r="E129" s="395"/>
      <c r="F129" s="1575">
        <f t="shared" si="11"/>
        <v>2017</v>
      </c>
      <c r="G129" s="1573">
        <v>4636434747.4400005</v>
      </c>
      <c r="H129" s="1635" t="str">
        <f>IF((INDEX(Inputs_EndYrBal,MATCH($D129,Inputs_FF1_Map,0))-G129)&lt;1,"-","Check values!")</f>
        <v>-</v>
      </c>
      <c r="I129" s="757"/>
      <c r="J129" s="2603"/>
      <c r="K129" s="391"/>
      <c r="L129" s="391"/>
      <c r="M129" s="2138"/>
      <c r="P129" s="2247"/>
    </row>
    <row r="130" spans="1:16" s="387" customFormat="1" ht="15.75">
      <c r="A130" s="2233"/>
      <c r="B130" s="758">
        <f t="shared" si="10"/>
        <v>98</v>
      </c>
      <c r="C130" s="773" t="s">
        <v>629</v>
      </c>
      <c r="D130" s="1001" t="str">
        <f>IF(Toggle=Projection,"(line "&amp;B129&amp;")",IF(Toggle=True_up,"(sum lines "&amp;B117&amp;"-"&amp;B129&amp;") /13","Set Toggle!"))</f>
        <v>(sum lines 85-97) /13</v>
      </c>
      <c r="E130" s="757"/>
      <c r="F130" s="999" t="str">
        <f>Toggle</f>
        <v>True-up</v>
      </c>
      <c r="G130" s="1151">
        <f>IF(Toggle=Projection,G129,IF(Toggle=True_up,AVERAGE(G117:G129),"Set Toggle!"))</f>
        <v>4460558104.7600002</v>
      </c>
      <c r="H130" s="2137"/>
      <c r="I130" s="757"/>
      <c r="J130" s="2603"/>
      <c r="K130" s="391"/>
      <c r="L130" s="391"/>
      <c r="M130" s="2138"/>
      <c r="P130" s="2247"/>
    </row>
    <row r="131" spans="1:16" s="387" customFormat="1">
      <c r="A131" s="2233"/>
      <c r="B131" s="758"/>
      <c r="C131" s="768"/>
      <c r="D131" s="757"/>
      <c r="E131" s="757"/>
      <c r="F131" s="776"/>
      <c r="G131" s="1152"/>
      <c r="H131" s="764"/>
      <c r="I131" s="757"/>
      <c r="J131" s="2603"/>
      <c r="K131" s="391"/>
      <c r="L131" s="391"/>
      <c r="M131" s="2138"/>
      <c r="P131" s="2247"/>
    </row>
    <row r="132" spans="1:16" s="387" customFormat="1" ht="15.75">
      <c r="A132" s="801">
        <f>+'Appendix A'!A23</f>
        <v>7</v>
      </c>
      <c r="B132" s="758">
        <f>+B130+1</f>
        <v>99</v>
      </c>
      <c r="C132" s="789" t="str">
        <f>'Appendix A'!C23</f>
        <v>Accumulated Depreciation (Total Electric Plant)</v>
      </c>
      <c r="D132" s="757" t="str">
        <f>"(sum lines "&amp;B88&amp;", "&amp;B104&amp;", "&amp;B114&amp;", &amp; "&amp;B130&amp;")"</f>
        <v>(sum lines 64, 78, 84, &amp; 98)</v>
      </c>
      <c r="E132" s="996" t="str">
        <f>'Appendix A'!$E$23</f>
        <v>(Note M)</v>
      </c>
      <c r="F132" s="999" t="str">
        <f>Toggle</f>
        <v>True-up</v>
      </c>
      <c r="G132" s="1245">
        <f>SUM(G130,G114,G104,G88)</f>
        <v>9279031667.178463</v>
      </c>
      <c r="H132" s="772" t="s">
        <v>1012</v>
      </c>
      <c r="I132" s="757"/>
      <c r="J132" s="2603"/>
      <c r="K132" s="391"/>
      <c r="L132" s="391"/>
      <c r="M132" s="2138"/>
      <c r="P132" s="2247"/>
    </row>
    <row r="133" spans="1:16" s="387" customFormat="1" ht="15.75">
      <c r="A133" s="2233"/>
      <c r="B133" s="758"/>
      <c r="C133" s="773"/>
      <c r="D133" s="757"/>
      <c r="E133" s="757"/>
      <c r="F133" s="774"/>
      <c r="G133" s="1151"/>
      <c r="H133" s="764"/>
      <c r="I133" s="757"/>
      <c r="J133" s="2603"/>
      <c r="K133" s="391"/>
      <c r="L133" s="391"/>
      <c r="M133" s="2138"/>
      <c r="P133" s="2247"/>
    </row>
    <row r="134" spans="1:16" s="387" customFormat="1" ht="15.75">
      <c r="A134" s="2233"/>
      <c r="B134" s="758">
        <f>+B132+1</f>
        <v>100</v>
      </c>
      <c r="C134" s="789" t="s">
        <v>249</v>
      </c>
      <c r="D134" s="392" t="str">
        <f>"(sum lines "&amp;B88&amp;", "&amp;B104&amp;", "&amp;B109&amp;", "&amp;B114&amp;", &amp; "&amp;B130&amp;")"</f>
        <v>(sum lines 64, 78, 81, 84, &amp; 98)</v>
      </c>
      <c r="E134" s="392"/>
      <c r="F134" s="999" t="str">
        <f>Toggle</f>
        <v>True-up</v>
      </c>
      <c r="G134" s="1155">
        <f>SUM(G130,G114,G104,G88,G109)</f>
        <v>9844302256.7234631</v>
      </c>
      <c r="H134" s="788"/>
      <c r="I134" s="757"/>
      <c r="J134" s="2603"/>
      <c r="K134" s="391"/>
      <c r="L134" s="391"/>
      <c r="M134" s="2138"/>
      <c r="P134" s="2247"/>
    </row>
    <row r="135" spans="1:16" s="387" customFormat="1" ht="15.75" thickBot="1">
      <c r="A135" s="790"/>
      <c r="B135" s="791"/>
      <c r="C135" s="792"/>
      <c r="D135" s="793"/>
      <c r="E135" s="866"/>
      <c r="F135" s="794"/>
      <c r="G135" s="795"/>
      <c r="H135" s="796"/>
      <c r="I135" s="797"/>
      <c r="J135" s="797"/>
      <c r="K135" s="798"/>
      <c r="L135" s="798"/>
      <c r="M135" s="799"/>
      <c r="P135" s="2247"/>
    </row>
    <row r="136" spans="1:16" s="880" customFormat="1">
      <c r="A136" s="871"/>
      <c r="B136" s="859"/>
      <c r="C136" s="874"/>
      <c r="D136" s="862"/>
      <c r="E136" s="862"/>
      <c r="F136" s="875"/>
      <c r="G136" s="874"/>
      <c r="H136" s="876"/>
      <c r="I136" s="863"/>
      <c r="J136" s="863"/>
      <c r="K136" s="864"/>
      <c r="L136" s="864"/>
      <c r="M136" s="864"/>
      <c r="P136" s="2247"/>
    </row>
    <row r="137" spans="1:16" s="880" customFormat="1">
      <c r="A137" s="778"/>
      <c r="B137" s="767"/>
      <c r="C137" s="768"/>
      <c r="D137" s="757"/>
      <c r="E137" s="757"/>
      <c r="F137" s="776"/>
      <c r="G137" s="768"/>
      <c r="H137" s="787"/>
      <c r="I137" s="758"/>
      <c r="J137" s="758"/>
      <c r="K137" s="761"/>
      <c r="L137" s="761"/>
      <c r="M137" s="761"/>
      <c r="P137" s="2247"/>
    </row>
    <row r="138" spans="1:16" s="880" customFormat="1" ht="16.5" thickBot="1">
      <c r="A138" s="878" t="s">
        <v>633</v>
      </c>
      <c r="B138" s="860"/>
      <c r="C138" s="865"/>
      <c r="D138" s="866"/>
      <c r="E138" s="866"/>
      <c r="F138" s="867"/>
      <c r="G138" s="865"/>
      <c r="H138" s="850"/>
      <c r="I138" s="870"/>
      <c r="J138" s="870"/>
      <c r="K138" s="851"/>
      <c r="L138" s="851"/>
      <c r="M138" s="851"/>
      <c r="P138" s="2247"/>
    </row>
    <row r="139" spans="1:16" s="880" customFormat="1" ht="30">
      <c r="A139" s="2683" t="s">
        <v>206</v>
      </c>
      <c r="B139" s="2684"/>
      <c r="C139" s="2684"/>
      <c r="D139" s="2684"/>
      <c r="E139" s="2684"/>
      <c r="F139" s="2684"/>
      <c r="G139" s="2685"/>
      <c r="H139" s="907" t="s">
        <v>207</v>
      </c>
      <c r="I139" s="908"/>
      <c r="J139" s="908"/>
      <c r="K139" s="908"/>
      <c r="L139" s="908"/>
      <c r="M139" s="909"/>
      <c r="P139" s="2247"/>
    </row>
    <row r="140" spans="1:16" s="387" customFormat="1">
      <c r="A140" s="801"/>
      <c r="B140" s="767"/>
      <c r="C140" s="768"/>
      <c r="D140" s="757"/>
      <c r="E140" s="757"/>
      <c r="F140" s="776"/>
      <c r="G140" s="777"/>
      <c r="H140" s="787"/>
      <c r="I140" s="758"/>
      <c r="J140" s="758"/>
      <c r="K140" s="761"/>
      <c r="L140" s="761"/>
      <c r="M140" s="762"/>
      <c r="P140" s="2247"/>
    </row>
    <row r="141" spans="1:16" s="387" customFormat="1">
      <c r="A141" s="2236"/>
      <c r="B141" s="767"/>
      <c r="C141" s="51" t="s">
        <v>321</v>
      </c>
      <c r="D141" s="37"/>
      <c r="E141" s="37"/>
      <c r="F141" s="37" t="s">
        <v>631</v>
      </c>
      <c r="G141" s="241" t="s">
        <v>329</v>
      </c>
      <c r="H141" s="1149">
        <f>INDEX(Inputs_EndYrBal_prior,MATCH(G141,Inputs_FF1_Map,0))</f>
        <v>0</v>
      </c>
      <c r="I141" s="758"/>
      <c r="J141" s="758"/>
      <c r="K141" s="761"/>
      <c r="L141" s="761"/>
      <c r="M141" s="762"/>
      <c r="P141" s="2247" t="s">
        <v>2103</v>
      </c>
    </row>
    <row r="142" spans="1:16" s="387" customFormat="1">
      <c r="A142" s="801"/>
      <c r="B142" s="767"/>
      <c r="C142" s="332"/>
      <c r="D142" s="47"/>
      <c r="E142" s="47"/>
      <c r="F142" s="510" t="s">
        <v>632</v>
      </c>
      <c r="G142" s="966" t="s">
        <v>329</v>
      </c>
      <c r="H142" s="1149">
        <f>INDEX(Inputs_EndYrBal,MATCH(G142,Inputs_FF1_Map,0))</f>
        <v>0</v>
      </c>
      <c r="I142" s="758"/>
      <c r="J142" s="758"/>
      <c r="K142" s="761"/>
      <c r="L142" s="761"/>
      <c r="M142" s="762"/>
      <c r="P142" s="2247"/>
    </row>
    <row r="143" spans="1:16" s="387" customFormat="1" ht="15.75">
      <c r="A143" s="801">
        <f>+'Appendix A'!A87</f>
        <v>39</v>
      </c>
      <c r="B143" s="767"/>
      <c r="C143" s="332"/>
      <c r="D143" s="391"/>
      <c r="E143" s="996" t="str">
        <f>'Appendix A'!$E$87</f>
        <v>(Note N)</v>
      </c>
      <c r="F143" s="499" t="s">
        <v>1012</v>
      </c>
      <c r="G143" s="1002" t="str">
        <f>Toggle</f>
        <v>True-up</v>
      </c>
      <c r="H143" s="1135">
        <f>IF(Toggle=Projection,H142,IF(Toggle=True_up,AVERAGE(H141:H142),"Set Toggle!"))</f>
        <v>0</v>
      </c>
      <c r="I143" s="1001" t="str">
        <f>IF(Toggle=Projection,"current end-of-year balance",IF(Toggle=True_up,"beg-of-year and end-of-year average ","Set Toggle!"))</f>
        <v xml:space="preserve">beg-of-year and end-of-year average </v>
      </c>
      <c r="J143" s="1003"/>
      <c r="K143" s="761"/>
      <c r="L143" s="761"/>
      <c r="M143" s="762"/>
      <c r="P143" s="2247"/>
    </row>
    <row r="144" spans="1:16" s="880" customFormat="1">
      <c r="A144" s="801"/>
      <c r="B144" s="767"/>
      <c r="C144" s="332"/>
      <c r="D144" s="391"/>
      <c r="E144" s="758"/>
      <c r="F144" s="37"/>
      <c r="G144" s="869"/>
      <c r="H144" s="1150"/>
      <c r="I144" s="758"/>
      <c r="K144" s="761"/>
      <c r="L144" s="761"/>
      <c r="M144" s="762"/>
      <c r="P144" s="2247"/>
    </row>
    <row r="145" spans="1:252" s="387" customFormat="1">
      <c r="A145" s="2236"/>
      <c r="B145" s="767"/>
      <c r="C145" s="332" t="s">
        <v>363</v>
      </c>
      <c r="D145" s="391"/>
      <c r="E145" s="758"/>
      <c r="F145" s="37" t="s">
        <v>631</v>
      </c>
      <c r="G145" s="869" t="s">
        <v>408</v>
      </c>
      <c r="H145" s="1149">
        <f>INDEX(Inputs_EndYrBal_prior,MATCH(G145,Inputs_FF1_Map,0))</f>
        <v>142252190</v>
      </c>
      <c r="I145" s="758"/>
      <c r="K145" s="761"/>
      <c r="L145" s="761"/>
      <c r="M145" s="762"/>
      <c r="P145" s="2247" t="s">
        <v>2103</v>
      </c>
    </row>
    <row r="146" spans="1:252" s="387" customFormat="1">
      <c r="A146" s="801"/>
      <c r="B146" s="767"/>
      <c r="C146" s="332"/>
      <c r="D146" s="391"/>
      <c r="E146" s="758"/>
      <c r="F146" s="510" t="s">
        <v>632</v>
      </c>
      <c r="G146" s="967" t="s">
        <v>408</v>
      </c>
      <c r="H146" s="1149">
        <f>INDEX(Inputs_EndYrBal,MATCH(G146,Inputs_FF1_Map,0))</f>
        <v>150015776</v>
      </c>
      <c r="I146" s="758"/>
      <c r="K146" s="761"/>
      <c r="L146" s="761"/>
      <c r="M146" s="762"/>
      <c r="P146" s="2247" t="s">
        <v>2103</v>
      </c>
    </row>
    <row r="147" spans="1:252" s="387" customFormat="1" ht="15.75">
      <c r="A147" s="801">
        <f>+'Appendix A'!A90</f>
        <v>42</v>
      </c>
      <c r="B147" s="767"/>
      <c r="C147" s="332"/>
      <c r="D147" s="391"/>
      <c r="E147" s="996" t="str">
        <f>'Appendix A'!$E$90</f>
        <v>(Note N)</v>
      </c>
      <c r="F147" s="499" t="s">
        <v>1012</v>
      </c>
      <c r="G147" s="1002" t="str">
        <f>Toggle</f>
        <v>True-up</v>
      </c>
      <c r="H147" s="1135">
        <f>IF(Toggle=Projection,H146,IF(Toggle=True_up,AVERAGE(H145:H146),"Set Toggle!"))</f>
        <v>146133983</v>
      </c>
      <c r="I147" s="1001" t="str">
        <f>IF(Toggle=Projection,"current end-of-year balance",IF(Toggle=True_up,"beg-of-year and end-of-year average ","Set Toggle!"))</f>
        <v xml:space="preserve">beg-of-year and end-of-year average </v>
      </c>
      <c r="J147" s="1003"/>
      <c r="K147" s="761"/>
      <c r="L147" s="761"/>
      <c r="M147" s="762"/>
      <c r="P147" s="2247"/>
    </row>
    <row r="148" spans="1:252" s="880" customFormat="1">
      <c r="A148" s="801"/>
      <c r="B148" s="767"/>
      <c r="C148" s="332"/>
      <c r="D148" s="391"/>
      <c r="E148" s="758"/>
      <c r="F148" s="37"/>
      <c r="G148" s="869"/>
      <c r="H148" s="1150"/>
      <c r="I148" s="802"/>
      <c r="K148" s="761"/>
      <c r="L148" s="761"/>
      <c r="M148" s="762"/>
      <c r="P148" s="2247"/>
    </row>
    <row r="149" spans="1:252" s="387" customFormat="1">
      <c r="A149" s="2236"/>
      <c r="B149" s="767"/>
      <c r="C149" s="332" t="s">
        <v>234</v>
      </c>
      <c r="D149" s="391"/>
      <c r="E149" s="758"/>
      <c r="F149" s="37" t="s">
        <v>631</v>
      </c>
      <c r="G149" s="241" t="s">
        <v>330</v>
      </c>
      <c r="H149" s="1149">
        <f>INDEX(Inputs_EndYrBal_prior,MATCH(G149,Inputs_FF1_Map,0))</f>
        <v>715287</v>
      </c>
      <c r="I149" s="758"/>
      <c r="K149" s="761"/>
      <c r="L149" s="761"/>
      <c r="M149" s="762"/>
      <c r="P149" s="2247"/>
    </row>
    <row r="150" spans="1:252" s="387" customFormat="1">
      <c r="A150" s="801"/>
      <c r="B150" s="767"/>
      <c r="C150" s="768"/>
      <c r="D150" s="391"/>
      <c r="E150" s="758"/>
      <c r="F150" s="510" t="s">
        <v>632</v>
      </c>
      <c r="G150" s="966" t="s">
        <v>330</v>
      </c>
      <c r="H150" s="1149">
        <f>INDEX(Inputs_EndYrBal,MATCH(G150,Inputs_FF1_Map,0))</f>
        <v>381386</v>
      </c>
      <c r="I150" s="758"/>
      <c r="K150" s="761"/>
      <c r="L150" s="761"/>
      <c r="M150" s="762"/>
      <c r="P150" s="2247" t="s">
        <v>2103</v>
      </c>
    </row>
    <row r="151" spans="1:252" s="880" customFormat="1" ht="15.75">
      <c r="A151" s="801">
        <f>+'Appendix A'!A93</f>
        <v>45</v>
      </c>
      <c r="B151" s="767"/>
      <c r="C151" s="768"/>
      <c r="D151" s="391"/>
      <c r="E151" s="996" t="str">
        <f>'Appendix A'!$E$93</f>
        <v>(Note N)</v>
      </c>
      <c r="F151" s="499" t="s">
        <v>1012</v>
      </c>
      <c r="G151" s="1002" t="str">
        <f>Toggle</f>
        <v>True-up</v>
      </c>
      <c r="H151" s="1135">
        <f>IF(Toggle=Projection,H150,IF(Toggle=True_up,AVERAGE(H149:H150),"Set Toggle!"))</f>
        <v>548336.5</v>
      </c>
      <c r="I151" s="1001" t="str">
        <f>IF(Toggle=Projection,"current end-of-year balance",IF(Toggle=True_up,"beg-of-year and end-of-year average ","Set Toggle!"))</f>
        <v xml:space="preserve">beg-of-year and end-of-year average </v>
      </c>
      <c r="J151" s="1003"/>
      <c r="K151" s="761"/>
      <c r="L151" s="761"/>
      <c r="M151" s="762"/>
      <c r="P151" s="2247" t="s">
        <v>2103</v>
      </c>
    </row>
    <row r="152" spans="1:252" s="387" customFormat="1" ht="15.75" thickBot="1">
      <c r="A152" s="790"/>
      <c r="B152" s="860"/>
      <c r="C152" s="865"/>
      <c r="D152" s="866"/>
      <c r="E152" s="866"/>
      <c r="F152" s="868"/>
      <c r="G152" s="795"/>
      <c r="H152" s="803"/>
      <c r="I152" s="797"/>
      <c r="J152" s="797"/>
      <c r="K152" s="798"/>
      <c r="L152" s="798"/>
      <c r="M152" s="799"/>
      <c r="P152" s="2247"/>
    </row>
    <row r="153" spans="1:252" s="387" customFormat="1" ht="15.75" customHeight="1">
      <c r="A153" s="961"/>
      <c r="B153" s="393"/>
      <c r="C153" s="394"/>
      <c r="D153" s="388"/>
      <c r="E153" s="955"/>
      <c r="F153" s="396"/>
      <c r="G153" s="394"/>
      <c r="H153" s="397"/>
      <c r="I153" s="389"/>
      <c r="J153" s="389"/>
      <c r="K153" s="390"/>
      <c r="L153" s="390"/>
      <c r="P153" s="2247"/>
    </row>
    <row r="154" spans="1:252" s="954" customFormat="1" ht="15.75" customHeight="1">
      <c r="A154" s="961"/>
      <c r="B154" s="958"/>
      <c r="C154" s="959"/>
      <c r="D154" s="955"/>
      <c r="E154" s="955"/>
      <c r="F154" s="960"/>
      <c r="G154" s="959"/>
      <c r="H154" s="397"/>
      <c r="I154" s="956"/>
      <c r="J154" s="956"/>
      <c r="K154" s="957"/>
      <c r="L154" s="957"/>
      <c r="P154" s="2247"/>
    </row>
    <row r="155" spans="1:252" s="349" customFormat="1" ht="16.5" thickBot="1">
      <c r="A155" s="878" t="s">
        <v>253</v>
      </c>
      <c r="P155" s="2246"/>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691" t="s">
        <v>206</v>
      </c>
      <c r="B156" s="2692"/>
      <c r="C156" s="2692"/>
      <c r="D156" s="2692"/>
      <c r="E156" s="2692"/>
      <c r="F156" s="2692"/>
      <c r="G156" s="2693"/>
      <c r="H156" s="907" t="s">
        <v>207</v>
      </c>
      <c r="I156" s="907" t="s">
        <v>1125</v>
      </c>
      <c r="J156" s="1165" t="s">
        <v>1126</v>
      </c>
      <c r="K156" s="2688" t="s">
        <v>83</v>
      </c>
      <c r="L156" s="2688"/>
      <c r="M156" s="2689"/>
      <c r="P156" s="2246"/>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246"/>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237"/>
      <c r="B158" s="154" t="s">
        <v>286</v>
      </c>
      <c r="C158" s="36"/>
      <c r="D158" s="37"/>
      <c r="E158" s="37"/>
      <c r="F158" s="236"/>
      <c r="G158" s="810"/>
      <c r="H158" s="936"/>
      <c r="I158" s="940" t="str">
        <f>'Appendix A'!B33</f>
        <v>Net Plant Allocator</v>
      </c>
      <c r="J158" s="252"/>
      <c r="L158" s="37"/>
      <c r="M158" s="853"/>
      <c r="P158" s="2246"/>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1008</v>
      </c>
      <c r="D159" s="37"/>
      <c r="E159" s="37"/>
      <c r="F159" s="236"/>
      <c r="G159" s="950" t="s">
        <v>409</v>
      </c>
      <c r="H159" s="1676">
        <v>-3698228</v>
      </c>
      <c r="I159" s="952">
        <f>Allocator.net.plant</f>
        <v>0.26207536255640557</v>
      </c>
      <c r="J159" s="1080">
        <f>H159*I159</f>
        <v>-969214.4439162506</v>
      </c>
      <c r="L159" s="37"/>
      <c r="M159" s="853"/>
      <c r="P159" s="2636">
        <v>2017</v>
      </c>
    </row>
    <row r="160" spans="1:252" s="349" customFormat="1" ht="15.75">
      <c r="A160" s="230"/>
      <c r="B160" s="154"/>
      <c r="C160" s="36"/>
      <c r="D160" s="37"/>
      <c r="E160" s="37"/>
      <c r="F160" s="236"/>
      <c r="G160" s="1079"/>
      <c r="H160" s="1128"/>
      <c r="I160" s="952"/>
      <c r="J160" s="1148"/>
      <c r="L160" s="37"/>
      <c r="M160" s="853"/>
      <c r="P160" s="2246"/>
    </row>
    <row r="161" spans="1:252" s="349" customFormat="1" ht="15.75">
      <c r="A161" s="230"/>
      <c r="B161" s="154" t="s">
        <v>1080</v>
      </c>
      <c r="C161" s="36"/>
      <c r="D161" s="37"/>
      <c r="E161" s="37"/>
      <c r="F161" s="236"/>
      <c r="G161" s="1079"/>
      <c r="H161" s="1128"/>
      <c r="I161" s="952"/>
      <c r="J161" s="1148"/>
      <c r="K161" s="37"/>
      <c r="L161" s="37"/>
      <c r="M161" s="853"/>
      <c r="P161" s="2246"/>
    </row>
    <row r="162" spans="1:252" s="349" customFormat="1" ht="15.75">
      <c r="A162" s="230"/>
      <c r="B162" s="154"/>
      <c r="C162" s="36" t="s">
        <v>1081</v>
      </c>
      <c r="D162" s="37"/>
      <c r="E162" s="37"/>
      <c r="F162" s="236"/>
      <c r="G162" s="1079"/>
      <c r="H162" s="1128"/>
      <c r="I162" s="952"/>
      <c r="J162" s="1148"/>
      <c r="K162" s="37"/>
      <c r="L162" s="37"/>
      <c r="M162" s="853"/>
      <c r="P162" s="2246"/>
    </row>
    <row r="163" spans="1:252" s="349" customFormat="1" ht="15.75">
      <c r="A163" s="230"/>
      <c r="B163" s="154"/>
      <c r="C163" s="36"/>
      <c r="D163" s="37"/>
      <c r="E163" s="37"/>
      <c r="F163" s="1204" t="s">
        <v>1136</v>
      </c>
      <c r="G163" s="1764" t="s">
        <v>1577</v>
      </c>
      <c r="H163" s="1676">
        <f>203740+50419</f>
        <v>254159</v>
      </c>
      <c r="I163" s="952"/>
      <c r="J163" s="1148"/>
      <c r="K163" s="1592"/>
      <c r="L163" s="37"/>
      <c r="M163" s="853"/>
      <c r="P163" s="2636">
        <v>2017</v>
      </c>
    </row>
    <row r="164" spans="1:252" s="349" customFormat="1" ht="15.75">
      <c r="A164" s="230"/>
      <c r="B164" s="154"/>
      <c r="F164" s="1204" t="s">
        <v>1135</v>
      </c>
      <c r="G164" s="1764" t="s">
        <v>1577</v>
      </c>
      <c r="H164" s="1676">
        <f>101206+46959</f>
        <v>148165</v>
      </c>
      <c r="K164" s="1592"/>
      <c r="L164" s="37"/>
      <c r="M164" s="853"/>
      <c r="P164" s="2636">
        <v>2017</v>
      </c>
    </row>
    <row r="165" spans="1:252" s="349" customFormat="1" ht="15.75">
      <c r="A165" s="230">
        <f>'Appendix A'!$A$75</f>
        <v>35</v>
      </c>
      <c r="B165" s="154"/>
      <c r="C165" s="36" t="s">
        <v>1081</v>
      </c>
      <c r="D165" s="37"/>
      <c r="E165" s="37"/>
      <c r="F165" s="236"/>
      <c r="G165" s="1205" t="s">
        <v>1137</v>
      </c>
      <c r="H165" s="1206">
        <f>AVERAGE(H163:H164)</f>
        <v>201162</v>
      </c>
      <c r="I165" s="1763">
        <f>Allocator.net.plant</f>
        <v>0.26207536255640557</v>
      </c>
      <c r="J165" s="1080">
        <f>H165*I165</f>
        <v>52719.604082571655</v>
      </c>
      <c r="K165" s="37" t="s">
        <v>1079</v>
      </c>
      <c r="L165" s="37"/>
      <c r="M165" s="853"/>
      <c r="P165" s="2246"/>
    </row>
    <row r="166" spans="1:252" s="349" customFormat="1" ht="15.75" thickBot="1">
      <c r="A166" s="238"/>
      <c r="B166" s="837"/>
      <c r="C166" s="841"/>
      <c r="D166" s="844"/>
      <c r="E166" s="844"/>
      <c r="F166" s="854"/>
      <c r="G166" s="240"/>
      <c r="H166" s="257"/>
      <c r="I166" s="258"/>
      <c r="J166" s="259"/>
      <c r="K166" s="2686"/>
      <c r="L166" s="2686"/>
      <c r="M166" s="2687"/>
      <c r="P166" s="2246"/>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8" t="s">
        <v>166</v>
      </c>
      <c r="P169" s="2246"/>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691" t="s">
        <v>206</v>
      </c>
      <c r="B170" s="2692"/>
      <c r="C170" s="2692"/>
      <c r="D170" s="2692"/>
      <c r="E170" s="2692"/>
      <c r="F170" s="2692"/>
      <c r="G170" s="2693"/>
      <c r="H170" s="907" t="s">
        <v>207</v>
      </c>
      <c r="I170" s="907" t="s">
        <v>103</v>
      </c>
      <c r="J170" s="907" t="s">
        <v>160</v>
      </c>
      <c r="K170" s="910" t="s">
        <v>83</v>
      </c>
      <c r="L170" s="910"/>
      <c r="M170" s="911"/>
      <c r="O170" s="23"/>
      <c r="P170" s="2246"/>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237"/>
      <c r="B171" s="124" t="str">
        <f>+'Appendix A'!C48</f>
        <v>Land Held for Future Use</v>
      </c>
      <c r="C171" s="38"/>
      <c r="D171" s="99"/>
      <c r="E171" s="99"/>
      <c r="F171" s="38"/>
      <c r="G171" s="995"/>
      <c r="H171" s="855"/>
      <c r="K171" s="38"/>
      <c r="L171" s="38"/>
      <c r="M171" s="310"/>
      <c r="O171" s="23"/>
      <c r="P171" s="2246"/>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237"/>
      <c r="B172" s="124"/>
      <c r="C172" s="38"/>
      <c r="D172" s="99"/>
      <c r="E172" s="99"/>
      <c r="F172" s="28" t="s">
        <v>631</v>
      </c>
      <c r="G172" s="241" t="s">
        <v>332</v>
      </c>
      <c r="H172" s="1107">
        <f>INDEX(Inputs_EndYrBal_prior,MATCH(G172,Inputs_FF1_Map,0))</f>
        <v>23502790</v>
      </c>
      <c r="I172" s="1006">
        <f>'Att 12 - Plant Held Future Use'!$D$16</f>
        <v>3657534.48</v>
      </c>
      <c r="J172" s="1125">
        <f>H172-I172</f>
        <v>19845255.52</v>
      </c>
      <c r="K172" s="38" t="s">
        <v>1035</v>
      </c>
      <c r="L172" s="38"/>
      <c r="M172" s="310"/>
      <c r="O172" s="2604"/>
      <c r="P172" s="2247" t="s">
        <v>2103</v>
      </c>
    </row>
    <row r="173" spans="1:252" s="349" customFormat="1" ht="15.75">
      <c r="A173" s="230"/>
      <c r="B173" s="235"/>
      <c r="C173" s="332"/>
      <c r="D173" s="99"/>
      <c r="E173" s="99"/>
      <c r="F173" s="28" t="s">
        <v>632</v>
      </c>
      <c r="G173" s="241" t="s">
        <v>332</v>
      </c>
      <c r="H173" s="1104">
        <f>INDEX(Inputs_EndYrBal,MATCH(G173,Inputs_FF1_Map,0))</f>
        <v>26134386</v>
      </c>
      <c r="I173" s="1006">
        <f>'Att 12 - Plant Held Future Use'!$E$16</f>
        <v>3657534.48</v>
      </c>
      <c r="J173" s="1125">
        <f>H173-I173</f>
        <v>22476851.52</v>
      </c>
      <c r="K173" s="38" t="s">
        <v>1035</v>
      </c>
      <c r="L173" s="37"/>
      <c r="M173" s="310"/>
      <c r="O173" s="2604"/>
      <c r="P173" s="2247" t="s">
        <v>2103</v>
      </c>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0" t="str">
        <f>'Appendix A'!E48</f>
        <v>(Notes B &amp; L)</v>
      </c>
      <c r="F174" s="1109" t="s">
        <v>1012</v>
      </c>
      <c r="G174" s="1108" t="str">
        <f>Toggle</f>
        <v>True-up</v>
      </c>
      <c r="H174" s="1147"/>
      <c r="I174" s="1005">
        <f>IF(Toggle=Projection,I173,IF(Toggle=True_up,AVERAGE(I172:I173),"Set Toggle!"))</f>
        <v>3657534.48</v>
      </c>
      <c r="J174" s="1147"/>
      <c r="K174" s="1001" t="str">
        <f>IF(Toggle=Projection,"current end-of-year balance",IF(Toggle=True_up,"beg-of-year and end-of-year average ","Set Toggle!"))</f>
        <v xml:space="preserve">beg-of-year and end-of-year average </v>
      </c>
      <c r="L174" s="1003"/>
      <c r="M174" s="812"/>
      <c r="O174" s="23"/>
      <c r="P174" s="2246"/>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7"/>
      <c r="C175" s="841"/>
      <c r="D175" s="844"/>
      <c r="E175" s="844"/>
      <c r="F175" s="854"/>
      <c r="G175" s="244"/>
      <c r="H175" s="872"/>
      <c r="I175" s="902"/>
      <c r="J175" s="872"/>
      <c r="K175" s="872"/>
      <c r="L175" s="872"/>
      <c r="M175" s="261"/>
      <c r="O175" s="23"/>
      <c r="P175" s="2246"/>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23"/>
      <c r="Q176" s="349"/>
      <c r="R176" s="349"/>
      <c r="S176" s="349"/>
      <c r="T176" s="349"/>
      <c r="U176" s="349"/>
    </row>
    <row r="177" spans="1:252">
      <c r="O177" s="23"/>
    </row>
    <row r="178" spans="1:252" s="349" customFormat="1" ht="16.5" thickBot="1">
      <c r="A178" s="878" t="s">
        <v>194</v>
      </c>
      <c r="B178" s="23"/>
      <c r="C178" s="23"/>
      <c r="D178" s="23"/>
      <c r="E178" s="23"/>
      <c r="F178" s="23"/>
      <c r="G178" s="23"/>
      <c r="H178" s="23"/>
      <c r="I178" s="23"/>
      <c r="O178" s="23"/>
      <c r="P178" s="2246"/>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691" t="s">
        <v>206</v>
      </c>
      <c r="B179" s="2692"/>
      <c r="C179" s="2692"/>
      <c r="D179" s="2692"/>
      <c r="E179" s="2692"/>
      <c r="F179" s="2692"/>
      <c r="G179" s="2693"/>
      <c r="H179" s="906"/>
      <c r="I179" s="907" t="s">
        <v>1</v>
      </c>
      <c r="J179" s="907"/>
      <c r="K179" s="2688" t="s">
        <v>83</v>
      </c>
      <c r="L179" s="2688"/>
      <c r="M179" s="2689"/>
      <c r="P179" s="2246"/>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3"/>
      <c r="H180" s="255"/>
      <c r="I180" s="384"/>
      <c r="J180" s="38"/>
      <c r="K180" s="919"/>
      <c r="L180" s="919"/>
      <c r="M180" s="920"/>
      <c r="P180" s="2246"/>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3"/>
      <c r="H181" s="248"/>
      <c r="I181" s="120"/>
      <c r="J181" s="120"/>
      <c r="K181" s="379"/>
      <c r="L181" s="380"/>
      <c r="M181" s="381"/>
      <c r="P181" s="2246"/>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237"/>
      <c r="B182" s="332" t="s">
        <v>738</v>
      </c>
      <c r="C182" s="51"/>
      <c r="D182" s="37"/>
      <c r="E182" s="37"/>
      <c r="F182" s="245"/>
      <c r="G182" s="853"/>
      <c r="H182" s="248"/>
      <c r="I182" s="120"/>
      <c r="J182" s="120"/>
      <c r="K182" s="490"/>
      <c r="L182" s="448"/>
      <c r="M182" s="449"/>
      <c r="P182" s="2246"/>
    </row>
    <row r="183" spans="1:252" s="349" customFormat="1" ht="15.75">
      <c r="A183" s="2237"/>
      <c r="B183" s="332"/>
      <c r="C183" s="51"/>
      <c r="D183" s="37"/>
      <c r="E183" s="37"/>
      <c r="F183" s="245"/>
      <c r="G183" s="853"/>
      <c r="H183" s="248"/>
      <c r="I183" s="120"/>
      <c r="J183" s="120"/>
      <c r="K183" s="490"/>
      <c r="L183" s="497"/>
      <c r="M183" s="498"/>
      <c r="P183" s="2636">
        <v>2017</v>
      </c>
    </row>
    <row r="184" spans="1:252" s="349" customFormat="1" ht="15.75">
      <c r="A184" s="230"/>
      <c r="B184" s="228"/>
      <c r="G184" s="853"/>
      <c r="H184" s="248"/>
      <c r="J184" s="2603"/>
      <c r="K184" s="490"/>
      <c r="L184" s="497"/>
      <c r="M184" s="498"/>
      <c r="P184" s="2636">
        <v>2017</v>
      </c>
    </row>
    <row r="185" spans="1:252" s="349" customFormat="1" ht="15.75">
      <c r="A185" s="230"/>
      <c r="B185" s="228"/>
      <c r="C185" s="2642" t="s">
        <v>2139</v>
      </c>
      <c r="D185" s="852"/>
      <c r="E185" s="852"/>
      <c r="F185" s="407"/>
      <c r="G185" s="951" t="s">
        <v>282</v>
      </c>
      <c r="H185" s="1137" t="s">
        <v>2134</v>
      </c>
      <c r="I185" s="1137" t="s">
        <v>2127</v>
      </c>
      <c r="J185" s="2603"/>
      <c r="K185" s="490"/>
      <c r="L185" s="497"/>
      <c r="M185" s="498"/>
      <c r="P185" s="2636"/>
    </row>
    <row r="186" spans="1:252" s="349" customFormat="1" ht="15.75">
      <c r="A186" s="230"/>
      <c r="B186" s="228"/>
      <c r="C186" s="2642"/>
      <c r="D186" s="852"/>
      <c r="E186" s="852"/>
      <c r="F186" s="407"/>
      <c r="G186" s="951"/>
      <c r="H186" s="1658"/>
      <c r="I186" s="1137"/>
      <c r="J186" s="2603"/>
      <c r="K186" s="490"/>
      <c r="L186" s="497"/>
      <c r="M186" s="498"/>
      <c r="P186" s="2636"/>
    </row>
    <row r="187" spans="1:252" s="349" customFormat="1" ht="15.75">
      <c r="A187" s="230"/>
      <c r="B187" s="228"/>
      <c r="C187" s="2643" t="s">
        <v>2141</v>
      </c>
      <c r="D187" s="852"/>
      <c r="E187" s="852"/>
      <c r="F187" s="407"/>
      <c r="G187" s="951"/>
      <c r="H187" s="1658"/>
      <c r="I187" s="1137"/>
      <c r="J187" s="2603"/>
      <c r="K187" s="490"/>
      <c r="L187" s="497"/>
      <c r="M187" s="498"/>
      <c r="P187" s="2636"/>
    </row>
    <row r="188" spans="1:252" s="349" customFormat="1" ht="15.75">
      <c r="A188" s="230"/>
      <c r="B188" s="228"/>
      <c r="C188" s="1659" t="s">
        <v>1395</v>
      </c>
      <c r="D188" s="852"/>
      <c r="E188" s="1659" t="s">
        <v>1647</v>
      </c>
      <c r="F188" s="407"/>
      <c r="G188" s="2644">
        <v>25000</v>
      </c>
      <c r="H188" s="2645"/>
      <c r="I188" s="1137">
        <f>G188</f>
        <v>25000</v>
      </c>
      <c r="J188" s="2603"/>
      <c r="K188" s="490"/>
      <c r="L188" s="497"/>
      <c r="M188" s="498"/>
      <c r="P188" s="2636"/>
    </row>
    <row r="189" spans="1:252" s="349" customFormat="1" ht="15.75">
      <c r="A189" s="230"/>
      <c r="B189" s="228"/>
      <c r="C189" s="1659" t="s">
        <v>2132</v>
      </c>
      <c r="D189" s="852"/>
      <c r="E189" s="1659" t="s">
        <v>1647</v>
      </c>
      <c r="F189" s="407"/>
      <c r="G189" s="2644">
        <v>896692.26999999979</v>
      </c>
      <c r="H189" s="2645">
        <f>G189</f>
        <v>896692.26999999979</v>
      </c>
      <c r="I189" s="1137"/>
      <c r="J189" s="2603"/>
      <c r="K189" s="490"/>
      <c r="L189" s="497"/>
      <c r="M189" s="498"/>
      <c r="P189" s="2636"/>
    </row>
    <row r="190" spans="1:252" s="349" customFormat="1" ht="15.75">
      <c r="A190" s="230"/>
      <c r="B190" s="228"/>
      <c r="C190" s="1659" t="s">
        <v>2128</v>
      </c>
      <c r="D190" s="852"/>
      <c r="E190" s="1659" t="s">
        <v>1647</v>
      </c>
      <c r="F190" s="407"/>
      <c r="G190" s="2644">
        <v>2875</v>
      </c>
      <c r="H190" s="2645"/>
      <c r="I190" s="1137">
        <f>G190</f>
        <v>2875</v>
      </c>
      <c r="J190" s="2603"/>
      <c r="K190" s="490"/>
      <c r="L190" s="497"/>
      <c r="M190" s="498"/>
      <c r="P190" s="2636"/>
    </row>
    <row r="191" spans="1:252" s="349" customFormat="1" ht="15.75">
      <c r="A191" s="230"/>
      <c r="B191" s="228"/>
      <c r="C191" s="1659" t="s">
        <v>2104</v>
      </c>
      <c r="D191" s="852"/>
      <c r="E191" s="1659" t="s">
        <v>1647</v>
      </c>
      <c r="F191" s="407"/>
      <c r="G191" s="2644">
        <v>1850</v>
      </c>
      <c r="H191" s="2645"/>
      <c r="I191" s="1137">
        <f>G191</f>
        <v>1850</v>
      </c>
      <c r="J191" s="2603"/>
      <c r="K191" s="490"/>
      <c r="L191" s="497"/>
      <c r="M191" s="498"/>
      <c r="P191" s="2636"/>
    </row>
    <row r="192" spans="1:252" s="349" customFormat="1" ht="15.75">
      <c r="A192" s="230"/>
      <c r="B192" s="228"/>
      <c r="C192" s="1659" t="s">
        <v>2133</v>
      </c>
      <c r="D192" s="852"/>
      <c r="E192" s="1659" t="s">
        <v>1647</v>
      </c>
      <c r="F192" s="407"/>
      <c r="G192" s="2644">
        <v>103999.99999999999</v>
      </c>
      <c r="H192" s="2645"/>
      <c r="I192" s="1137">
        <f>G192</f>
        <v>103999.99999999999</v>
      </c>
      <c r="J192" s="2603"/>
      <c r="K192" s="490"/>
      <c r="L192" s="497"/>
      <c r="M192" s="498"/>
      <c r="P192" s="2636"/>
    </row>
    <row r="193" spans="1:16" s="349" customFormat="1" ht="15.75">
      <c r="A193" s="230"/>
      <c r="B193" s="228"/>
      <c r="C193" s="1659" t="s">
        <v>2129</v>
      </c>
      <c r="D193" s="852"/>
      <c r="E193" s="1659" t="s">
        <v>1647</v>
      </c>
      <c r="F193" s="407"/>
      <c r="G193" s="2644">
        <v>10500</v>
      </c>
      <c r="H193" s="2645">
        <f>G193</f>
        <v>10500</v>
      </c>
      <c r="I193" s="1137"/>
      <c r="J193" s="2603"/>
      <c r="K193" s="490"/>
      <c r="L193" s="497"/>
      <c r="M193" s="498"/>
      <c r="P193" s="2636"/>
    </row>
    <row r="194" spans="1:16" s="349" customFormat="1" ht="15.75">
      <c r="A194" s="230"/>
      <c r="B194" s="228"/>
      <c r="C194" s="1659" t="s">
        <v>2130</v>
      </c>
      <c r="D194" s="852"/>
      <c r="E194" s="1659" t="s">
        <v>1647</v>
      </c>
      <c r="F194" s="407"/>
      <c r="G194" s="2644">
        <v>2147.41</v>
      </c>
      <c r="H194" s="2645">
        <f>G194</f>
        <v>2147.41</v>
      </c>
      <c r="I194" s="1137"/>
      <c r="J194" s="2603"/>
      <c r="K194" s="490"/>
      <c r="L194" s="497"/>
      <c r="M194" s="498"/>
      <c r="P194" s="2636"/>
    </row>
    <row r="195" spans="1:16" s="349" customFormat="1" ht="15.75">
      <c r="A195" s="230"/>
      <c r="B195" s="228"/>
      <c r="C195" s="1659" t="s">
        <v>2131</v>
      </c>
      <c r="D195" s="852"/>
      <c r="E195" s="1659" t="s">
        <v>1647</v>
      </c>
      <c r="F195" s="407"/>
      <c r="G195" s="2644">
        <v>69866.600000000006</v>
      </c>
      <c r="H195" s="2645">
        <f>G195</f>
        <v>69866.600000000006</v>
      </c>
      <c r="I195" s="1137"/>
      <c r="J195" s="2603"/>
      <c r="K195" s="490"/>
      <c r="L195" s="497"/>
      <c r="M195" s="498"/>
      <c r="P195" s="2636"/>
    </row>
    <row r="196" spans="1:16" s="349" customFormat="1" ht="15.75">
      <c r="A196" s="230"/>
      <c r="B196" s="228"/>
      <c r="C196" s="1659" t="s">
        <v>2105</v>
      </c>
      <c r="D196" s="852"/>
      <c r="E196" s="1659" t="s">
        <v>1647</v>
      </c>
      <c r="F196" s="407"/>
      <c r="G196" s="2644">
        <v>1000</v>
      </c>
      <c r="H196" s="2645"/>
      <c r="I196" s="1137">
        <f>G196</f>
        <v>1000</v>
      </c>
      <c r="J196" s="2603"/>
      <c r="K196" s="490"/>
      <c r="L196" s="497"/>
      <c r="M196" s="498"/>
      <c r="P196" s="2636"/>
    </row>
    <row r="197" spans="1:16" s="349" customFormat="1" ht="15.75">
      <c r="A197" s="230"/>
      <c r="B197" s="228"/>
      <c r="C197" s="1659" t="s">
        <v>2106</v>
      </c>
      <c r="D197" s="852"/>
      <c r="E197" s="1659" t="s">
        <v>1647</v>
      </c>
      <c r="F197" s="407"/>
      <c r="G197" s="2644">
        <v>1083.56</v>
      </c>
      <c r="H197" s="2645"/>
      <c r="I197" s="1137">
        <f>G197</f>
        <v>1083.56</v>
      </c>
      <c r="J197" s="2603"/>
      <c r="K197" s="490"/>
      <c r="L197" s="497"/>
      <c r="M197" s="498"/>
      <c r="P197" s="2636"/>
    </row>
    <row r="198" spans="1:16" s="349" customFormat="1" ht="15.75">
      <c r="A198" s="230"/>
      <c r="B198" s="228"/>
      <c r="C198" s="1659"/>
      <c r="D198" s="852"/>
      <c r="E198" s="1659" t="s">
        <v>2143</v>
      </c>
      <c r="F198" s="407"/>
      <c r="G198" s="2644">
        <f>SUM(G188:G197)</f>
        <v>1115014.8399999999</v>
      </c>
      <c r="H198" s="2645"/>
      <c r="I198" s="1137"/>
      <c r="J198" s="2603"/>
      <c r="K198" s="490"/>
      <c r="L198" s="497"/>
      <c r="M198" s="498"/>
      <c r="P198" s="2636"/>
    </row>
    <row r="199" spans="1:16" s="349" customFormat="1" ht="15.75">
      <c r="A199" s="230"/>
      <c r="B199" s="228"/>
      <c r="C199" s="1659"/>
      <c r="D199" s="852"/>
      <c r="E199" s="852"/>
      <c r="F199" s="407"/>
      <c r="G199" s="951"/>
      <c r="H199" s="2645"/>
      <c r="I199" s="1137"/>
      <c r="J199" s="2603"/>
      <c r="K199" s="490"/>
      <c r="L199" s="497"/>
      <c r="M199" s="498"/>
      <c r="P199" s="2636"/>
    </row>
    <row r="200" spans="1:16" s="349" customFormat="1" ht="15.75">
      <c r="A200" s="230"/>
      <c r="B200" s="228"/>
      <c r="C200" s="2643" t="s">
        <v>2140</v>
      </c>
      <c r="D200" s="852"/>
      <c r="E200" s="852"/>
      <c r="F200" s="407"/>
      <c r="G200" s="951"/>
      <c r="H200" s="2645"/>
      <c r="I200" s="1137"/>
      <c r="J200" s="2603"/>
      <c r="K200" s="490"/>
      <c r="L200" s="497"/>
      <c r="M200" s="498"/>
      <c r="P200" s="2636"/>
    </row>
    <row r="201" spans="1:16" s="349" customFormat="1" ht="15.75">
      <c r="A201" s="230"/>
      <c r="B201" s="228"/>
      <c r="C201" s="1659" t="s">
        <v>2135</v>
      </c>
      <c r="D201" s="852"/>
      <c r="E201" s="1659" t="s">
        <v>2144</v>
      </c>
      <c r="F201" s="407"/>
      <c r="G201" s="2644">
        <v>130666.67</v>
      </c>
      <c r="H201" s="2645"/>
      <c r="I201" s="1137">
        <f>G201</f>
        <v>130666.67</v>
      </c>
      <c r="J201" s="2603"/>
      <c r="K201" s="490"/>
      <c r="L201" s="497"/>
      <c r="M201" s="498"/>
      <c r="P201" s="2636"/>
    </row>
    <row r="202" spans="1:16" s="349" customFormat="1" ht="15.75">
      <c r="A202" s="230"/>
      <c r="B202" s="228"/>
      <c r="C202" s="1659" t="s">
        <v>2137</v>
      </c>
      <c r="D202" s="852"/>
      <c r="E202" s="1659" t="s">
        <v>2145</v>
      </c>
      <c r="F202" s="407"/>
      <c r="G202" s="2644">
        <v>6035</v>
      </c>
      <c r="H202" s="2645">
        <f>G202</f>
        <v>6035</v>
      </c>
      <c r="I202" s="1137"/>
      <c r="J202" s="2603"/>
      <c r="K202" s="490"/>
      <c r="L202" s="497"/>
      <c r="M202" s="498"/>
      <c r="P202" s="2636"/>
    </row>
    <row r="203" spans="1:16" s="349" customFormat="1" ht="15.75">
      <c r="A203" s="230"/>
      <c r="B203" s="228"/>
      <c r="C203" s="1659" t="s">
        <v>2136</v>
      </c>
      <c r="D203" s="852"/>
      <c r="E203" s="1659" t="s">
        <v>2146</v>
      </c>
      <c r="F203" s="407"/>
      <c r="G203" s="2644">
        <v>354862.43999999994</v>
      </c>
      <c r="H203" s="2645"/>
      <c r="I203" s="1137">
        <f>G203</f>
        <v>354862.43999999994</v>
      </c>
      <c r="J203" s="2603"/>
      <c r="K203" s="490"/>
      <c r="L203" s="497"/>
      <c r="M203" s="498"/>
      <c r="P203" s="2636"/>
    </row>
    <row r="204" spans="1:16" s="349" customFormat="1" ht="15.75">
      <c r="A204" s="230"/>
      <c r="B204" s="228"/>
      <c r="C204" s="1659" t="s">
        <v>2138</v>
      </c>
      <c r="D204" s="852"/>
      <c r="E204" s="1659" t="s">
        <v>2147</v>
      </c>
      <c r="F204" s="407"/>
      <c r="G204" s="2644">
        <v>148880.39000000001</v>
      </c>
      <c r="H204" s="2645"/>
      <c r="I204" s="1137">
        <f>G204</f>
        <v>148880.39000000001</v>
      </c>
      <c r="J204" s="2603"/>
      <c r="K204" s="490"/>
      <c r="L204" s="497"/>
      <c r="M204" s="498"/>
      <c r="P204" s="2636">
        <v>2017</v>
      </c>
    </row>
    <row r="205" spans="1:16" s="349" customFormat="1" ht="15.75">
      <c r="A205" s="230"/>
      <c r="B205" s="228"/>
      <c r="C205" s="1659"/>
      <c r="D205" s="852"/>
      <c r="E205" s="1659"/>
      <c r="F205" s="407"/>
      <c r="G205" s="2644"/>
      <c r="H205" s="2645"/>
      <c r="I205" s="1137"/>
      <c r="J205" s="2603"/>
      <c r="K205" s="490"/>
      <c r="L205" s="497"/>
      <c r="M205" s="498"/>
      <c r="P205" s="2636">
        <v>2017</v>
      </c>
    </row>
    <row r="206" spans="1:16" s="349" customFormat="1" ht="15.75">
      <c r="A206" s="230"/>
      <c r="B206" s="228"/>
      <c r="C206" s="2643" t="s">
        <v>2142</v>
      </c>
      <c r="D206" s="852"/>
      <c r="E206" s="1659" t="s">
        <v>2148</v>
      </c>
      <c r="F206" s="407"/>
      <c r="G206" s="2644">
        <v>15116.41</v>
      </c>
      <c r="H206" s="2645"/>
      <c r="I206" s="1137">
        <f>G206</f>
        <v>15116.41</v>
      </c>
      <c r="J206" s="2603"/>
      <c r="K206" s="490"/>
      <c r="L206" s="497"/>
      <c r="M206" s="498"/>
      <c r="P206" s="2636">
        <v>2017</v>
      </c>
    </row>
    <row r="207" spans="1:16" s="349" customFormat="1" ht="15.75">
      <c r="A207" s="230"/>
      <c r="B207" s="228"/>
      <c r="C207" s="1659"/>
      <c r="D207" s="852"/>
      <c r="E207" s="852"/>
      <c r="F207" s="407"/>
      <c r="G207" s="951"/>
      <c r="H207" s="2645"/>
      <c r="I207" s="1137"/>
      <c r="J207" s="2603"/>
      <c r="K207" s="490"/>
      <c r="L207" s="497"/>
      <c r="M207" s="498"/>
      <c r="P207" s="2636">
        <v>2017</v>
      </c>
    </row>
    <row r="208" spans="1:16" s="349" customFormat="1" ht="15.75">
      <c r="A208" s="230"/>
      <c r="B208" s="228"/>
      <c r="C208" s="2643" t="s">
        <v>2149</v>
      </c>
      <c r="D208" s="852"/>
      <c r="E208" s="1659" t="s">
        <v>2150</v>
      </c>
      <c r="F208" s="407"/>
      <c r="G208" s="2644">
        <v>499402.52999999991</v>
      </c>
      <c r="H208" s="2645">
        <f>G208</f>
        <v>499402.52999999991</v>
      </c>
      <c r="I208" s="1137"/>
      <c r="J208" s="2603"/>
      <c r="K208" s="490"/>
      <c r="L208" s="497"/>
      <c r="M208" s="498"/>
      <c r="P208" s="2636"/>
    </row>
    <row r="209" spans="1:252" s="349" customFormat="1" ht="15.75">
      <c r="A209" s="230"/>
      <c r="B209" s="228"/>
      <c r="C209" s="1659"/>
      <c r="D209" s="852"/>
      <c r="E209" s="852"/>
      <c r="F209" s="407"/>
      <c r="G209" s="951"/>
      <c r="H209" s="2645"/>
      <c r="I209" s="1137"/>
      <c r="J209" s="2603"/>
      <c r="K209" s="490"/>
      <c r="L209" s="497"/>
      <c r="M209" s="498"/>
      <c r="P209" s="2636"/>
    </row>
    <row r="210" spans="1:252" s="349" customFormat="1" ht="15.75">
      <c r="A210" s="230"/>
      <c r="B210" s="228"/>
      <c r="C210" s="2643" t="s">
        <v>2151</v>
      </c>
      <c r="D210" s="852"/>
      <c r="E210" s="1659" t="s">
        <v>2152</v>
      </c>
      <c r="F210" s="407"/>
      <c r="G210" s="2644">
        <v>2530.1999999999998</v>
      </c>
      <c r="H210" s="2645"/>
      <c r="I210" s="1137">
        <f>G210</f>
        <v>2530.1999999999998</v>
      </c>
      <c r="J210" s="2603"/>
      <c r="K210" s="490"/>
      <c r="L210" s="497"/>
      <c r="M210" s="498"/>
      <c r="P210" s="2636"/>
    </row>
    <row r="211" spans="1:252" s="349" customFormat="1" ht="15.75">
      <c r="A211" s="230"/>
      <c r="B211" s="228"/>
      <c r="C211" s="1659"/>
      <c r="D211" s="852"/>
      <c r="E211" s="852"/>
      <c r="F211" s="407"/>
      <c r="G211" s="951"/>
      <c r="H211" s="2645"/>
      <c r="I211" s="1137"/>
      <c r="J211" s="2603"/>
      <c r="K211" s="490"/>
      <c r="L211" s="497"/>
      <c r="M211" s="498"/>
      <c r="P211" s="2636"/>
    </row>
    <row r="212" spans="1:252" s="349" customFormat="1" ht="15.75">
      <c r="A212" s="230">
        <f>'Appendix A'!$A$123</f>
        <v>63</v>
      </c>
      <c r="B212" s="228"/>
      <c r="C212" s="1055" t="s">
        <v>282</v>
      </c>
      <c r="D212" s="592"/>
      <c r="E212" s="592" t="str">
        <f>'Appendix A'!E123</f>
        <v>(Note C)</v>
      </c>
      <c r="F212" s="1056"/>
      <c r="G212" s="977" t="s">
        <v>1015</v>
      </c>
      <c r="H212" s="1139"/>
      <c r="I212" s="1140">
        <f>SUM(I186:I211)</f>
        <v>787864.66999999993</v>
      </c>
      <c r="J212" s="120"/>
      <c r="K212" s="490"/>
      <c r="L212" s="448"/>
      <c r="M212" s="449"/>
      <c r="N212" s="2402"/>
      <c r="O212" s="2285"/>
      <c r="P212" s="2636"/>
    </row>
    <row r="213" spans="1:252" s="349" customFormat="1" ht="15.75">
      <c r="A213" s="230"/>
      <c r="B213" s="228"/>
      <c r="C213" s="469"/>
      <c r="D213" s="37"/>
      <c r="E213" s="37"/>
      <c r="F213" s="245"/>
      <c r="G213" s="853"/>
      <c r="H213" s="1141"/>
      <c r="I213" s="631"/>
      <c r="J213" s="120"/>
      <c r="K213" s="490"/>
      <c r="L213" s="497"/>
      <c r="M213" s="498"/>
      <c r="P213" s="2246"/>
    </row>
    <row r="214" spans="1:252" s="349" customFormat="1" ht="15.75">
      <c r="A214" s="230"/>
      <c r="B214" s="332" t="s">
        <v>985</v>
      </c>
      <c r="C214" s="38"/>
      <c r="D214" s="37"/>
      <c r="E214" s="37"/>
      <c r="F214" s="245"/>
      <c r="G214" s="853"/>
      <c r="H214" s="1141"/>
      <c r="I214" s="631"/>
      <c r="J214" s="120"/>
      <c r="K214" s="490"/>
      <c r="L214" s="497"/>
      <c r="M214" s="498"/>
      <c r="P214" s="2246"/>
    </row>
    <row r="215" spans="1:252" s="349" customFormat="1" ht="15.75">
      <c r="A215" s="232"/>
      <c r="B215" s="228"/>
      <c r="C215" s="332" t="str">
        <f>IF(Toggle=True_up,"Fixed PBOP expense",IF(Toggle=Projection,"Authorized filed PBOP expense"))</f>
        <v>Fixed PBOP expense</v>
      </c>
      <c r="D215" s="37"/>
      <c r="E215" s="37"/>
      <c r="F215" s="245"/>
      <c r="G215" s="2287" t="s">
        <v>1739</v>
      </c>
      <c r="H215" s="1136"/>
      <c r="I215" s="1142">
        <f>'Att 17 - PBOP'!D54</f>
        <v>-11307061.810000001</v>
      </c>
      <c r="J215" s="242"/>
      <c r="K215" s="490"/>
      <c r="L215" s="380"/>
      <c r="M215" s="381"/>
      <c r="P215" s="2247" t="s">
        <v>2103</v>
      </c>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6" spans="1:252" s="349" customFormat="1" ht="15.75">
      <c r="A216" s="232"/>
      <c r="B216" s="38"/>
      <c r="C216" s="510" t="s">
        <v>986</v>
      </c>
      <c r="D216" s="968"/>
      <c r="E216" s="968"/>
      <c r="F216" s="968"/>
      <c r="G216" s="976" t="str">
        <f>IF(Toggle=True_up,"Attachement 17",IF(Toggle=Projection,"Attachment 17 total"))</f>
        <v>Attachement 17</v>
      </c>
      <c r="H216" s="2230"/>
      <c r="I216" s="1143">
        <f>'Att 17 - PBOP'!$D$54</f>
        <v>-11307061.810000001</v>
      </c>
      <c r="J216" s="23"/>
      <c r="K216" s="490"/>
      <c r="L216" s="380"/>
      <c r="M216" s="381"/>
      <c r="P216" s="2247" t="s">
        <v>2103</v>
      </c>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7" spans="1:252" s="349" customFormat="1" ht="15.75">
      <c r="A217" s="232">
        <f>+'Appendix A'!A118</f>
        <v>58</v>
      </c>
      <c r="B217" s="38"/>
      <c r="C217" s="469" t="str">
        <f>IF(Toggle=True_up,"Adjusted total (Current year actual)",IF(Toggle=Projection,"Actual PBOP Expense Adjustment"))</f>
        <v>Adjusted total (Current year actual)</v>
      </c>
      <c r="D217" s="592"/>
      <c r="E217" s="103"/>
      <c r="F217" s="38"/>
      <c r="G217" s="977" t="s">
        <v>1015</v>
      </c>
      <c r="H217" s="2128" t="str">
        <f>Toggle</f>
        <v>True-up</v>
      </c>
      <c r="I217" s="1144">
        <f>I215-I216</f>
        <v>0</v>
      </c>
      <c r="J217" s="2286" t="s">
        <v>1738</v>
      </c>
      <c r="K217" s="490"/>
      <c r="L217" s="497"/>
      <c r="M217" s="498"/>
      <c r="P217" s="2246"/>
    </row>
    <row r="218" spans="1:252" s="349" customFormat="1" ht="15.75">
      <c r="A218" s="232"/>
      <c r="B218" s="38"/>
      <c r="C218" s="469"/>
      <c r="D218" s="38"/>
      <c r="E218" s="38"/>
      <c r="F218" s="38"/>
      <c r="G218" s="810"/>
      <c r="H218" s="1141"/>
      <c r="I218" s="659"/>
      <c r="J218" s="879"/>
      <c r="K218" s="490"/>
      <c r="L218" s="497"/>
      <c r="M218" s="498"/>
      <c r="P218" s="2246"/>
    </row>
    <row r="219" spans="1:252" s="349" customFormat="1" ht="15.75">
      <c r="A219" s="232"/>
      <c r="B219" s="38" t="s">
        <v>987</v>
      </c>
      <c r="C219" s="249"/>
      <c r="D219" s="38"/>
      <c r="E219" s="38"/>
      <c r="F219" s="38"/>
      <c r="G219" s="810"/>
      <c r="H219" s="1141"/>
      <c r="I219" s="659"/>
      <c r="J219" s="879"/>
      <c r="K219" s="490"/>
      <c r="L219" s="497"/>
      <c r="M219" s="498"/>
      <c r="P219" s="2246"/>
    </row>
    <row r="220" spans="1:252" s="349" customFormat="1" ht="15.75">
      <c r="A220" s="2237"/>
      <c r="B220" s="38"/>
      <c r="C220" s="78" t="str">
        <f xml:space="preserve">    'Appendix A'!C133</f>
        <v>Property Insurance Account 924</v>
      </c>
      <c r="D220" s="968"/>
      <c r="E220" s="968"/>
      <c r="F220" s="968"/>
      <c r="G220" s="1122" t="str">
        <f>'Appendix A'!F119</f>
        <v>323.185b</v>
      </c>
      <c r="H220" s="1138"/>
      <c r="I220" s="1145">
        <f>INDEX(Inputs_EndYrBal,MATCH(G220,Inputs_FF1_Map,0))</f>
        <v>5579593</v>
      </c>
      <c r="J220" s="23"/>
      <c r="K220" s="490"/>
      <c r="L220" s="28"/>
      <c r="M220" s="234"/>
      <c r="P220" s="2247" t="s">
        <v>2103</v>
      </c>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2">
        <f>'Appendix A'!A133</f>
        <v>70</v>
      </c>
      <c r="B221" s="38"/>
      <c r="C221" s="332"/>
      <c r="D221" s="38"/>
      <c r="E221" s="426" t="str">
        <f>'Appendix A'!$E$133</f>
        <v>(Note F)</v>
      </c>
      <c r="F221" s="38"/>
      <c r="G221" s="977" t="s">
        <v>1015</v>
      </c>
      <c r="H221" s="1136"/>
      <c r="I221" s="1146">
        <f>I220</f>
        <v>5579593</v>
      </c>
      <c r="K221" s="493"/>
      <c r="L221" s="493"/>
      <c r="M221" s="494"/>
      <c r="P221" s="2246"/>
    </row>
    <row r="222" spans="1:252" s="349" customFormat="1" ht="15.75" thickBot="1">
      <c r="A222" s="238"/>
      <c r="B222" s="849"/>
      <c r="C222" s="841"/>
      <c r="D222" s="877"/>
      <c r="E222" s="877"/>
      <c r="F222" s="854"/>
      <c r="G222" s="244"/>
      <c r="H222" s="264"/>
      <c r="I222" s="868"/>
      <c r="J222" s="266"/>
      <c r="K222" s="266"/>
      <c r="L222" s="265"/>
      <c r="M222" s="267"/>
      <c r="P222" s="2246"/>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c r="O223" s="349"/>
      <c r="Q223" s="349"/>
      <c r="R223" s="349"/>
      <c r="S223" s="349"/>
      <c r="T223" s="349"/>
      <c r="U223" s="349"/>
      <c r="V223" s="349"/>
      <c r="W223" s="349"/>
    </row>
    <row r="224" spans="1:252" s="349" customFormat="1">
      <c r="A224" s="23"/>
      <c r="I224" s="120"/>
      <c r="P224" s="2246"/>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5" spans="1:252" s="349" customFormat="1" ht="16.5" thickBot="1">
      <c r="A225" s="878" t="s">
        <v>167</v>
      </c>
      <c r="P225" s="2246"/>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691" t="s">
        <v>206</v>
      </c>
      <c r="B226" s="2692"/>
      <c r="C226" s="2692"/>
      <c r="D226" s="2692"/>
      <c r="E226" s="2692"/>
      <c r="F226" s="2692"/>
      <c r="G226" s="2693"/>
      <c r="H226" s="906" t="s">
        <v>207</v>
      </c>
      <c r="I226" s="907" t="s">
        <v>1114</v>
      </c>
      <c r="J226" s="907" t="s">
        <v>160</v>
      </c>
      <c r="K226" s="910" t="s">
        <v>83</v>
      </c>
      <c r="L226" s="910"/>
      <c r="M226" s="911"/>
      <c r="P226" s="2246"/>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237"/>
      <c r="B227" s="228" t="s">
        <v>235</v>
      </c>
      <c r="C227" s="47"/>
      <c r="D227" s="37"/>
      <c r="E227" s="37"/>
      <c r="F227" s="243"/>
      <c r="G227" s="947"/>
      <c r="H227" s="268"/>
      <c r="I227" s="252"/>
      <c r="J227" s="92"/>
      <c r="K227" s="38"/>
      <c r="L227" s="38"/>
      <c r="M227" s="229"/>
      <c r="P227" s="2246"/>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c r="B228" s="228"/>
      <c r="C228" s="47"/>
      <c r="D228" s="37"/>
      <c r="E228" s="37"/>
      <c r="F228" s="243"/>
      <c r="G228" s="947"/>
      <c r="H228" s="268"/>
      <c r="I228" s="252"/>
      <c r="J228" s="92"/>
      <c r="K228" s="38"/>
      <c r="L228" s="38"/>
      <c r="M228" s="229"/>
      <c r="P228" s="2246"/>
    </row>
    <row r="229" spans="1:252" s="349" customFormat="1" ht="15.75">
      <c r="A229" s="946" t="s">
        <v>832</v>
      </c>
      <c r="B229" s="17"/>
      <c r="C229" s="51"/>
      <c r="D229" s="37"/>
      <c r="E229" s="37"/>
      <c r="F229" s="233"/>
      <c r="G229" s="945"/>
      <c r="H229" s="805"/>
      <c r="I229" s="245"/>
      <c r="J229" s="806"/>
      <c r="K229" s="51"/>
      <c r="L229" s="51"/>
      <c r="M229" s="262"/>
      <c r="P229" s="2246"/>
    </row>
    <row r="230" spans="1:252" s="349" customFormat="1" ht="15.75">
      <c r="A230" s="230"/>
      <c r="B230" s="17"/>
      <c r="C230" s="47"/>
      <c r="D230" s="37"/>
      <c r="E230" s="37"/>
      <c r="F230" s="233"/>
      <c r="G230" s="945"/>
      <c r="H230" s="807"/>
      <c r="I230" s="574"/>
      <c r="J230" s="808"/>
      <c r="K230" s="200"/>
      <c r="L230" s="51"/>
      <c r="M230" s="262"/>
      <c r="O230" s="23"/>
      <c r="P230" s="2246"/>
    </row>
    <row r="231" spans="1:252" s="349" customFormat="1" ht="15.75">
      <c r="A231" s="230"/>
      <c r="B231" s="17"/>
      <c r="C231" s="51" t="s">
        <v>734</v>
      </c>
      <c r="D231" s="51"/>
      <c r="E231" s="51"/>
      <c r="F231" s="51"/>
      <c r="G231" s="262"/>
      <c r="H231" s="807"/>
      <c r="I231" s="574"/>
      <c r="J231" s="808"/>
      <c r="K231" s="200"/>
      <c r="L231" s="51"/>
      <c r="M231" s="262"/>
      <c r="O231" s="23"/>
      <c r="P231" s="2636">
        <v>2017</v>
      </c>
    </row>
    <row r="232" spans="1:252" s="349" customFormat="1" ht="15.75">
      <c r="A232" s="230"/>
      <c r="B232" s="17"/>
      <c r="C232" s="944" t="s">
        <v>735</v>
      </c>
      <c r="D232" s="51"/>
      <c r="E232" s="51"/>
      <c r="F232" s="51"/>
      <c r="G232" s="1761" t="s">
        <v>1396</v>
      </c>
      <c r="H232" s="1677">
        <v>1932452</v>
      </c>
      <c r="I232" s="969">
        <f>H232</f>
        <v>1932452</v>
      </c>
      <c r="J232" s="1758"/>
      <c r="K232" s="2603"/>
      <c r="L232" s="51"/>
      <c r="M232" s="262"/>
      <c r="O232" s="23"/>
      <c r="P232" s="2636">
        <v>2017</v>
      </c>
    </row>
    <row r="233" spans="1:252" s="349" customFormat="1" ht="15.75">
      <c r="A233" s="230"/>
      <c r="B233" s="17"/>
      <c r="C233" s="944" t="s">
        <v>1378</v>
      </c>
      <c r="D233" s="51"/>
      <c r="E233" s="51"/>
      <c r="F233" s="51"/>
      <c r="G233" s="1761" t="s">
        <v>1397</v>
      </c>
      <c r="H233" s="1677">
        <v>2798781</v>
      </c>
      <c r="I233" s="969"/>
      <c r="J233" s="969">
        <f>+H233</f>
        <v>2798781</v>
      </c>
      <c r="K233" s="2603"/>
      <c r="L233" s="51"/>
      <c r="M233" s="262"/>
      <c r="O233" s="23"/>
      <c r="P233" s="2636">
        <v>2017</v>
      </c>
    </row>
    <row r="234" spans="1:252" s="349" customFormat="1" ht="15.75">
      <c r="A234" s="230"/>
      <c r="B234" s="17"/>
      <c r="C234" s="944" t="s">
        <v>736</v>
      </c>
      <c r="D234" s="51"/>
      <c r="E234" s="51"/>
      <c r="F234" s="51"/>
      <c r="G234" s="1761" t="s">
        <v>1648</v>
      </c>
      <c r="H234" s="1677">
        <v>664023</v>
      </c>
      <c r="I234" s="969">
        <f>H234</f>
        <v>664023</v>
      </c>
      <c r="J234" s="969"/>
      <c r="K234" s="2603"/>
      <c r="L234" s="51"/>
      <c r="M234" s="262"/>
      <c r="O234" s="23"/>
      <c r="P234" s="2636">
        <v>2017</v>
      </c>
    </row>
    <row r="235" spans="1:252" s="349" customFormat="1" ht="15.75">
      <c r="A235" s="230"/>
      <c r="B235" s="17"/>
      <c r="C235" s="944" t="s">
        <v>1377</v>
      </c>
      <c r="D235" s="51"/>
      <c r="E235" s="51"/>
      <c r="F235" s="51"/>
      <c r="G235" s="1761" t="s">
        <v>1649</v>
      </c>
      <c r="H235" s="1677">
        <v>92209</v>
      </c>
      <c r="I235" s="969">
        <v>980836.81999999983</v>
      </c>
      <c r="J235" s="969">
        <v>2366.1999999999998</v>
      </c>
      <c r="K235" s="2603"/>
      <c r="L235" s="51"/>
      <c r="M235" s="262"/>
      <c r="O235" s="2604"/>
      <c r="P235" s="2636">
        <v>2017</v>
      </c>
    </row>
    <row r="236" spans="1:252" s="349" customFormat="1" ht="15.75">
      <c r="A236" s="230">
        <f>+'Appendix A'!A129</f>
        <v>67</v>
      </c>
      <c r="B236" s="17"/>
      <c r="C236" s="943" t="s">
        <v>282</v>
      </c>
      <c r="D236" s="942"/>
      <c r="E236" s="997"/>
      <c r="F236" s="942"/>
      <c r="G236" s="1762" t="s">
        <v>1097</v>
      </c>
      <c r="H236" s="1757">
        <f>SUM(H232:H235)</f>
        <v>5487465</v>
      </c>
      <c r="I236" s="1759">
        <f>SUM(I232:I235)</f>
        <v>3577311.82</v>
      </c>
      <c r="J236" s="1760">
        <f>SUM(J232:J235)</f>
        <v>2801147.2</v>
      </c>
      <c r="K236" s="200"/>
      <c r="L236" s="51"/>
      <c r="M236" s="262"/>
      <c r="O236" s="23"/>
      <c r="P236" s="2636">
        <v>2017</v>
      </c>
    </row>
    <row r="237" spans="1:252" s="349" customFormat="1" ht="15.75" thickBot="1">
      <c r="A237" s="1009"/>
      <c r="B237" s="837"/>
      <c r="C237" s="841"/>
      <c r="D237" s="941"/>
      <c r="E237" s="941"/>
      <c r="F237" s="854"/>
      <c r="G237" s="244"/>
      <c r="H237" s="575"/>
      <c r="I237" s="835"/>
      <c r="J237" s="258"/>
      <c r="K237" s="2686"/>
      <c r="L237" s="2686"/>
      <c r="M237" s="2687"/>
      <c r="O237" s="23"/>
      <c r="P237" s="2246"/>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O238" s="23"/>
    </row>
    <row r="239" spans="1:252">
      <c r="O239" s="23"/>
    </row>
    <row r="240" spans="1:252" s="349" customFormat="1" ht="16.5" thickBot="1">
      <c r="A240" s="878" t="s">
        <v>168</v>
      </c>
      <c r="B240" s="23"/>
      <c r="C240" s="23"/>
      <c r="O240" s="23"/>
      <c r="P240" s="2246"/>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row>
    <row r="241" spans="1:252" s="349" customFormat="1" ht="46.5">
      <c r="A241" s="2691" t="s">
        <v>206</v>
      </c>
      <c r="B241" s="2692"/>
      <c r="C241" s="2692"/>
      <c r="D241" s="2692"/>
      <c r="E241" s="2692"/>
      <c r="F241" s="2692"/>
      <c r="G241" s="2693"/>
      <c r="H241" s="907" t="s">
        <v>207</v>
      </c>
      <c r="I241" s="907" t="s">
        <v>1117</v>
      </c>
      <c r="J241" s="907" t="s">
        <v>161</v>
      </c>
      <c r="K241" s="910" t="s">
        <v>83</v>
      </c>
      <c r="L241" s="910"/>
      <c r="M241" s="911"/>
      <c r="O241" s="23"/>
      <c r="P241" s="2246"/>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row>
    <row r="242" spans="1:252" s="349" customFormat="1" ht="15.75">
      <c r="A242" s="230"/>
      <c r="B242" s="228" t="s">
        <v>235</v>
      </c>
      <c r="C242" s="51"/>
      <c r="D242" s="37"/>
      <c r="E242" s="37"/>
      <c r="F242" s="252"/>
      <c r="G242" s="234"/>
      <c r="H242" s="38"/>
      <c r="I242" s="93"/>
      <c r="J242" s="38"/>
      <c r="K242" s="38"/>
      <c r="L242" s="38"/>
      <c r="M242" s="229"/>
      <c r="O242" s="23"/>
      <c r="P242" s="2246"/>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row>
    <row r="243" spans="1:252" s="349" customFormat="1" ht="15.75">
      <c r="A243" s="230">
        <f>+'Appendix A'!A130</f>
        <v>68</v>
      </c>
      <c r="B243" s="235"/>
      <c r="C243" s="332" t="str">
        <f>+'Appendix A'!C130</f>
        <v xml:space="preserve">General Advertising Exp Account 930.1 - Safety-related Advertising </v>
      </c>
      <c r="D243" s="37"/>
      <c r="E243" s="37"/>
      <c r="F243" s="236"/>
      <c r="G243" s="978" t="s">
        <v>38</v>
      </c>
      <c r="H243" s="1094">
        <f>INDEX(Inputs_EndYrBal,MATCH(G243,Inputs_FF1_Map,0))</f>
        <v>1435</v>
      </c>
      <c r="I243" s="1132">
        <v>0</v>
      </c>
      <c r="J243" s="1133">
        <f>H243-I243</f>
        <v>1435</v>
      </c>
      <c r="K243" s="888" t="s">
        <v>383</v>
      </c>
      <c r="L243" s="888"/>
      <c r="M243" s="262"/>
      <c r="N243" s="18"/>
      <c r="O243" s="2604"/>
      <c r="P243" s="2247" t="s">
        <v>2103</v>
      </c>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row>
    <row r="244" spans="1:252" s="349" customFormat="1" ht="15.75" thickBot="1">
      <c r="A244" s="238"/>
      <c r="B244" s="837"/>
      <c r="C244" s="838"/>
      <c r="D244" s="844"/>
      <c r="E244" s="844"/>
      <c r="F244" s="840"/>
      <c r="G244" s="244"/>
      <c r="H244" s="846"/>
      <c r="I244" s="846"/>
      <c r="J244" s="846"/>
      <c r="K244" s="845"/>
      <c r="L244" s="845"/>
      <c r="M244" s="882"/>
      <c r="O244" s="23"/>
      <c r="P244" s="2246"/>
    </row>
    <row r="245" spans="1:252" s="349" customFormat="1" ht="15.75">
      <c r="A245" s="883"/>
      <c r="B245" s="235"/>
      <c r="C245" s="332"/>
      <c r="D245" s="37"/>
      <c r="E245" s="37"/>
      <c r="F245" s="99"/>
      <c r="G245" s="332"/>
      <c r="H245" s="92"/>
      <c r="I245" s="92"/>
      <c r="J245" s="92"/>
      <c r="K245" s="379"/>
      <c r="L245" s="380"/>
      <c r="M245" s="380"/>
      <c r="N245" s="18"/>
      <c r="O245" s="23"/>
      <c r="P245" s="2246"/>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row>
    <row r="246" spans="1:252">
      <c r="O246" s="23"/>
    </row>
    <row r="247" spans="1:252" s="349" customFormat="1" ht="16.5" thickBot="1">
      <c r="A247" s="878" t="s">
        <v>169</v>
      </c>
      <c r="B247" s="23"/>
      <c r="C247" s="23"/>
      <c r="N247" s="18"/>
      <c r="O247" s="23"/>
      <c r="P247" s="2246"/>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row>
    <row r="248" spans="1:252" s="349" customFormat="1" ht="61.5">
      <c r="A248" s="2691" t="s">
        <v>206</v>
      </c>
      <c r="B248" s="2692"/>
      <c r="C248" s="2692"/>
      <c r="D248" s="2692"/>
      <c r="E248" s="2692"/>
      <c r="F248" s="2692"/>
      <c r="G248" s="2693"/>
      <c r="H248" s="907" t="s">
        <v>207</v>
      </c>
      <c r="I248" s="907" t="s">
        <v>1118</v>
      </c>
      <c r="J248" s="907" t="s">
        <v>104</v>
      </c>
      <c r="K248" s="2688" t="s">
        <v>83</v>
      </c>
      <c r="L248" s="2688"/>
      <c r="M248" s="2689"/>
      <c r="N248" s="18"/>
      <c r="O248" s="23"/>
      <c r="P248" s="2246"/>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row>
    <row r="249" spans="1:252" s="349" customFormat="1" ht="15.75">
      <c r="A249" s="230"/>
      <c r="B249" s="228" t="s">
        <v>235</v>
      </c>
      <c r="C249" s="51"/>
      <c r="D249" s="37"/>
      <c r="E249" s="37"/>
      <c r="F249" s="252"/>
      <c r="G249" s="234"/>
      <c r="H249" s="38"/>
      <c r="I249" s="93"/>
      <c r="J249" s="38"/>
      <c r="K249" s="38"/>
      <c r="L249" s="38"/>
      <c r="M249" s="229"/>
      <c r="N249" s="18"/>
      <c r="O249" s="23"/>
      <c r="P249" s="2246"/>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row>
    <row r="250" spans="1:252" s="349" customFormat="1" ht="15.75">
      <c r="A250" s="230">
        <f>+'Appendix A'!A134</f>
        <v>71</v>
      </c>
      <c r="B250" s="235"/>
      <c r="C250" s="332" t="str">
        <f>+'Appendix A'!C134</f>
        <v xml:space="preserve">General Advertising Exp Account 930.1 - Education and Outreach </v>
      </c>
      <c r="D250" s="836"/>
      <c r="E250" s="836"/>
      <c r="F250" s="236"/>
      <c r="G250" s="978" t="s">
        <v>38</v>
      </c>
      <c r="H250" s="1094">
        <f>INDEX(Inputs_EndYrBal,MATCH(G250,Inputs_FF1_Map,0))</f>
        <v>1435</v>
      </c>
      <c r="I250" s="1132">
        <v>0</v>
      </c>
      <c r="J250" s="1134">
        <f>H250-I250</f>
        <v>1435</v>
      </c>
      <c r="K250" s="1007" t="str">
        <f>+K243</f>
        <v>Based on FERC 930.1 download</v>
      </c>
      <c r="L250" s="1007"/>
      <c r="M250" s="229"/>
      <c r="N250" s="18"/>
      <c r="O250" s="2604"/>
      <c r="P250" s="2247" t="s">
        <v>2103</v>
      </c>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row>
    <row r="251" spans="1:252" s="349" customFormat="1" ht="15.75" thickBot="1">
      <c r="A251" s="238"/>
      <c r="B251" s="837"/>
      <c r="C251" s="838"/>
      <c r="D251" s="839"/>
      <c r="E251" s="839"/>
      <c r="F251" s="840"/>
      <c r="G251" s="244"/>
      <c r="H251" s="847"/>
      <c r="I251" s="846"/>
      <c r="J251" s="847"/>
      <c r="K251" s="842"/>
      <c r="L251" s="842"/>
      <c r="M251" s="491"/>
      <c r="O251" s="23"/>
      <c r="P251" s="2246"/>
    </row>
    <row r="252" spans="1:252" s="349" customFormat="1">
      <c r="A252" s="23"/>
      <c r="N252" s="18"/>
      <c r="O252" s="23"/>
      <c r="P252" s="2246"/>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row>
    <row r="253" spans="1:252">
      <c r="B253" s="23"/>
      <c r="C253" s="23"/>
      <c r="D253" s="23"/>
      <c r="E253" s="23"/>
      <c r="F253" s="23"/>
      <c r="G253" s="23"/>
      <c r="H253" s="23"/>
      <c r="I253" s="23"/>
      <c r="J253" s="23"/>
      <c r="K253" s="23"/>
      <c r="L253" s="23"/>
      <c r="M253" s="23"/>
    </row>
    <row r="254" spans="1:252" s="349" customFormat="1" ht="16.5" thickBot="1">
      <c r="A254" s="878" t="s">
        <v>1044</v>
      </c>
      <c r="B254" s="23"/>
      <c r="C254" s="23"/>
      <c r="D254" s="23"/>
      <c r="E254" s="23"/>
      <c r="F254" s="23"/>
      <c r="G254" s="23"/>
      <c r="H254" s="23"/>
      <c r="I254" s="23"/>
      <c r="J254" s="23"/>
      <c r="K254" s="23"/>
      <c r="L254" s="23"/>
      <c r="M254" s="23"/>
      <c r="N254" s="18"/>
      <c r="O254" s="18"/>
      <c r="P254" s="2246"/>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row>
    <row r="255" spans="1:252" s="349" customFormat="1">
      <c r="A255" s="2691" t="s">
        <v>206</v>
      </c>
      <c r="B255" s="2692"/>
      <c r="C255" s="2692"/>
      <c r="D255" s="2692"/>
      <c r="E255" s="2692"/>
      <c r="F255" s="2692"/>
      <c r="G255" s="2693"/>
      <c r="H255" s="907"/>
      <c r="I255" s="910" t="s">
        <v>83</v>
      </c>
      <c r="J255" s="907"/>
      <c r="K255" s="907"/>
      <c r="L255" s="907"/>
      <c r="M255" s="911"/>
      <c r="N255" s="18"/>
      <c r="O255" s="18"/>
      <c r="P255" s="2246"/>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row>
    <row r="256" spans="1:252" s="349" customFormat="1" ht="15.75">
      <c r="A256" s="230" t="s">
        <v>225</v>
      </c>
      <c r="B256" s="1008" t="s">
        <v>266</v>
      </c>
      <c r="C256" s="37"/>
      <c r="D256" s="37"/>
      <c r="E256" s="37"/>
      <c r="F256" s="245"/>
      <c r="G256" s="869"/>
      <c r="H256" s="38"/>
      <c r="I256" s="38"/>
      <c r="J256" s="38"/>
      <c r="K256" s="38"/>
      <c r="L256" s="38"/>
      <c r="M256" s="229"/>
      <c r="N256" s="18"/>
      <c r="O256" s="18"/>
      <c r="P256" s="2246"/>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row>
    <row r="257" spans="1:252" s="349" customFormat="1">
      <c r="A257" s="230">
        <f>+'Appendix A'!A227</f>
        <v>129</v>
      </c>
      <c r="B257" s="883"/>
      <c r="C257" s="332" t="str">
        <f>+'Appendix A'!C227</f>
        <v>SIT = State Income Tax Rate or Composite</v>
      </c>
      <c r="D257" s="23"/>
      <c r="E257" s="883" t="str">
        <f>'Appendix A'!E227</f>
        <v>(Note G)</v>
      </c>
      <c r="F257" s="23"/>
      <c r="G257" s="241"/>
      <c r="H257" s="1097">
        <f>Inputs!E92</f>
        <v>4.5400000000000003E-2</v>
      </c>
      <c r="I257" s="843" t="s">
        <v>1036</v>
      </c>
      <c r="J257" s="103"/>
      <c r="K257" s="38"/>
      <c r="L257" s="426"/>
      <c r="M257" s="853"/>
      <c r="N257" s="18"/>
      <c r="O257" s="18"/>
      <c r="P257" s="2247" t="s">
        <v>2103</v>
      </c>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row>
    <row r="258" spans="1:252" s="349" customFormat="1" ht="15.75" thickBot="1">
      <c r="A258" s="1009"/>
      <c r="B258" s="877"/>
      <c r="C258" s="877"/>
      <c r="D258" s="877"/>
      <c r="E258" s="877"/>
      <c r="F258" s="877"/>
      <c r="G258" s="272"/>
      <c r="H258" s="872"/>
      <c r="I258" s="872"/>
      <c r="J258" s="872"/>
      <c r="K258" s="872"/>
      <c r="L258" s="872"/>
      <c r="M258" s="261"/>
      <c r="N258" s="18"/>
      <c r="O258" s="18"/>
      <c r="P258" s="2246"/>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row>
    <row r="259" spans="1:252">
      <c r="B259" s="23"/>
      <c r="C259" s="23"/>
      <c r="D259" s="23"/>
      <c r="E259" s="23"/>
      <c r="F259" s="23"/>
      <c r="G259" s="23"/>
      <c r="H259" s="23"/>
      <c r="I259" s="23"/>
      <c r="J259" s="23"/>
      <c r="K259" s="23"/>
      <c r="L259" s="23"/>
      <c r="M259" s="23"/>
    </row>
    <row r="260" spans="1:252" s="349" customFormat="1">
      <c r="A260" s="23"/>
      <c r="N260" s="18"/>
      <c r="O260" s="18"/>
      <c r="P260" s="2246"/>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row>
    <row r="261" spans="1:252" s="349" customFormat="1" ht="16.5" thickBot="1">
      <c r="A261" s="856" t="s">
        <v>6</v>
      </c>
      <c r="B261" s="385"/>
      <c r="C261" s="385"/>
      <c r="D261" s="385"/>
      <c r="E261" s="883"/>
      <c r="F261" s="231"/>
      <c r="G261" s="385"/>
      <c r="H261" s="38"/>
      <c r="I261" s="38"/>
      <c r="J261" s="38"/>
      <c r="K261" s="38"/>
      <c r="L261" s="270"/>
      <c r="M261" s="38"/>
      <c r="O261" s="385"/>
      <c r="P261" s="2249"/>
      <c r="Q261" s="332"/>
      <c r="R261" s="385"/>
      <c r="S261" s="385"/>
      <c r="T261" s="385"/>
      <c r="U261" s="385"/>
      <c r="V261" s="385"/>
      <c r="W261" s="332"/>
      <c r="X261" s="385"/>
      <c r="Y261" s="385"/>
      <c r="Z261" s="385"/>
      <c r="AA261" s="385"/>
      <c r="AB261" s="385"/>
      <c r="AC261" s="332"/>
      <c r="AD261" s="385"/>
      <c r="AE261" s="385"/>
      <c r="AF261" s="385"/>
      <c r="AG261" s="385"/>
      <c r="AH261" s="385"/>
      <c r="AI261" s="332"/>
      <c r="AJ261" s="385"/>
      <c r="AK261" s="385"/>
      <c r="AL261" s="385"/>
      <c r="AM261" s="385"/>
      <c r="AN261" s="385"/>
      <c r="AO261" s="332"/>
      <c r="AP261" s="385"/>
      <c r="AQ261" s="385"/>
      <c r="AR261" s="385"/>
      <c r="AS261" s="385"/>
      <c r="AT261" s="385"/>
      <c r="AU261" s="332"/>
      <c r="AV261" s="385"/>
      <c r="AW261" s="385"/>
      <c r="AX261" s="385"/>
      <c r="AY261" s="385"/>
      <c r="AZ261" s="385"/>
      <c r="BA261" s="332"/>
      <c r="BB261" s="385"/>
      <c r="BC261" s="385"/>
      <c r="BD261" s="385"/>
      <c r="BE261" s="385"/>
      <c r="BF261" s="385"/>
      <c r="BG261" s="332"/>
      <c r="BH261" s="385"/>
      <c r="BI261" s="385"/>
      <c r="BJ261" s="385"/>
      <c r="BK261" s="385"/>
      <c r="BL261" s="385"/>
      <c r="BM261" s="332"/>
      <c r="BN261" s="385"/>
      <c r="BO261" s="385"/>
      <c r="BP261" s="385"/>
      <c r="BQ261" s="385"/>
      <c r="BR261" s="385"/>
      <c r="BS261" s="332"/>
      <c r="BT261" s="385"/>
      <c r="BU261" s="385"/>
      <c r="BV261" s="385"/>
      <c r="BW261" s="385"/>
      <c r="BX261" s="385"/>
      <c r="BY261" s="332"/>
      <c r="BZ261" s="385"/>
      <c r="CA261" s="385"/>
      <c r="CB261" s="385"/>
      <c r="CC261" s="385"/>
      <c r="CD261" s="385"/>
      <c r="CE261" s="332"/>
      <c r="CF261" s="385"/>
      <c r="CG261" s="385"/>
      <c r="CH261" s="385"/>
      <c r="CI261" s="385"/>
      <c r="CJ261" s="385"/>
      <c r="CK261" s="332"/>
      <c r="CL261" s="385"/>
      <c r="CM261" s="385"/>
      <c r="CN261" s="385"/>
      <c r="CO261" s="385"/>
      <c r="CP261" s="385"/>
      <c r="CQ261" s="332"/>
      <c r="CR261" s="385"/>
      <c r="CS261" s="385"/>
      <c r="CT261" s="385"/>
      <c r="CU261" s="385"/>
      <c r="CV261" s="385"/>
      <c r="CW261" s="332"/>
      <c r="CX261" s="385"/>
      <c r="CY261" s="385"/>
      <c r="CZ261" s="385"/>
      <c r="DA261" s="385"/>
      <c r="DB261" s="385"/>
      <c r="DC261" s="332"/>
      <c r="DD261" s="385"/>
      <c r="DE261" s="385"/>
      <c r="DF261" s="385"/>
      <c r="DG261" s="385"/>
      <c r="DH261" s="385"/>
      <c r="DI261" s="332"/>
      <c r="DJ261" s="385"/>
      <c r="DK261" s="385"/>
      <c r="DL261" s="385"/>
      <c r="DM261" s="385"/>
      <c r="DN261" s="385"/>
      <c r="DO261" s="332"/>
      <c r="DP261" s="385"/>
      <c r="DQ261" s="385"/>
      <c r="DR261" s="385"/>
      <c r="DS261" s="385"/>
      <c r="DT261" s="385"/>
      <c r="DU261" s="332"/>
      <c r="DV261" s="385"/>
      <c r="DW261" s="385"/>
      <c r="DX261" s="385"/>
      <c r="DY261" s="385"/>
      <c r="DZ261" s="385"/>
      <c r="EA261" s="332"/>
      <c r="EB261" s="385"/>
      <c r="EC261" s="385"/>
      <c r="ED261" s="385"/>
      <c r="EE261" s="385"/>
      <c r="EF261" s="385"/>
      <c r="EG261" s="332"/>
      <c r="EH261" s="385"/>
      <c r="EI261" s="385"/>
      <c r="EJ261" s="385"/>
      <c r="EK261" s="385"/>
      <c r="EL261" s="385"/>
      <c r="EM261" s="332"/>
      <c r="EN261" s="385"/>
      <c r="EO261" s="385"/>
      <c r="EP261" s="385"/>
      <c r="EQ261" s="385"/>
      <c r="ER261" s="385"/>
      <c r="ES261" s="332"/>
      <c r="ET261" s="385"/>
      <c r="EU261" s="385"/>
      <c r="EV261" s="385"/>
      <c r="EW261" s="385"/>
      <c r="EX261" s="385"/>
      <c r="EY261" s="332"/>
      <c r="EZ261" s="385"/>
      <c r="FA261" s="385"/>
      <c r="FB261" s="385"/>
      <c r="FC261" s="385"/>
      <c r="FD261" s="385"/>
      <c r="FE261" s="332"/>
      <c r="FF261" s="385"/>
      <c r="FG261" s="385"/>
      <c r="FH261" s="385"/>
      <c r="FI261" s="385"/>
      <c r="FJ261" s="385"/>
      <c r="FK261" s="332"/>
      <c r="FL261" s="385"/>
      <c r="FM261" s="385"/>
      <c r="FN261" s="385"/>
      <c r="FO261" s="385"/>
      <c r="FP261" s="385"/>
      <c r="FQ261" s="332"/>
      <c r="FR261" s="385"/>
      <c r="FS261" s="385"/>
      <c r="FT261" s="385"/>
      <c r="FU261" s="385"/>
      <c r="FV261" s="385"/>
      <c r="FW261" s="332"/>
      <c r="FX261" s="385"/>
      <c r="FY261" s="385"/>
      <c r="FZ261" s="385"/>
      <c r="GA261" s="385"/>
      <c r="GB261" s="385"/>
      <c r="GC261" s="332"/>
      <c r="GD261" s="385"/>
      <c r="GE261" s="385"/>
      <c r="GF261" s="385"/>
      <c r="GG261" s="385"/>
      <c r="GH261" s="385"/>
      <c r="GI261" s="332"/>
      <c r="GJ261" s="385"/>
      <c r="GK261" s="385"/>
      <c r="GL261" s="385"/>
      <c r="GM261" s="385"/>
      <c r="GN261" s="385"/>
      <c r="GO261" s="332"/>
      <c r="GP261" s="385"/>
      <c r="GQ261" s="385"/>
      <c r="GR261" s="385"/>
      <c r="GS261" s="385"/>
      <c r="GT261" s="385"/>
      <c r="GU261" s="332"/>
      <c r="GV261" s="385"/>
      <c r="GW261" s="385"/>
      <c r="GX261" s="385"/>
      <c r="GY261" s="385"/>
      <c r="GZ261" s="385"/>
      <c r="HA261" s="332"/>
      <c r="HB261" s="385"/>
      <c r="HC261" s="385"/>
      <c r="HD261" s="385"/>
      <c r="HE261" s="385"/>
      <c r="HF261" s="385"/>
      <c r="HG261" s="332"/>
      <c r="HH261" s="385"/>
      <c r="HI261" s="385"/>
      <c r="HJ261" s="385"/>
      <c r="HK261" s="385"/>
      <c r="HL261" s="385"/>
      <c r="HM261" s="332"/>
      <c r="HN261" s="385"/>
      <c r="HO261" s="385"/>
      <c r="HP261" s="385"/>
      <c r="HQ261" s="385"/>
      <c r="HR261" s="385"/>
      <c r="HS261" s="332"/>
      <c r="HT261" s="385"/>
      <c r="HU261" s="385"/>
      <c r="HV261" s="385"/>
      <c r="HW261" s="385"/>
      <c r="HX261" s="385"/>
      <c r="HY261" s="332"/>
      <c r="HZ261" s="385"/>
      <c r="IA261" s="385"/>
      <c r="IB261" s="385"/>
      <c r="IC261" s="385"/>
      <c r="ID261" s="385"/>
      <c r="IE261" s="332"/>
      <c r="IF261" s="385"/>
      <c r="IG261" s="385"/>
      <c r="IH261" s="385"/>
      <c r="II261" s="385"/>
      <c r="IJ261" s="385"/>
      <c r="IK261" s="332"/>
      <c r="IL261" s="385"/>
      <c r="IM261" s="385"/>
      <c r="IN261" s="385"/>
      <c r="IO261" s="385"/>
      <c r="IP261" s="385"/>
      <c r="IQ261" s="332"/>
      <c r="IR261" s="385"/>
    </row>
    <row r="262" spans="1:252" s="349" customFormat="1" ht="61.5">
      <c r="A262" s="2691" t="s">
        <v>206</v>
      </c>
      <c r="B262" s="2692"/>
      <c r="C262" s="2692"/>
      <c r="D262" s="2692"/>
      <c r="E262" s="2692"/>
      <c r="F262" s="2692"/>
      <c r="G262" s="2693"/>
      <c r="H262" s="907" t="s">
        <v>282</v>
      </c>
      <c r="I262" s="907" t="s">
        <v>1113</v>
      </c>
      <c r="J262" s="907" t="s">
        <v>1114</v>
      </c>
      <c r="K262" s="2688" t="s">
        <v>83</v>
      </c>
      <c r="L262" s="2688"/>
      <c r="M262" s="2689"/>
      <c r="O262" s="385"/>
      <c r="P262" s="2249"/>
      <c r="Q262" s="332"/>
      <c r="R262" s="385"/>
      <c r="S262" s="385"/>
      <c r="T262" s="385"/>
      <c r="U262" s="385"/>
      <c r="V262" s="385"/>
      <c r="W262" s="332"/>
      <c r="X262" s="385"/>
      <c r="Y262" s="385"/>
      <c r="Z262" s="385"/>
      <c r="AA262" s="385"/>
      <c r="AB262" s="385"/>
      <c r="AC262" s="332"/>
      <c r="AD262" s="385"/>
      <c r="AE262" s="385"/>
      <c r="AF262" s="385"/>
      <c r="AG262" s="385"/>
      <c r="AH262" s="385"/>
      <c r="AI262" s="332"/>
      <c r="AJ262" s="385"/>
      <c r="AK262" s="385"/>
      <c r="AL262" s="385"/>
      <c r="AM262" s="385"/>
      <c r="AN262" s="385"/>
      <c r="AO262" s="332"/>
      <c r="AP262" s="385"/>
      <c r="AQ262" s="385"/>
      <c r="AR262" s="385"/>
      <c r="AS262" s="385"/>
      <c r="AT262" s="385"/>
      <c r="AU262" s="332"/>
      <c r="AV262" s="385"/>
      <c r="AW262" s="385"/>
      <c r="AX262" s="385"/>
      <c r="AY262" s="385"/>
      <c r="AZ262" s="385"/>
      <c r="BA262" s="332"/>
      <c r="BB262" s="385"/>
      <c r="BC262" s="385"/>
      <c r="BD262" s="385"/>
      <c r="BE262" s="385"/>
      <c r="BF262" s="385"/>
      <c r="BG262" s="332"/>
      <c r="BH262" s="385"/>
      <c r="BI262" s="385"/>
      <c r="BJ262" s="385"/>
      <c r="BK262" s="385"/>
      <c r="BL262" s="385"/>
      <c r="BM262" s="332"/>
      <c r="BN262" s="385"/>
      <c r="BO262" s="385"/>
      <c r="BP262" s="385"/>
      <c r="BQ262" s="385"/>
      <c r="BR262" s="385"/>
      <c r="BS262" s="332"/>
      <c r="BT262" s="385"/>
      <c r="BU262" s="385"/>
      <c r="BV262" s="385"/>
      <c r="BW262" s="385"/>
      <c r="BX262" s="385"/>
      <c r="BY262" s="332"/>
      <c r="BZ262" s="385"/>
      <c r="CA262" s="385"/>
      <c r="CB262" s="385"/>
      <c r="CC262" s="385"/>
      <c r="CD262" s="385"/>
      <c r="CE262" s="332"/>
      <c r="CF262" s="385"/>
      <c r="CG262" s="385"/>
      <c r="CH262" s="385"/>
      <c r="CI262" s="385"/>
      <c r="CJ262" s="385"/>
      <c r="CK262" s="332"/>
      <c r="CL262" s="385"/>
      <c r="CM262" s="385"/>
      <c r="CN262" s="385"/>
      <c r="CO262" s="385"/>
      <c r="CP262" s="385"/>
      <c r="CQ262" s="332"/>
      <c r="CR262" s="385"/>
      <c r="CS262" s="385"/>
      <c r="CT262" s="385"/>
      <c r="CU262" s="385"/>
      <c r="CV262" s="385"/>
      <c r="CW262" s="332"/>
      <c r="CX262" s="385"/>
      <c r="CY262" s="385"/>
      <c r="CZ262" s="385"/>
      <c r="DA262" s="385"/>
      <c r="DB262" s="385"/>
      <c r="DC262" s="332"/>
      <c r="DD262" s="385"/>
      <c r="DE262" s="385"/>
      <c r="DF262" s="385"/>
      <c r="DG262" s="385"/>
      <c r="DH262" s="385"/>
      <c r="DI262" s="332"/>
      <c r="DJ262" s="385"/>
      <c r="DK262" s="385"/>
      <c r="DL262" s="385"/>
      <c r="DM262" s="385"/>
      <c r="DN262" s="385"/>
      <c r="DO262" s="332"/>
      <c r="DP262" s="385"/>
      <c r="DQ262" s="385"/>
      <c r="DR262" s="385"/>
      <c r="DS262" s="385"/>
      <c r="DT262" s="385"/>
      <c r="DU262" s="332"/>
      <c r="DV262" s="385"/>
      <c r="DW262" s="385"/>
      <c r="DX262" s="385"/>
      <c r="DY262" s="385"/>
      <c r="DZ262" s="385"/>
      <c r="EA262" s="332"/>
      <c r="EB262" s="385"/>
      <c r="EC262" s="385"/>
      <c r="ED262" s="385"/>
      <c r="EE262" s="385"/>
      <c r="EF262" s="385"/>
      <c r="EG262" s="332"/>
      <c r="EH262" s="385"/>
      <c r="EI262" s="385"/>
      <c r="EJ262" s="385"/>
      <c r="EK262" s="385"/>
      <c r="EL262" s="385"/>
      <c r="EM262" s="332"/>
      <c r="EN262" s="385"/>
      <c r="EO262" s="385"/>
      <c r="EP262" s="385"/>
      <c r="EQ262" s="385"/>
      <c r="ER262" s="385"/>
      <c r="ES262" s="332"/>
      <c r="ET262" s="385"/>
      <c r="EU262" s="385"/>
      <c r="EV262" s="385"/>
      <c r="EW262" s="385"/>
      <c r="EX262" s="385"/>
      <c r="EY262" s="332"/>
      <c r="EZ262" s="385"/>
      <c r="FA262" s="385"/>
      <c r="FB262" s="385"/>
      <c r="FC262" s="385"/>
      <c r="FD262" s="385"/>
      <c r="FE262" s="332"/>
      <c r="FF262" s="385"/>
      <c r="FG262" s="385"/>
      <c r="FH262" s="385"/>
      <c r="FI262" s="385"/>
      <c r="FJ262" s="385"/>
      <c r="FK262" s="332"/>
      <c r="FL262" s="385"/>
      <c r="FM262" s="385"/>
      <c r="FN262" s="385"/>
      <c r="FO262" s="385"/>
      <c r="FP262" s="385"/>
      <c r="FQ262" s="332"/>
      <c r="FR262" s="385"/>
      <c r="FS262" s="385"/>
      <c r="FT262" s="385"/>
      <c r="FU262" s="385"/>
      <c r="FV262" s="385"/>
      <c r="FW262" s="332"/>
      <c r="FX262" s="385"/>
      <c r="FY262" s="385"/>
      <c r="FZ262" s="385"/>
      <c r="GA262" s="385"/>
      <c r="GB262" s="385"/>
      <c r="GC262" s="332"/>
      <c r="GD262" s="385"/>
      <c r="GE262" s="385"/>
      <c r="GF262" s="385"/>
      <c r="GG262" s="385"/>
      <c r="GH262" s="385"/>
      <c r="GI262" s="332"/>
      <c r="GJ262" s="385"/>
      <c r="GK262" s="385"/>
      <c r="GL262" s="385"/>
      <c r="GM262" s="385"/>
      <c r="GN262" s="385"/>
      <c r="GO262" s="332"/>
      <c r="GP262" s="385"/>
      <c r="GQ262" s="385"/>
      <c r="GR262" s="385"/>
      <c r="GS262" s="385"/>
      <c r="GT262" s="385"/>
      <c r="GU262" s="332"/>
      <c r="GV262" s="385"/>
      <c r="GW262" s="385"/>
      <c r="GX262" s="385"/>
      <c r="GY262" s="385"/>
      <c r="GZ262" s="385"/>
      <c r="HA262" s="332"/>
      <c r="HB262" s="385"/>
      <c r="HC262" s="385"/>
      <c r="HD262" s="385"/>
      <c r="HE262" s="385"/>
      <c r="HF262" s="385"/>
      <c r="HG262" s="332"/>
      <c r="HH262" s="385"/>
      <c r="HI262" s="385"/>
      <c r="HJ262" s="385"/>
      <c r="HK262" s="385"/>
      <c r="HL262" s="385"/>
      <c r="HM262" s="332"/>
      <c r="HN262" s="385"/>
      <c r="HO262" s="385"/>
      <c r="HP262" s="385"/>
      <c r="HQ262" s="385"/>
      <c r="HR262" s="385"/>
      <c r="HS262" s="332"/>
      <c r="HT262" s="385"/>
      <c r="HU262" s="385"/>
      <c r="HV262" s="385"/>
      <c r="HW262" s="385"/>
      <c r="HX262" s="385"/>
      <c r="HY262" s="332"/>
      <c r="HZ262" s="385"/>
      <c r="IA262" s="385"/>
      <c r="IB262" s="385"/>
      <c r="IC262" s="385"/>
      <c r="ID262" s="385"/>
      <c r="IE262" s="332"/>
      <c r="IF262" s="385"/>
      <c r="IG262" s="385"/>
      <c r="IH262" s="385"/>
      <c r="II262" s="385"/>
      <c r="IJ262" s="385"/>
      <c r="IK262" s="332"/>
      <c r="IL262" s="385"/>
      <c r="IM262" s="385"/>
      <c r="IN262" s="385"/>
      <c r="IO262" s="385"/>
      <c r="IP262" s="385"/>
      <c r="IQ262" s="332"/>
      <c r="IR262" s="385"/>
    </row>
    <row r="263" spans="1:252" s="349" customFormat="1">
      <c r="A263" s="230"/>
      <c r="B263" s="385"/>
      <c r="C263" s="332"/>
      <c r="D263" s="385"/>
      <c r="E263" s="883"/>
      <c r="F263" s="385"/>
      <c r="G263" s="386"/>
      <c r="H263" s="385"/>
      <c r="I263" s="385"/>
      <c r="J263" s="332"/>
      <c r="K263" s="385"/>
      <c r="L263" s="385"/>
      <c r="M263" s="229"/>
      <c r="N263" s="385"/>
      <c r="O263" s="385"/>
      <c r="P263" s="2249"/>
      <c r="Q263" s="332"/>
      <c r="R263" s="385"/>
      <c r="S263" s="385"/>
      <c r="T263" s="385"/>
      <c r="U263" s="385"/>
      <c r="V263" s="385"/>
      <c r="W263" s="332"/>
      <c r="X263" s="385"/>
      <c r="Y263" s="385"/>
      <c r="Z263" s="385"/>
      <c r="AA263" s="385"/>
      <c r="AB263" s="385"/>
      <c r="AC263" s="332"/>
      <c r="AD263" s="385"/>
      <c r="AE263" s="385"/>
      <c r="AF263" s="385"/>
      <c r="AG263" s="385"/>
      <c r="AH263" s="385"/>
      <c r="AI263" s="332"/>
      <c r="AJ263" s="385"/>
      <c r="AK263" s="385"/>
      <c r="AL263" s="385"/>
      <c r="AM263" s="385"/>
      <c r="AN263" s="385"/>
      <c r="AO263" s="332"/>
      <c r="AP263" s="385"/>
      <c r="AQ263" s="385"/>
      <c r="AR263" s="385"/>
      <c r="AS263" s="385"/>
      <c r="AT263" s="385"/>
      <c r="AU263" s="332"/>
      <c r="AV263" s="385"/>
      <c r="AW263" s="385"/>
      <c r="AX263" s="385"/>
      <c r="AY263" s="385"/>
      <c r="AZ263" s="385"/>
      <c r="BA263" s="332"/>
      <c r="BB263" s="385"/>
      <c r="BC263" s="385"/>
      <c r="BD263" s="385"/>
      <c r="BE263" s="385"/>
      <c r="BF263" s="385"/>
      <c r="BG263" s="332"/>
      <c r="BH263" s="385"/>
      <c r="BI263" s="385"/>
      <c r="BJ263" s="385"/>
      <c r="BK263" s="385"/>
      <c r="BL263" s="385"/>
      <c r="BM263" s="332"/>
      <c r="BN263" s="385"/>
      <c r="BO263" s="385"/>
      <c r="BP263" s="385"/>
      <c r="BQ263" s="385"/>
      <c r="BR263" s="385"/>
      <c r="BS263" s="332"/>
      <c r="BT263" s="385"/>
      <c r="BU263" s="385"/>
      <c r="BV263" s="385"/>
      <c r="BW263" s="385"/>
      <c r="BX263" s="385"/>
      <c r="BY263" s="332"/>
      <c r="BZ263" s="385"/>
      <c r="CA263" s="385"/>
      <c r="CB263" s="385"/>
      <c r="CC263" s="385"/>
      <c r="CD263" s="385"/>
      <c r="CE263" s="332"/>
      <c r="CF263" s="385"/>
      <c r="CG263" s="385"/>
      <c r="CH263" s="385"/>
      <c r="CI263" s="385"/>
      <c r="CJ263" s="385"/>
      <c r="CK263" s="332"/>
      <c r="CL263" s="385"/>
      <c r="CM263" s="385"/>
      <c r="CN263" s="385"/>
      <c r="CO263" s="385"/>
      <c r="CP263" s="385"/>
      <c r="CQ263" s="332"/>
      <c r="CR263" s="385"/>
      <c r="CS263" s="385"/>
      <c r="CT263" s="385"/>
      <c r="CU263" s="385"/>
      <c r="CV263" s="385"/>
      <c r="CW263" s="332"/>
      <c r="CX263" s="385"/>
      <c r="CY263" s="385"/>
      <c r="CZ263" s="385"/>
      <c r="DA263" s="385"/>
      <c r="DB263" s="385"/>
      <c r="DC263" s="332"/>
      <c r="DD263" s="385"/>
      <c r="DE263" s="385"/>
      <c r="DF263" s="385"/>
      <c r="DG263" s="385"/>
      <c r="DH263" s="385"/>
      <c r="DI263" s="332"/>
      <c r="DJ263" s="385"/>
      <c r="DK263" s="385"/>
      <c r="DL263" s="385"/>
      <c r="DM263" s="385"/>
      <c r="DN263" s="385"/>
      <c r="DO263" s="332"/>
      <c r="DP263" s="385"/>
      <c r="DQ263" s="385"/>
      <c r="DR263" s="385"/>
      <c r="DS263" s="385"/>
      <c r="DT263" s="385"/>
      <c r="DU263" s="332"/>
      <c r="DV263" s="385"/>
      <c r="DW263" s="385"/>
      <c r="DX263" s="385"/>
      <c r="DY263" s="385"/>
      <c r="DZ263" s="385"/>
      <c r="EA263" s="332"/>
      <c r="EB263" s="385"/>
      <c r="EC263" s="385"/>
      <c r="ED263" s="385"/>
      <c r="EE263" s="385"/>
      <c r="EF263" s="385"/>
      <c r="EG263" s="332"/>
      <c r="EH263" s="385"/>
      <c r="EI263" s="385"/>
      <c r="EJ263" s="385"/>
      <c r="EK263" s="385"/>
      <c r="EL263" s="385"/>
      <c r="EM263" s="332"/>
      <c r="EN263" s="385"/>
      <c r="EO263" s="385"/>
      <c r="EP263" s="385"/>
      <c r="EQ263" s="385"/>
      <c r="ER263" s="385"/>
      <c r="ES263" s="332"/>
      <c r="ET263" s="385"/>
      <c r="EU263" s="385"/>
      <c r="EV263" s="385"/>
      <c r="EW263" s="385"/>
      <c r="EX263" s="385"/>
      <c r="EY263" s="332"/>
      <c r="EZ263" s="385"/>
      <c r="FA263" s="385"/>
      <c r="FB263" s="385"/>
      <c r="FC263" s="385"/>
      <c r="FD263" s="385"/>
      <c r="FE263" s="332"/>
      <c r="FF263" s="385"/>
      <c r="FG263" s="385"/>
      <c r="FH263" s="385"/>
      <c r="FI263" s="385"/>
      <c r="FJ263" s="385"/>
      <c r="FK263" s="332"/>
      <c r="FL263" s="385"/>
      <c r="FM263" s="385"/>
      <c r="FN263" s="385"/>
      <c r="FO263" s="385"/>
      <c r="FP263" s="385"/>
      <c r="FQ263" s="332"/>
      <c r="FR263" s="385"/>
      <c r="FS263" s="385"/>
      <c r="FT263" s="385"/>
      <c r="FU263" s="385"/>
      <c r="FV263" s="385"/>
      <c r="FW263" s="332"/>
      <c r="FX263" s="385"/>
      <c r="FY263" s="385"/>
      <c r="FZ263" s="385"/>
      <c r="GA263" s="385"/>
      <c r="GB263" s="385"/>
      <c r="GC263" s="332"/>
      <c r="GD263" s="385"/>
      <c r="GE263" s="385"/>
      <c r="GF263" s="385"/>
      <c r="GG263" s="385"/>
      <c r="GH263" s="385"/>
      <c r="GI263" s="332"/>
      <c r="GJ263" s="385"/>
      <c r="GK263" s="385"/>
      <c r="GL263" s="385"/>
      <c r="GM263" s="385"/>
      <c r="GN263" s="385"/>
      <c r="GO263" s="332"/>
      <c r="GP263" s="385"/>
      <c r="GQ263" s="385"/>
      <c r="GR263" s="385"/>
      <c r="GS263" s="385"/>
      <c r="GT263" s="385"/>
      <c r="GU263" s="332"/>
      <c r="GV263" s="385"/>
      <c r="GW263" s="385"/>
      <c r="GX263" s="385"/>
      <c r="GY263" s="385"/>
      <c r="GZ263" s="385"/>
      <c r="HA263" s="332"/>
      <c r="HB263" s="385"/>
      <c r="HC263" s="385"/>
      <c r="HD263" s="385"/>
      <c r="HE263" s="385"/>
      <c r="HF263" s="385"/>
      <c r="HG263" s="332"/>
      <c r="HH263" s="385"/>
      <c r="HI263" s="385"/>
      <c r="HJ263" s="385"/>
      <c r="HK263" s="385"/>
      <c r="HL263" s="385"/>
      <c r="HM263" s="332"/>
      <c r="HN263" s="385"/>
      <c r="HO263" s="385"/>
      <c r="HP263" s="385"/>
      <c r="HQ263" s="385"/>
      <c r="HR263" s="385"/>
      <c r="HS263" s="332"/>
      <c r="HT263" s="385"/>
      <c r="HU263" s="385"/>
      <c r="HV263" s="385"/>
      <c r="HW263" s="385"/>
      <c r="HX263" s="385"/>
      <c r="HY263" s="332"/>
      <c r="HZ263" s="385"/>
      <c r="IA263" s="385"/>
      <c r="IB263" s="385"/>
      <c r="IC263" s="385"/>
      <c r="ID263" s="385"/>
      <c r="IE263" s="332"/>
      <c r="IF263" s="385"/>
      <c r="IG263" s="385"/>
      <c r="IH263" s="385"/>
      <c r="II263" s="385"/>
      <c r="IJ263" s="385"/>
      <c r="IK263" s="332"/>
      <c r="IL263" s="385"/>
      <c r="IM263" s="385"/>
      <c r="IN263" s="385"/>
      <c r="IO263" s="385"/>
      <c r="IP263" s="385"/>
      <c r="IQ263" s="332"/>
      <c r="IR263" s="385"/>
    </row>
    <row r="264" spans="1:252" ht="15.75">
      <c r="A264" s="230">
        <f>'Appendix A'!A111</f>
        <v>53</v>
      </c>
      <c r="B264" s="95"/>
      <c r="C264" s="154" t="str">
        <f>'Appendix A'!C111</f>
        <v>Transmission O&amp;M</v>
      </c>
      <c r="D264" s="95"/>
      <c r="E264" s="883"/>
      <c r="F264" s="231"/>
      <c r="G264" s="979" t="s">
        <v>33</v>
      </c>
      <c r="H264" s="1094">
        <f>INDEX(Inputs_EndYrBal,MATCH(G264,Inputs_FF1_Map,0))</f>
        <v>204805841</v>
      </c>
      <c r="I264" s="1126">
        <f>Inputs!E98+Inputs!E99</f>
        <v>47773.26</v>
      </c>
      <c r="J264" s="1127">
        <f>H264+I264</f>
        <v>204853614.25999999</v>
      </c>
      <c r="K264" s="249"/>
      <c r="L264" s="883"/>
      <c r="M264" s="912"/>
      <c r="N264" s="95"/>
      <c r="O264" s="311"/>
      <c r="P264" s="2247" t="s">
        <v>2103</v>
      </c>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s="349" customFormat="1">
      <c r="A265" s="230"/>
      <c r="B265" s="883"/>
      <c r="C265" s="332"/>
      <c r="D265" s="883"/>
      <c r="E265" s="883"/>
      <c r="F265" s="231"/>
      <c r="G265" s="1119"/>
      <c r="H265" s="626"/>
      <c r="I265" s="1128"/>
      <c r="J265" s="631"/>
      <c r="K265" s="249"/>
      <c r="L265" s="883"/>
      <c r="M265" s="912"/>
      <c r="N265" s="883"/>
      <c r="O265" s="311"/>
      <c r="P265" s="2247" t="s">
        <v>2103</v>
      </c>
      <c r="Q265" s="332"/>
      <c r="R265" s="883"/>
      <c r="S265" s="883"/>
      <c r="T265" s="883"/>
      <c r="U265" s="883"/>
      <c r="V265" s="883"/>
      <c r="W265" s="332"/>
      <c r="X265" s="883"/>
      <c r="Y265" s="883"/>
      <c r="Z265" s="883"/>
      <c r="AA265" s="883"/>
      <c r="AB265" s="883"/>
      <c r="AC265" s="332"/>
      <c r="AD265" s="883"/>
      <c r="AE265" s="883"/>
      <c r="AF265" s="883"/>
      <c r="AG265" s="883"/>
      <c r="AH265" s="883"/>
      <c r="AI265" s="332"/>
      <c r="AJ265" s="883"/>
      <c r="AK265" s="883"/>
      <c r="AL265" s="883"/>
      <c r="AM265" s="883"/>
      <c r="AN265" s="883"/>
      <c r="AO265" s="332"/>
      <c r="AP265" s="883"/>
      <c r="AQ265" s="883"/>
      <c r="AR265" s="883"/>
      <c r="AS265" s="883"/>
      <c r="AT265" s="883"/>
      <c r="AU265" s="332"/>
      <c r="AV265" s="883"/>
      <c r="AW265" s="883"/>
      <c r="AX265" s="883"/>
      <c r="AY265" s="883"/>
      <c r="AZ265" s="883"/>
      <c r="BA265" s="332"/>
      <c r="BB265" s="883"/>
      <c r="BC265" s="883"/>
      <c r="BD265" s="883"/>
      <c r="BE265" s="883"/>
      <c r="BF265" s="883"/>
      <c r="BG265" s="332"/>
      <c r="BH265" s="883"/>
      <c r="BI265" s="883"/>
      <c r="BJ265" s="883"/>
      <c r="BK265" s="883"/>
      <c r="BL265" s="883"/>
      <c r="BM265" s="332"/>
      <c r="BN265" s="883"/>
      <c r="BO265" s="883"/>
      <c r="BP265" s="883"/>
      <c r="BQ265" s="883"/>
      <c r="BR265" s="883"/>
      <c r="BS265" s="332"/>
      <c r="BT265" s="883"/>
      <c r="BU265" s="883"/>
      <c r="BV265" s="883"/>
      <c r="BW265" s="883"/>
      <c r="BX265" s="883"/>
      <c r="BY265" s="332"/>
      <c r="BZ265" s="883"/>
      <c r="CA265" s="883"/>
      <c r="CB265" s="883"/>
      <c r="CC265" s="883"/>
      <c r="CD265" s="883"/>
      <c r="CE265" s="332"/>
      <c r="CF265" s="883"/>
      <c r="CG265" s="883"/>
      <c r="CH265" s="883"/>
      <c r="CI265" s="883"/>
      <c r="CJ265" s="883"/>
      <c r="CK265" s="332"/>
      <c r="CL265" s="883"/>
      <c r="CM265" s="883"/>
      <c r="CN265" s="883"/>
      <c r="CO265" s="883"/>
      <c r="CP265" s="883"/>
      <c r="CQ265" s="332"/>
      <c r="CR265" s="883"/>
      <c r="CS265" s="883"/>
      <c r="CT265" s="883"/>
      <c r="CU265" s="883"/>
      <c r="CV265" s="883"/>
      <c r="CW265" s="332"/>
      <c r="CX265" s="883"/>
      <c r="CY265" s="883"/>
      <c r="CZ265" s="883"/>
      <c r="DA265" s="883"/>
      <c r="DB265" s="883"/>
      <c r="DC265" s="332"/>
      <c r="DD265" s="883"/>
      <c r="DE265" s="883"/>
      <c r="DF265" s="883"/>
      <c r="DG265" s="883"/>
      <c r="DH265" s="883"/>
      <c r="DI265" s="332"/>
      <c r="DJ265" s="883"/>
      <c r="DK265" s="883"/>
      <c r="DL265" s="883"/>
      <c r="DM265" s="883"/>
      <c r="DN265" s="883"/>
      <c r="DO265" s="332"/>
      <c r="DP265" s="883"/>
      <c r="DQ265" s="883"/>
      <c r="DR265" s="883"/>
      <c r="DS265" s="883"/>
      <c r="DT265" s="883"/>
      <c r="DU265" s="332"/>
      <c r="DV265" s="883"/>
      <c r="DW265" s="883"/>
      <c r="DX265" s="883"/>
      <c r="DY265" s="883"/>
      <c r="DZ265" s="883"/>
      <c r="EA265" s="332"/>
      <c r="EB265" s="883"/>
      <c r="EC265" s="883"/>
      <c r="ED265" s="883"/>
      <c r="EE265" s="883"/>
      <c r="EF265" s="883"/>
      <c r="EG265" s="332"/>
      <c r="EH265" s="883"/>
      <c r="EI265" s="883"/>
      <c r="EJ265" s="883"/>
      <c r="EK265" s="883"/>
      <c r="EL265" s="883"/>
      <c r="EM265" s="332"/>
      <c r="EN265" s="883"/>
      <c r="EO265" s="883"/>
      <c r="EP265" s="883"/>
      <c r="EQ265" s="883"/>
      <c r="ER265" s="883"/>
      <c r="ES265" s="332"/>
      <c r="ET265" s="883"/>
      <c r="EU265" s="883"/>
      <c r="EV265" s="883"/>
      <c r="EW265" s="883"/>
      <c r="EX265" s="883"/>
      <c r="EY265" s="332"/>
      <c r="EZ265" s="883"/>
      <c r="FA265" s="883"/>
      <c r="FB265" s="883"/>
      <c r="FC265" s="883"/>
      <c r="FD265" s="883"/>
      <c r="FE265" s="332"/>
      <c r="FF265" s="883"/>
      <c r="FG265" s="883"/>
      <c r="FH265" s="883"/>
      <c r="FI265" s="883"/>
      <c r="FJ265" s="883"/>
      <c r="FK265" s="332"/>
      <c r="FL265" s="883"/>
      <c r="FM265" s="883"/>
      <c r="FN265" s="883"/>
      <c r="FO265" s="883"/>
      <c r="FP265" s="883"/>
      <c r="FQ265" s="332"/>
      <c r="FR265" s="883"/>
      <c r="FS265" s="883"/>
      <c r="FT265" s="883"/>
      <c r="FU265" s="883"/>
      <c r="FV265" s="883"/>
      <c r="FW265" s="332"/>
      <c r="FX265" s="883"/>
      <c r="FY265" s="883"/>
      <c r="FZ265" s="883"/>
      <c r="GA265" s="883"/>
      <c r="GB265" s="883"/>
      <c r="GC265" s="332"/>
      <c r="GD265" s="883"/>
      <c r="GE265" s="883"/>
      <c r="GF265" s="883"/>
      <c r="GG265" s="883"/>
      <c r="GH265" s="883"/>
      <c r="GI265" s="332"/>
      <c r="GJ265" s="883"/>
      <c r="GK265" s="883"/>
      <c r="GL265" s="883"/>
      <c r="GM265" s="883"/>
      <c r="GN265" s="883"/>
      <c r="GO265" s="332"/>
      <c r="GP265" s="883"/>
      <c r="GQ265" s="883"/>
      <c r="GR265" s="883"/>
      <c r="GS265" s="883"/>
      <c r="GT265" s="883"/>
      <c r="GU265" s="332"/>
      <c r="GV265" s="883"/>
      <c r="GW265" s="883"/>
      <c r="GX265" s="883"/>
      <c r="GY265" s="883"/>
      <c r="GZ265" s="883"/>
      <c r="HA265" s="332"/>
      <c r="HB265" s="883"/>
      <c r="HC265" s="883"/>
      <c r="HD265" s="883"/>
      <c r="HE265" s="883"/>
      <c r="HF265" s="883"/>
      <c r="HG265" s="332"/>
      <c r="HH265" s="883"/>
      <c r="HI265" s="883"/>
      <c r="HJ265" s="883"/>
      <c r="HK265" s="883"/>
      <c r="HL265" s="883"/>
      <c r="HM265" s="332"/>
      <c r="HN265" s="883"/>
      <c r="HO265" s="883"/>
      <c r="HP265" s="883"/>
      <c r="HQ265" s="883"/>
      <c r="HR265" s="883"/>
      <c r="HS265" s="332"/>
      <c r="HT265" s="883"/>
      <c r="HU265" s="883"/>
      <c r="HV265" s="883"/>
      <c r="HW265" s="883"/>
      <c r="HX265" s="883"/>
      <c r="HY265" s="332"/>
      <c r="HZ265" s="883"/>
      <c r="IA265" s="883"/>
      <c r="IB265" s="883"/>
      <c r="IC265" s="883"/>
      <c r="ID265" s="883"/>
      <c r="IE265" s="332"/>
      <c r="IF265" s="883"/>
      <c r="IG265" s="883"/>
      <c r="IH265" s="883"/>
      <c r="II265" s="883"/>
      <c r="IJ265" s="883"/>
      <c r="IK265" s="332"/>
      <c r="IL265" s="883"/>
      <c r="IM265" s="883"/>
      <c r="IN265" s="883"/>
      <c r="IO265" s="883"/>
      <c r="IP265" s="883"/>
      <c r="IQ265" s="332"/>
      <c r="IR265" s="883"/>
    </row>
    <row r="266" spans="1:252" s="349" customFormat="1" ht="15.75">
      <c r="A266" s="230"/>
      <c r="B266" s="883"/>
      <c r="C266" s="17" t="s">
        <v>1112</v>
      </c>
      <c r="D266" s="883"/>
      <c r="E266" s="883"/>
      <c r="F266" s="231"/>
      <c r="G266" s="1119"/>
      <c r="H266" s="626"/>
      <c r="I266" s="1128"/>
      <c r="J266" s="631"/>
      <c r="K266" s="249"/>
      <c r="L266" s="883"/>
      <c r="M266" s="912"/>
      <c r="N266" s="883"/>
      <c r="O266" s="311"/>
      <c r="P266" s="2247" t="s">
        <v>2103</v>
      </c>
      <c r="Q266" s="332"/>
      <c r="R266" s="883"/>
      <c r="S266" s="883"/>
      <c r="T266" s="883"/>
      <c r="U266" s="883"/>
      <c r="V266" s="883"/>
      <c r="W266" s="332"/>
      <c r="X266" s="883"/>
      <c r="Y266" s="883"/>
      <c r="Z266" s="883"/>
      <c r="AA266" s="883"/>
      <c r="AB266" s="883"/>
      <c r="AC266" s="332"/>
      <c r="AD266" s="883"/>
      <c r="AE266" s="883"/>
      <c r="AF266" s="883"/>
      <c r="AG266" s="883"/>
      <c r="AH266" s="883"/>
      <c r="AI266" s="332"/>
      <c r="AJ266" s="883"/>
      <c r="AK266" s="883"/>
      <c r="AL266" s="883"/>
      <c r="AM266" s="883"/>
      <c r="AN266" s="883"/>
      <c r="AO266" s="332"/>
      <c r="AP266" s="883"/>
      <c r="AQ266" s="883"/>
      <c r="AR266" s="883"/>
      <c r="AS266" s="883"/>
      <c r="AT266" s="883"/>
      <c r="AU266" s="332"/>
      <c r="AV266" s="883"/>
      <c r="AW266" s="883"/>
      <c r="AX266" s="883"/>
      <c r="AY266" s="883"/>
      <c r="AZ266" s="883"/>
      <c r="BA266" s="332"/>
      <c r="BB266" s="883"/>
      <c r="BC266" s="883"/>
      <c r="BD266" s="883"/>
      <c r="BE266" s="883"/>
      <c r="BF266" s="883"/>
      <c r="BG266" s="332"/>
      <c r="BH266" s="883"/>
      <c r="BI266" s="883"/>
      <c r="BJ266" s="883"/>
      <c r="BK266" s="883"/>
      <c r="BL266" s="883"/>
      <c r="BM266" s="332"/>
      <c r="BN266" s="883"/>
      <c r="BO266" s="883"/>
      <c r="BP266" s="883"/>
      <c r="BQ266" s="883"/>
      <c r="BR266" s="883"/>
      <c r="BS266" s="332"/>
      <c r="BT266" s="883"/>
      <c r="BU266" s="883"/>
      <c r="BV266" s="883"/>
      <c r="BW266" s="883"/>
      <c r="BX266" s="883"/>
      <c r="BY266" s="332"/>
      <c r="BZ266" s="883"/>
      <c r="CA266" s="883"/>
      <c r="CB266" s="883"/>
      <c r="CC266" s="883"/>
      <c r="CD266" s="883"/>
      <c r="CE266" s="332"/>
      <c r="CF266" s="883"/>
      <c r="CG266" s="883"/>
      <c r="CH266" s="883"/>
      <c r="CI266" s="883"/>
      <c r="CJ266" s="883"/>
      <c r="CK266" s="332"/>
      <c r="CL266" s="883"/>
      <c r="CM266" s="883"/>
      <c r="CN266" s="883"/>
      <c r="CO266" s="883"/>
      <c r="CP266" s="883"/>
      <c r="CQ266" s="332"/>
      <c r="CR266" s="883"/>
      <c r="CS266" s="883"/>
      <c r="CT266" s="883"/>
      <c r="CU266" s="883"/>
      <c r="CV266" s="883"/>
      <c r="CW266" s="332"/>
      <c r="CX266" s="883"/>
      <c r="CY266" s="883"/>
      <c r="CZ266" s="883"/>
      <c r="DA266" s="883"/>
      <c r="DB266" s="883"/>
      <c r="DC266" s="332"/>
      <c r="DD266" s="883"/>
      <c r="DE266" s="883"/>
      <c r="DF266" s="883"/>
      <c r="DG266" s="883"/>
      <c r="DH266" s="883"/>
      <c r="DI266" s="332"/>
      <c r="DJ266" s="883"/>
      <c r="DK266" s="883"/>
      <c r="DL266" s="883"/>
      <c r="DM266" s="883"/>
      <c r="DN266" s="883"/>
      <c r="DO266" s="332"/>
      <c r="DP266" s="883"/>
      <c r="DQ266" s="883"/>
      <c r="DR266" s="883"/>
      <c r="DS266" s="883"/>
      <c r="DT266" s="883"/>
      <c r="DU266" s="332"/>
      <c r="DV266" s="883"/>
      <c r="DW266" s="883"/>
      <c r="DX266" s="883"/>
      <c r="DY266" s="883"/>
      <c r="DZ266" s="883"/>
      <c r="EA266" s="332"/>
      <c r="EB266" s="883"/>
      <c r="EC266" s="883"/>
      <c r="ED266" s="883"/>
      <c r="EE266" s="883"/>
      <c r="EF266" s="883"/>
      <c r="EG266" s="332"/>
      <c r="EH266" s="883"/>
      <c r="EI266" s="883"/>
      <c r="EJ266" s="883"/>
      <c r="EK266" s="883"/>
      <c r="EL266" s="883"/>
      <c r="EM266" s="332"/>
      <c r="EN266" s="883"/>
      <c r="EO266" s="883"/>
      <c r="EP266" s="883"/>
      <c r="EQ266" s="883"/>
      <c r="ER266" s="883"/>
      <c r="ES266" s="332"/>
      <c r="ET266" s="883"/>
      <c r="EU266" s="883"/>
      <c r="EV266" s="883"/>
      <c r="EW266" s="883"/>
      <c r="EX266" s="883"/>
      <c r="EY266" s="332"/>
      <c r="EZ266" s="883"/>
      <c r="FA266" s="883"/>
      <c r="FB266" s="883"/>
      <c r="FC266" s="883"/>
      <c r="FD266" s="883"/>
      <c r="FE266" s="332"/>
      <c r="FF266" s="883"/>
      <c r="FG266" s="883"/>
      <c r="FH266" s="883"/>
      <c r="FI266" s="883"/>
      <c r="FJ266" s="883"/>
      <c r="FK266" s="332"/>
      <c r="FL266" s="883"/>
      <c r="FM266" s="883"/>
      <c r="FN266" s="883"/>
      <c r="FO266" s="883"/>
      <c r="FP266" s="883"/>
      <c r="FQ266" s="332"/>
      <c r="FR266" s="883"/>
      <c r="FS266" s="883"/>
      <c r="FT266" s="883"/>
      <c r="FU266" s="883"/>
      <c r="FV266" s="883"/>
      <c r="FW266" s="332"/>
      <c r="FX266" s="883"/>
      <c r="FY266" s="883"/>
      <c r="FZ266" s="883"/>
      <c r="GA266" s="883"/>
      <c r="GB266" s="883"/>
      <c r="GC266" s="332"/>
      <c r="GD266" s="883"/>
      <c r="GE266" s="883"/>
      <c r="GF266" s="883"/>
      <c r="GG266" s="883"/>
      <c r="GH266" s="883"/>
      <c r="GI266" s="332"/>
      <c r="GJ266" s="883"/>
      <c r="GK266" s="883"/>
      <c r="GL266" s="883"/>
      <c r="GM266" s="883"/>
      <c r="GN266" s="883"/>
      <c r="GO266" s="332"/>
      <c r="GP266" s="883"/>
      <c r="GQ266" s="883"/>
      <c r="GR266" s="883"/>
      <c r="GS266" s="883"/>
      <c r="GT266" s="883"/>
      <c r="GU266" s="332"/>
      <c r="GV266" s="883"/>
      <c r="GW266" s="883"/>
      <c r="GX266" s="883"/>
      <c r="GY266" s="883"/>
      <c r="GZ266" s="883"/>
      <c r="HA266" s="332"/>
      <c r="HB266" s="883"/>
      <c r="HC266" s="883"/>
      <c r="HD266" s="883"/>
      <c r="HE266" s="883"/>
      <c r="HF266" s="883"/>
      <c r="HG266" s="332"/>
      <c r="HH266" s="883"/>
      <c r="HI266" s="883"/>
      <c r="HJ266" s="883"/>
      <c r="HK266" s="883"/>
      <c r="HL266" s="883"/>
      <c r="HM266" s="332"/>
      <c r="HN266" s="883"/>
      <c r="HO266" s="883"/>
      <c r="HP266" s="883"/>
      <c r="HQ266" s="883"/>
      <c r="HR266" s="883"/>
      <c r="HS266" s="332"/>
      <c r="HT266" s="883"/>
      <c r="HU266" s="883"/>
      <c r="HV266" s="883"/>
      <c r="HW266" s="883"/>
      <c r="HX266" s="883"/>
      <c r="HY266" s="332"/>
      <c r="HZ266" s="883"/>
      <c r="IA266" s="883"/>
      <c r="IB266" s="883"/>
      <c r="IC266" s="883"/>
      <c r="ID266" s="883"/>
      <c r="IE266" s="332"/>
      <c r="IF266" s="883"/>
      <c r="IG266" s="883"/>
      <c r="IH266" s="883"/>
      <c r="II266" s="883"/>
      <c r="IJ266" s="883"/>
      <c r="IK266" s="332"/>
      <c r="IL266" s="883"/>
      <c r="IM266" s="883"/>
      <c r="IN266" s="883"/>
      <c r="IO266" s="883"/>
      <c r="IP266" s="883"/>
      <c r="IQ266" s="332"/>
      <c r="IR266" s="883"/>
    </row>
    <row r="267" spans="1:252" s="349" customFormat="1">
      <c r="A267" s="230"/>
      <c r="B267" s="883"/>
      <c r="C267" s="469" t="s">
        <v>1110</v>
      </c>
      <c r="D267" s="883"/>
      <c r="E267" s="883"/>
      <c r="F267" s="231"/>
      <c r="G267" s="979" t="s">
        <v>639</v>
      </c>
      <c r="H267" s="1094">
        <f t="shared" ref="H267:H272" si="12">INDEX(Inputs_EndYrBal,MATCH(G267,Inputs_FF1_Map,0))</f>
        <v>0</v>
      </c>
      <c r="I267" s="1128"/>
      <c r="J267" s="631"/>
      <c r="K267" s="249"/>
      <c r="L267" s="883"/>
      <c r="M267" s="912"/>
      <c r="N267" s="883"/>
      <c r="O267" s="311"/>
      <c r="P267" s="2247" t="s">
        <v>2103</v>
      </c>
      <c r="Q267" s="332"/>
      <c r="R267" s="883"/>
      <c r="S267" s="883"/>
      <c r="T267" s="883"/>
      <c r="U267" s="883"/>
      <c r="V267" s="883"/>
      <c r="W267" s="332"/>
      <c r="X267" s="883"/>
      <c r="Y267" s="883"/>
      <c r="Z267" s="883"/>
      <c r="AA267" s="883"/>
      <c r="AB267" s="883"/>
      <c r="AC267" s="332"/>
      <c r="AD267" s="883"/>
      <c r="AE267" s="883"/>
      <c r="AF267" s="883"/>
      <c r="AG267" s="883"/>
      <c r="AH267" s="883"/>
      <c r="AI267" s="332"/>
      <c r="AJ267" s="883"/>
      <c r="AK267" s="883"/>
      <c r="AL267" s="883"/>
      <c r="AM267" s="883"/>
      <c r="AN267" s="883"/>
      <c r="AO267" s="332"/>
      <c r="AP267" s="883"/>
      <c r="AQ267" s="883"/>
      <c r="AR267" s="883"/>
      <c r="AS267" s="883"/>
      <c r="AT267" s="883"/>
      <c r="AU267" s="332"/>
      <c r="AV267" s="883"/>
      <c r="AW267" s="883"/>
      <c r="AX267" s="883"/>
      <c r="AY267" s="883"/>
      <c r="AZ267" s="883"/>
      <c r="BA267" s="332"/>
      <c r="BB267" s="883"/>
      <c r="BC267" s="883"/>
      <c r="BD267" s="883"/>
      <c r="BE267" s="883"/>
      <c r="BF267" s="883"/>
      <c r="BG267" s="332"/>
      <c r="BH267" s="883"/>
      <c r="BI267" s="883"/>
      <c r="BJ267" s="883"/>
      <c r="BK267" s="883"/>
      <c r="BL267" s="883"/>
      <c r="BM267" s="332"/>
      <c r="BN267" s="883"/>
      <c r="BO267" s="883"/>
      <c r="BP267" s="883"/>
      <c r="BQ267" s="883"/>
      <c r="BR267" s="883"/>
      <c r="BS267" s="332"/>
      <c r="BT267" s="883"/>
      <c r="BU267" s="883"/>
      <c r="BV267" s="883"/>
      <c r="BW267" s="883"/>
      <c r="BX267" s="883"/>
      <c r="BY267" s="332"/>
      <c r="BZ267" s="883"/>
      <c r="CA267" s="883"/>
      <c r="CB267" s="883"/>
      <c r="CC267" s="883"/>
      <c r="CD267" s="883"/>
      <c r="CE267" s="332"/>
      <c r="CF267" s="883"/>
      <c r="CG267" s="883"/>
      <c r="CH267" s="883"/>
      <c r="CI267" s="883"/>
      <c r="CJ267" s="883"/>
      <c r="CK267" s="332"/>
      <c r="CL267" s="883"/>
      <c r="CM267" s="883"/>
      <c r="CN267" s="883"/>
      <c r="CO267" s="883"/>
      <c r="CP267" s="883"/>
      <c r="CQ267" s="332"/>
      <c r="CR267" s="883"/>
      <c r="CS267" s="883"/>
      <c r="CT267" s="883"/>
      <c r="CU267" s="883"/>
      <c r="CV267" s="883"/>
      <c r="CW267" s="332"/>
      <c r="CX267" s="883"/>
      <c r="CY267" s="883"/>
      <c r="CZ267" s="883"/>
      <c r="DA267" s="883"/>
      <c r="DB267" s="883"/>
      <c r="DC267" s="332"/>
      <c r="DD267" s="883"/>
      <c r="DE267" s="883"/>
      <c r="DF267" s="883"/>
      <c r="DG267" s="883"/>
      <c r="DH267" s="883"/>
      <c r="DI267" s="332"/>
      <c r="DJ267" s="883"/>
      <c r="DK267" s="883"/>
      <c r="DL267" s="883"/>
      <c r="DM267" s="883"/>
      <c r="DN267" s="883"/>
      <c r="DO267" s="332"/>
      <c r="DP267" s="883"/>
      <c r="DQ267" s="883"/>
      <c r="DR267" s="883"/>
      <c r="DS267" s="883"/>
      <c r="DT267" s="883"/>
      <c r="DU267" s="332"/>
      <c r="DV267" s="883"/>
      <c r="DW267" s="883"/>
      <c r="DX267" s="883"/>
      <c r="DY267" s="883"/>
      <c r="DZ267" s="883"/>
      <c r="EA267" s="332"/>
      <c r="EB267" s="883"/>
      <c r="EC267" s="883"/>
      <c r="ED267" s="883"/>
      <c r="EE267" s="883"/>
      <c r="EF267" s="883"/>
      <c r="EG267" s="332"/>
      <c r="EH267" s="883"/>
      <c r="EI267" s="883"/>
      <c r="EJ267" s="883"/>
      <c r="EK267" s="883"/>
      <c r="EL267" s="883"/>
      <c r="EM267" s="332"/>
      <c r="EN267" s="883"/>
      <c r="EO267" s="883"/>
      <c r="EP267" s="883"/>
      <c r="EQ267" s="883"/>
      <c r="ER267" s="883"/>
      <c r="ES267" s="332"/>
      <c r="ET267" s="883"/>
      <c r="EU267" s="883"/>
      <c r="EV267" s="883"/>
      <c r="EW267" s="883"/>
      <c r="EX267" s="883"/>
      <c r="EY267" s="332"/>
      <c r="EZ267" s="883"/>
      <c r="FA267" s="883"/>
      <c r="FB267" s="883"/>
      <c r="FC267" s="883"/>
      <c r="FD267" s="883"/>
      <c r="FE267" s="332"/>
      <c r="FF267" s="883"/>
      <c r="FG267" s="883"/>
      <c r="FH267" s="883"/>
      <c r="FI267" s="883"/>
      <c r="FJ267" s="883"/>
      <c r="FK267" s="332"/>
      <c r="FL267" s="883"/>
      <c r="FM267" s="883"/>
      <c r="FN267" s="883"/>
      <c r="FO267" s="883"/>
      <c r="FP267" s="883"/>
      <c r="FQ267" s="332"/>
      <c r="FR267" s="883"/>
      <c r="FS267" s="883"/>
      <c r="FT267" s="883"/>
      <c r="FU267" s="883"/>
      <c r="FV267" s="883"/>
      <c r="FW267" s="332"/>
      <c r="FX267" s="883"/>
      <c r="FY267" s="883"/>
      <c r="FZ267" s="883"/>
      <c r="GA267" s="883"/>
      <c r="GB267" s="883"/>
      <c r="GC267" s="332"/>
      <c r="GD267" s="883"/>
      <c r="GE267" s="883"/>
      <c r="GF267" s="883"/>
      <c r="GG267" s="883"/>
      <c r="GH267" s="883"/>
      <c r="GI267" s="332"/>
      <c r="GJ267" s="883"/>
      <c r="GK267" s="883"/>
      <c r="GL267" s="883"/>
      <c r="GM267" s="883"/>
      <c r="GN267" s="883"/>
      <c r="GO267" s="332"/>
      <c r="GP267" s="883"/>
      <c r="GQ267" s="883"/>
      <c r="GR267" s="883"/>
      <c r="GS267" s="883"/>
      <c r="GT267" s="883"/>
      <c r="GU267" s="332"/>
      <c r="GV267" s="883"/>
      <c r="GW267" s="883"/>
      <c r="GX267" s="883"/>
      <c r="GY267" s="883"/>
      <c r="GZ267" s="883"/>
      <c r="HA267" s="332"/>
      <c r="HB267" s="883"/>
      <c r="HC267" s="883"/>
      <c r="HD267" s="883"/>
      <c r="HE267" s="883"/>
      <c r="HF267" s="883"/>
      <c r="HG267" s="332"/>
      <c r="HH267" s="883"/>
      <c r="HI267" s="883"/>
      <c r="HJ267" s="883"/>
      <c r="HK267" s="883"/>
      <c r="HL267" s="883"/>
      <c r="HM267" s="332"/>
      <c r="HN267" s="883"/>
      <c r="HO267" s="883"/>
      <c r="HP267" s="883"/>
      <c r="HQ267" s="883"/>
      <c r="HR267" s="883"/>
      <c r="HS267" s="332"/>
      <c r="HT267" s="883"/>
      <c r="HU267" s="883"/>
      <c r="HV267" s="883"/>
      <c r="HW267" s="883"/>
      <c r="HX267" s="883"/>
      <c r="HY267" s="332"/>
      <c r="HZ267" s="883"/>
      <c r="IA267" s="883"/>
      <c r="IB267" s="883"/>
      <c r="IC267" s="883"/>
      <c r="ID267" s="883"/>
      <c r="IE267" s="332"/>
      <c r="IF267" s="883"/>
      <c r="IG267" s="883"/>
      <c r="IH267" s="883"/>
      <c r="II267" s="883"/>
      <c r="IJ267" s="883"/>
      <c r="IK267" s="332"/>
      <c r="IL267" s="883"/>
      <c r="IM267" s="883"/>
      <c r="IN267" s="883"/>
      <c r="IO267" s="883"/>
      <c r="IP267" s="883"/>
      <c r="IQ267" s="332"/>
      <c r="IR267" s="883"/>
    </row>
    <row r="268" spans="1:252" s="349" customFormat="1">
      <c r="A268" s="230"/>
      <c r="B268" s="883"/>
      <c r="C268" s="469" t="s">
        <v>1017</v>
      </c>
      <c r="D268" s="883"/>
      <c r="E268" s="883"/>
      <c r="F268" s="231"/>
      <c r="G268" s="979" t="s">
        <v>1111</v>
      </c>
      <c r="H268" s="1094">
        <f t="shared" si="12"/>
        <v>0</v>
      </c>
      <c r="I268" s="1128"/>
      <c r="J268" s="631"/>
      <c r="K268" s="249"/>
      <c r="L268" s="883"/>
      <c r="M268" s="912"/>
      <c r="N268" s="883"/>
      <c r="O268" s="311"/>
      <c r="P268" s="2247" t="s">
        <v>2103</v>
      </c>
      <c r="Q268" s="332"/>
      <c r="R268" s="883"/>
      <c r="S268" s="883"/>
      <c r="T268" s="883"/>
      <c r="U268" s="883"/>
      <c r="V268" s="883"/>
      <c r="W268" s="332"/>
      <c r="X268" s="883"/>
      <c r="Y268" s="883"/>
      <c r="Z268" s="883"/>
      <c r="AA268" s="883"/>
      <c r="AB268" s="883"/>
      <c r="AC268" s="332"/>
      <c r="AD268" s="883"/>
      <c r="AE268" s="883"/>
      <c r="AF268" s="883"/>
      <c r="AG268" s="883"/>
      <c r="AH268" s="883"/>
      <c r="AI268" s="332"/>
      <c r="AJ268" s="883"/>
      <c r="AK268" s="883"/>
      <c r="AL268" s="883"/>
      <c r="AM268" s="883"/>
      <c r="AN268" s="883"/>
      <c r="AO268" s="332"/>
      <c r="AP268" s="883"/>
      <c r="AQ268" s="883"/>
      <c r="AR268" s="883"/>
      <c r="AS268" s="883"/>
      <c r="AT268" s="883"/>
      <c r="AU268" s="332"/>
      <c r="AV268" s="883"/>
      <c r="AW268" s="883"/>
      <c r="AX268" s="883"/>
      <c r="AY268" s="883"/>
      <c r="AZ268" s="883"/>
      <c r="BA268" s="332"/>
      <c r="BB268" s="883"/>
      <c r="BC268" s="883"/>
      <c r="BD268" s="883"/>
      <c r="BE268" s="883"/>
      <c r="BF268" s="883"/>
      <c r="BG268" s="332"/>
      <c r="BH268" s="883"/>
      <c r="BI268" s="883"/>
      <c r="BJ268" s="883"/>
      <c r="BK268" s="883"/>
      <c r="BL268" s="883"/>
      <c r="BM268" s="332"/>
      <c r="BN268" s="883"/>
      <c r="BO268" s="883"/>
      <c r="BP268" s="883"/>
      <c r="BQ268" s="883"/>
      <c r="BR268" s="883"/>
      <c r="BS268" s="332"/>
      <c r="BT268" s="883"/>
      <c r="BU268" s="883"/>
      <c r="BV268" s="883"/>
      <c r="BW268" s="883"/>
      <c r="BX268" s="883"/>
      <c r="BY268" s="332"/>
      <c r="BZ268" s="883"/>
      <c r="CA268" s="883"/>
      <c r="CB268" s="883"/>
      <c r="CC268" s="883"/>
      <c r="CD268" s="883"/>
      <c r="CE268" s="332"/>
      <c r="CF268" s="883"/>
      <c r="CG268" s="883"/>
      <c r="CH268" s="883"/>
      <c r="CI268" s="883"/>
      <c r="CJ268" s="883"/>
      <c r="CK268" s="332"/>
      <c r="CL268" s="883"/>
      <c r="CM268" s="883"/>
      <c r="CN268" s="883"/>
      <c r="CO268" s="883"/>
      <c r="CP268" s="883"/>
      <c r="CQ268" s="332"/>
      <c r="CR268" s="883"/>
      <c r="CS268" s="883"/>
      <c r="CT268" s="883"/>
      <c r="CU268" s="883"/>
      <c r="CV268" s="883"/>
      <c r="CW268" s="332"/>
      <c r="CX268" s="883"/>
      <c r="CY268" s="883"/>
      <c r="CZ268" s="883"/>
      <c r="DA268" s="883"/>
      <c r="DB268" s="883"/>
      <c r="DC268" s="332"/>
      <c r="DD268" s="883"/>
      <c r="DE268" s="883"/>
      <c r="DF268" s="883"/>
      <c r="DG268" s="883"/>
      <c r="DH268" s="883"/>
      <c r="DI268" s="332"/>
      <c r="DJ268" s="883"/>
      <c r="DK268" s="883"/>
      <c r="DL268" s="883"/>
      <c r="DM268" s="883"/>
      <c r="DN268" s="883"/>
      <c r="DO268" s="332"/>
      <c r="DP268" s="883"/>
      <c r="DQ268" s="883"/>
      <c r="DR268" s="883"/>
      <c r="DS268" s="883"/>
      <c r="DT268" s="883"/>
      <c r="DU268" s="332"/>
      <c r="DV268" s="883"/>
      <c r="DW268" s="883"/>
      <c r="DX268" s="883"/>
      <c r="DY268" s="883"/>
      <c r="DZ268" s="883"/>
      <c r="EA268" s="332"/>
      <c r="EB268" s="883"/>
      <c r="EC268" s="883"/>
      <c r="ED268" s="883"/>
      <c r="EE268" s="883"/>
      <c r="EF268" s="883"/>
      <c r="EG268" s="332"/>
      <c r="EH268" s="883"/>
      <c r="EI268" s="883"/>
      <c r="EJ268" s="883"/>
      <c r="EK268" s="883"/>
      <c r="EL268" s="883"/>
      <c r="EM268" s="332"/>
      <c r="EN268" s="883"/>
      <c r="EO268" s="883"/>
      <c r="EP268" s="883"/>
      <c r="EQ268" s="883"/>
      <c r="ER268" s="883"/>
      <c r="ES268" s="332"/>
      <c r="ET268" s="883"/>
      <c r="EU268" s="883"/>
      <c r="EV268" s="883"/>
      <c r="EW268" s="883"/>
      <c r="EX268" s="883"/>
      <c r="EY268" s="332"/>
      <c r="EZ268" s="883"/>
      <c r="FA268" s="883"/>
      <c r="FB268" s="883"/>
      <c r="FC268" s="883"/>
      <c r="FD268" s="883"/>
      <c r="FE268" s="332"/>
      <c r="FF268" s="883"/>
      <c r="FG268" s="883"/>
      <c r="FH268" s="883"/>
      <c r="FI268" s="883"/>
      <c r="FJ268" s="883"/>
      <c r="FK268" s="332"/>
      <c r="FL268" s="883"/>
      <c r="FM268" s="883"/>
      <c r="FN268" s="883"/>
      <c r="FO268" s="883"/>
      <c r="FP268" s="883"/>
      <c r="FQ268" s="332"/>
      <c r="FR268" s="883"/>
      <c r="FS268" s="883"/>
      <c r="FT268" s="883"/>
      <c r="FU268" s="883"/>
      <c r="FV268" s="883"/>
      <c r="FW268" s="332"/>
      <c r="FX268" s="883"/>
      <c r="FY268" s="883"/>
      <c r="FZ268" s="883"/>
      <c r="GA268" s="883"/>
      <c r="GB268" s="883"/>
      <c r="GC268" s="332"/>
      <c r="GD268" s="883"/>
      <c r="GE268" s="883"/>
      <c r="GF268" s="883"/>
      <c r="GG268" s="883"/>
      <c r="GH268" s="883"/>
      <c r="GI268" s="332"/>
      <c r="GJ268" s="883"/>
      <c r="GK268" s="883"/>
      <c r="GL268" s="883"/>
      <c r="GM268" s="883"/>
      <c r="GN268" s="883"/>
      <c r="GO268" s="332"/>
      <c r="GP268" s="883"/>
      <c r="GQ268" s="883"/>
      <c r="GR268" s="883"/>
      <c r="GS268" s="883"/>
      <c r="GT268" s="883"/>
      <c r="GU268" s="332"/>
      <c r="GV268" s="883"/>
      <c r="GW268" s="883"/>
      <c r="GX268" s="883"/>
      <c r="GY268" s="883"/>
      <c r="GZ268" s="883"/>
      <c r="HA268" s="332"/>
      <c r="HB268" s="883"/>
      <c r="HC268" s="883"/>
      <c r="HD268" s="883"/>
      <c r="HE268" s="883"/>
      <c r="HF268" s="883"/>
      <c r="HG268" s="332"/>
      <c r="HH268" s="883"/>
      <c r="HI268" s="883"/>
      <c r="HJ268" s="883"/>
      <c r="HK268" s="883"/>
      <c r="HL268" s="883"/>
      <c r="HM268" s="332"/>
      <c r="HN268" s="883"/>
      <c r="HO268" s="883"/>
      <c r="HP268" s="883"/>
      <c r="HQ268" s="883"/>
      <c r="HR268" s="883"/>
      <c r="HS268" s="332"/>
      <c r="HT268" s="883"/>
      <c r="HU268" s="883"/>
      <c r="HV268" s="883"/>
      <c r="HW268" s="883"/>
      <c r="HX268" s="883"/>
      <c r="HY268" s="332"/>
      <c r="HZ268" s="883"/>
      <c r="IA268" s="883"/>
      <c r="IB268" s="883"/>
      <c r="IC268" s="883"/>
      <c r="ID268" s="883"/>
      <c r="IE268" s="332"/>
      <c r="IF268" s="883"/>
      <c r="IG268" s="883"/>
      <c r="IH268" s="883"/>
      <c r="II268" s="883"/>
      <c r="IJ268" s="883"/>
      <c r="IK268" s="332"/>
      <c r="IL268" s="883"/>
      <c r="IM268" s="883"/>
      <c r="IN268" s="883"/>
      <c r="IO268" s="883"/>
      <c r="IP268" s="883"/>
      <c r="IQ268" s="332"/>
      <c r="IR268" s="883"/>
    </row>
    <row r="269" spans="1:252" s="349" customFormat="1">
      <c r="A269" s="230"/>
      <c r="B269" s="883"/>
      <c r="C269" s="469" t="s">
        <v>1018</v>
      </c>
      <c r="D269" s="883"/>
      <c r="E269" s="883"/>
      <c r="F269" s="231"/>
      <c r="G269" s="979" t="s">
        <v>204</v>
      </c>
      <c r="H269" s="1094">
        <f>INDEX(Inputs_EndYrBal,MATCH(G269,Inputs_FF1_Map,0))</f>
        <v>6954702</v>
      </c>
      <c r="I269" s="1128"/>
      <c r="J269" s="631"/>
      <c r="K269" s="249"/>
      <c r="L269" s="883"/>
      <c r="M269" s="912"/>
      <c r="N269" s="883"/>
      <c r="O269" s="311"/>
      <c r="P269" s="2247" t="s">
        <v>2103</v>
      </c>
      <c r="Q269" s="332"/>
      <c r="R269" s="883"/>
      <c r="S269" s="883"/>
      <c r="T269" s="883"/>
      <c r="U269" s="883"/>
      <c r="V269" s="883"/>
      <c r="W269" s="332"/>
      <c r="X269" s="883"/>
      <c r="Y269" s="883"/>
      <c r="Z269" s="883"/>
      <c r="AA269" s="883"/>
      <c r="AB269" s="883"/>
      <c r="AC269" s="332"/>
      <c r="AD269" s="883"/>
      <c r="AE269" s="883"/>
      <c r="AF269" s="883"/>
      <c r="AG269" s="883"/>
      <c r="AH269" s="883"/>
      <c r="AI269" s="332"/>
      <c r="AJ269" s="883"/>
      <c r="AK269" s="883"/>
      <c r="AL269" s="883"/>
      <c r="AM269" s="883"/>
      <c r="AN269" s="883"/>
      <c r="AO269" s="332"/>
      <c r="AP269" s="883"/>
      <c r="AQ269" s="883"/>
      <c r="AR269" s="883"/>
      <c r="AS269" s="883"/>
      <c r="AT269" s="883"/>
      <c r="AU269" s="332"/>
      <c r="AV269" s="883"/>
      <c r="AW269" s="883"/>
      <c r="AX269" s="883"/>
      <c r="AY269" s="883"/>
      <c r="AZ269" s="883"/>
      <c r="BA269" s="332"/>
      <c r="BB269" s="883"/>
      <c r="BC269" s="883"/>
      <c r="BD269" s="883"/>
      <c r="BE269" s="883"/>
      <c r="BF269" s="883"/>
      <c r="BG269" s="332"/>
      <c r="BH269" s="883"/>
      <c r="BI269" s="883"/>
      <c r="BJ269" s="883"/>
      <c r="BK269" s="883"/>
      <c r="BL269" s="883"/>
      <c r="BM269" s="332"/>
      <c r="BN269" s="883"/>
      <c r="BO269" s="883"/>
      <c r="BP269" s="883"/>
      <c r="BQ269" s="883"/>
      <c r="BR269" s="883"/>
      <c r="BS269" s="332"/>
      <c r="BT269" s="883"/>
      <c r="BU269" s="883"/>
      <c r="BV269" s="883"/>
      <c r="BW269" s="883"/>
      <c r="BX269" s="883"/>
      <c r="BY269" s="332"/>
      <c r="BZ269" s="883"/>
      <c r="CA269" s="883"/>
      <c r="CB269" s="883"/>
      <c r="CC269" s="883"/>
      <c r="CD269" s="883"/>
      <c r="CE269" s="332"/>
      <c r="CF269" s="883"/>
      <c r="CG269" s="883"/>
      <c r="CH269" s="883"/>
      <c r="CI269" s="883"/>
      <c r="CJ269" s="883"/>
      <c r="CK269" s="332"/>
      <c r="CL269" s="883"/>
      <c r="CM269" s="883"/>
      <c r="CN269" s="883"/>
      <c r="CO269" s="883"/>
      <c r="CP269" s="883"/>
      <c r="CQ269" s="332"/>
      <c r="CR269" s="883"/>
      <c r="CS269" s="883"/>
      <c r="CT269" s="883"/>
      <c r="CU269" s="883"/>
      <c r="CV269" s="883"/>
      <c r="CW269" s="332"/>
      <c r="CX269" s="883"/>
      <c r="CY269" s="883"/>
      <c r="CZ269" s="883"/>
      <c r="DA269" s="883"/>
      <c r="DB269" s="883"/>
      <c r="DC269" s="332"/>
      <c r="DD269" s="883"/>
      <c r="DE269" s="883"/>
      <c r="DF269" s="883"/>
      <c r="DG269" s="883"/>
      <c r="DH269" s="883"/>
      <c r="DI269" s="332"/>
      <c r="DJ269" s="883"/>
      <c r="DK269" s="883"/>
      <c r="DL269" s="883"/>
      <c r="DM269" s="883"/>
      <c r="DN269" s="883"/>
      <c r="DO269" s="332"/>
      <c r="DP269" s="883"/>
      <c r="DQ269" s="883"/>
      <c r="DR269" s="883"/>
      <c r="DS269" s="883"/>
      <c r="DT269" s="883"/>
      <c r="DU269" s="332"/>
      <c r="DV269" s="883"/>
      <c r="DW269" s="883"/>
      <c r="DX269" s="883"/>
      <c r="DY269" s="883"/>
      <c r="DZ269" s="883"/>
      <c r="EA269" s="332"/>
      <c r="EB269" s="883"/>
      <c r="EC269" s="883"/>
      <c r="ED269" s="883"/>
      <c r="EE269" s="883"/>
      <c r="EF269" s="883"/>
      <c r="EG269" s="332"/>
      <c r="EH269" s="883"/>
      <c r="EI269" s="883"/>
      <c r="EJ269" s="883"/>
      <c r="EK269" s="883"/>
      <c r="EL269" s="883"/>
      <c r="EM269" s="332"/>
      <c r="EN269" s="883"/>
      <c r="EO269" s="883"/>
      <c r="EP269" s="883"/>
      <c r="EQ269" s="883"/>
      <c r="ER269" s="883"/>
      <c r="ES269" s="332"/>
      <c r="ET269" s="883"/>
      <c r="EU269" s="883"/>
      <c r="EV269" s="883"/>
      <c r="EW269" s="883"/>
      <c r="EX269" s="883"/>
      <c r="EY269" s="332"/>
      <c r="EZ269" s="883"/>
      <c r="FA269" s="883"/>
      <c r="FB269" s="883"/>
      <c r="FC269" s="883"/>
      <c r="FD269" s="883"/>
      <c r="FE269" s="332"/>
      <c r="FF269" s="883"/>
      <c r="FG269" s="883"/>
      <c r="FH269" s="883"/>
      <c r="FI269" s="883"/>
      <c r="FJ269" s="883"/>
      <c r="FK269" s="332"/>
      <c r="FL269" s="883"/>
      <c r="FM269" s="883"/>
      <c r="FN269" s="883"/>
      <c r="FO269" s="883"/>
      <c r="FP269" s="883"/>
      <c r="FQ269" s="332"/>
      <c r="FR269" s="883"/>
      <c r="FS269" s="883"/>
      <c r="FT269" s="883"/>
      <c r="FU269" s="883"/>
      <c r="FV269" s="883"/>
      <c r="FW269" s="332"/>
      <c r="FX269" s="883"/>
      <c r="FY269" s="883"/>
      <c r="FZ269" s="883"/>
      <c r="GA269" s="883"/>
      <c r="GB269" s="883"/>
      <c r="GC269" s="332"/>
      <c r="GD269" s="883"/>
      <c r="GE269" s="883"/>
      <c r="GF269" s="883"/>
      <c r="GG269" s="883"/>
      <c r="GH269" s="883"/>
      <c r="GI269" s="332"/>
      <c r="GJ269" s="883"/>
      <c r="GK269" s="883"/>
      <c r="GL269" s="883"/>
      <c r="GM269" s="883"/>
      <c r="GN269" s="883"/>
      <c r="GO269" s="332"/>
      <c r="GP269" s="883"/>
      <c r="GQ269" s="883"/>
      <c r="GR269" s="883"/>
      <c r="GS269" s="883"/>
      <c r="GT269" s="883"/>
      <c r="GU269" s="332"/>
      <c r="GV269" s="883"/>
      <c r="GW269" s="883"/>
      <c r="GX269" s="883"/>
      <c r="GY269" s="883"/>
      <c r="GZ269" s="883"/>
      <c r="HA269" s="332"/>
      <c r="HB269" s="883"/>
      <c r="HC269" s="883"/>
      <c r="HD269" s="883"/>
      <c r="HE269" s="883"/>
      <c r="HF269" s="883"/>
      <c r="HG269" s="332"/>
      <c r="HH269" s="883"/>
      <c r="HI269" s="883"/>
      <c r="HJ269" s="883"/>
      <c r="HK269" s="883"/>
      <c r="HL269" s="883"/>
      <c r="HM269" s="332"/>
      <c r="HN269" s="883"/>
      <c r="HO269" s="883"/>
      <c r="HP269" s="883"/>
      <c r="HQ269" s="883"/>
      <c r="HR269" s="883"/>
      <c r="HS269" s="332"/>
      <c r="HT269" s="883"/>
      <c r="HU269" s="883"/>
      <c r="HV269" s="883"/>
      <c r="HW269" s="883"/>
      <c r="HX269" s="883"/>
      <c r="HY269" s="332"/>
      <c r="HZ269" s="883"/>
      <c r="IA269" s="883"/>
      <c r="IB269" s="883"/>
      <c r="IC269" s="883"/>
      <c r="ID269" s="883"/>
      <c r="IE269" s="332"/>
      <c r="IF269" s="883"/>
      <c r="IG269" s="883"/>
      <c r="IH269" s="883"/>
      <c r="II269" s="883"/>
      <c r="IJ269" s="883"/>
      <c r="IK269" s="332"/>
      <c r="IL269" s="883"/>
      <c r="IM269" s="883"/>
      <c r="IN269" s="883"/>
      <c r="IO269" s="883"/>
      <c r="IP269" s="883"/>
      <c r="IQ269" s="332"/>
      <c r="IR269" s="883"/>
    </row>
    <row r="270" spans="1:252" s="349" customFormat="1">
      <c r="A270" s="230"/>
      <c r="B270" s="883"/>
      <c r="C270" s="469" t="s">
        <v>1019</v>
      </c>
      <c r="D270" s="883"/>
      <c r="E270" s="883"/>
      <c r="F270" s="231"/>
      <c r="G270" s="979" t="s">
        <v>423</v>
      </c>
      <c r="H270" s="1094">
        <f t="shared" si="12"/>
        <v>0</v>
      </c>
      <c r="I270" s="1128"/>
      <c r="J270" s="631"/>
      <c r="K270" s="249"/>
      <c r="L270" s="883"/>
      <c r="M270" s="912"/>
      <c r="N270" s="883"/>
      <c r="O270" s="311"/>
      <c r="P270" s="2247" t="s">
        <v>2103</v>
      </c>
      <c r="Q270" s="332"/>
      <c r="R270" s="883"/>
      <c r="S270" s="883"/>
      <c r="T270" s="883"/>
      <c r="U270" s="883"/>
      <c r="V270" s="883"/>
      <c r="W270" s="332"/>
      <c r="X270" s="883"/>
      <c r="Y270" s="883"/>
      <c r="Z270" s="883"/>
      <c r="AA270" s="883"/>
      <c r="AB270" s="883"/>
      <c r="AC270" s="332"/>
      <c r="AD270" s="883"/>
      <c r="AE270" s="883"/>
      <c r="AF270" s="883"/>
      <c r="AG270" s="883"/>
      <c r="AH270" s="883"/>
      <c r="AI270" s="332"/>
      <c r="AJ270" s="883"/>
      <c r="AK270" s="883"/>
      <c r="AL270" s="883"/>
      <c r="AM270" s="883"/>
      <c r="AN270" s="883"/>
      <c r="AO270" s="332"/>
      <c r="AP270" s="883"/>
      <c r="AQ270" s="883"/>
      <c r="AR270" s="883"/>
      <c r="AS270" s="883"/>
      <c r="AT270" s="883"/>
      <c r="AU270" s="332"/>
      <c r="AV270" s="883"/>
      <c r="AW270" s="883"/>
      <c r="AX270" s="883"/>
      <c r="AY270" s="883"/>
      <c r="AZ270" s="883"/>
      <c r="BA270" s="332"/>
      <c r="BB270" s="883"/>
      <c r="BC270" s="883"/>
      <c r="BD270" s="883"/>
      <c r="BE270" s="883"/>
      <c r="BF270" s="883"/>
      <c r="BG270" s="332"/>
      <c r="BH270" s="883"/>
      <c r="BI270" s="883"/>
      <c r="BJ270" s="883"/>
      <c r="BK270" s="883"/>
      <c r="BL270" s="883"/>
      <c r="BM270" s="332"/>
      <c r="BN270" s="883"/>
      <c r="BO270" s="883"/>
      <c r="BP270" s="883"/>
      <c r="BQ270" s="883"/>
      <c r="BR270" s="883"/>
      <c r="BS270" s="332"/>
      <c r="BT270" s="883"/>
      <c r="BU270" s="883"/>
      <c r="BV270" s="883"/>
      <c r="BW270" s="883"/>
      <c r="BX270" s="883"/>
      <c r="BY270" s="332"/>
      <c r="BZ270" s="883"/>
      <c r="CA270" s="883"/>
      <c r="CB270" s="883"/>
      <c r="CC270" s="883"/>
      <c r="CD270" s="883"/>
      <c r="CE270" s="332"/>
      <c r="CF270" s="883"/>
      <c r="CG270" s="883"/>
      <c r="CH270" s="883"/>
      <c r="CI270" s="883"/>
      <c r="CJ270" s="883"/>
      <c r="CK270" s="332"/>
      <c r="CL270" s="883"/>
      <c r="CM270" s="883"/>
      <c r="CN270" s="883"/>
      <c r="CO270" s="883"/>
      <c r="CP270" s="883"/>
      <c r="CQ270" s="332"/>
      <c r="CR270" s="883"/>
      <c r="CS270" s="883"/>
      <c r="CT270" s="883"/>
      <c r="CU270" s="883"/>
      <c r="CV270" s="883"/>
      <c r="CW270" s="332"/>
      <c r="CX270" s="883"/>
      <c r="CY270" s="883"/>
      <c r="CZ270" s="883"/>
      <c r="DA270" s="883"/>
      <c r="DB270" s="883"/>
      <c r="DC270" s="332"/>
      <c r="DD270" s="883"/>
      <c r="DE270" s="883"/>
      <c r="DF270" s="883"/>
      <c r="DG270" s="883"/>
      <c r="DH270" s="883"/>
      <c r="DI270" s="332"/>
      <c r="DJ270" s="883"/>
      <c r="DK270" s="883"/>
      <c r="DL270" s="883"/>
      <c r="DM270" s="883"/>
      <c r="DN270" s="883"/>
      <c r="DO270" s="332"/>
      <c r="DP270" s="883"/>
      <c r="DQ270" s="883"/>
      <c r="DR270" s="883"/>
      <c r="DS270" s="883"/>
      <c r="DT270" s="883"/>
      <c r="DU270" s="332"/>
      <c r="DV270" s="883"/>
      <c r="DW270" s="883"/>
      <c r="DX270" s="883"/>
      <c r="DY270" s="883"/>
      <c r="DZ270" s="883"/>
      <c r="EA270" s="332"/>
      <c r="EB270" s="883"/>
      <c r="EC270" s="883"/>
      <c r="ED270" s="883"/>
      <c r="EE270" s="883"/>
      <c r="EF270" s="883"/>
      <c r="EG270" s="332"/>
      <c r="EH270" s="883"/>
      <c r="EI270" s="883"/>
      <c r="EJ270" s="883"/>
      <c r="EK270" s="883"/>
      <c r="EL270" s="883"/>
      <c r="EM270" s="332"/>
      <c r="EN270" s="883"/>
      <c r="EO270" s="883"/>
      <c r="EP270" s="883"/>
      <c r="EQ270" s="883"/>
      <c r="ER270" s="883"/>
      <c r="ES270" s="332"/>
      <c r="ET270" s="883"/>
      <c r="EU270" s="883"/>
      <c r="EV270" s="883"/>
      <c r="EW270" s="883"/>
      <c r="EX270" s="883"/>
      <c r="EY270" s="332"/>
      <c r="EZ270" s="883"/>
      <c r="FA270" s="883"/>
      <c r="FB270" s="883"/>
      <c r="FC270" s="883"/>
      <c r="FD270" s="883"/>
      <c r="FE270" s="332"/>
      <c r="FF270" s="883"/>
      <c r="FG270" s="883"/>
      <c r="FH270" s="883"/>
      <c r="FI270" s="883"/>
      <c r="FJ270" s="883"/>
      <c r="FK270" s="332"/>
      <c r="FL270" s="883"/>
      <c r="FM270" s="883"/>
      <c r="FN270" s="883"/>
      <c r="FO270" s="883"/>
      <c r="FP270" s="883"/>
      <c r="FQ270" s="332"/>
      <c r="FR270" s="883"/>
      <c r="FS270" s="883"/>
      <c r="FT270" s="883"/>
      <c r="FU270" s="883"/>
      <c r="FV270" s="883"/>
      <c r="FW270" s="332"/>
      <c r="FX270" s="883"/>
      <c r="FY270" s="883"/>
      <c r="FZ270" s="883"/>
      <c r="GA270" s="883"/>
      <c r="GB270" s="883"/>
      <c r="GC270" s="332"/>
      <c r="GD270" s="883"/>
      <c r="GE270" s="883"/>
      <c r="GF270" s="883"/>
      <c r="GG270" s="883"/>
      <c r="GH270" s="883"/>
      <c r="GI270" s="332"/>
      <c r="GJ270" s="883"/>
      <c r="GK270" s="883"/>
      <c r="GL270" s="883"/>
      <c r="GM270" s="883"/>
      <c r="GN270" s="883"/>
      <c r="GO270" s="332"/>
      <c r="GP270" s="883"/>
      <c r="GQ270" s="883"/>
      <c r="GR270" s="883"/>
      <c r="GS270" s="883"/>
      <c r="GT270" s="883"/>
      <c r="GU270" s="332"/>
      <c r="GV270" s="883"/>
      <c r="GW270" s="883"/>
      <c r="GX270" s="883"/>
      <c r="GY270" s="883"/>
      <c r="GZ270" s="883"/>
      <c r="HA270" s="332"/>
      <c r="HB270" s="883"/>
      <c r="HC270" s="883"/>
      <c r="HD270" s="883"/>
      <c r="HE270" s="883"/>
      <c r="HF270" s="883"/>
      <c r="HG270" s="332"/>
      <c r="HH270" s="883"/>
      <c r="HI270" s="883"/>
      <c r="HJ270" s="883"/>
      <c r="HK270" s="883"/>
      <c r="HL270" s="883"/>
      <c r="HM270" s="332"/>
      <c r="HN270" s="883"/>
      <c r="HO270" s="883"/>
      <c r="HP270" s="883"/>
      <c r="HQ270" s="883"/>
      <c r="HR270" s="883"/>
      <c r="HS270" s="332"/>
      <c r="HT270" s="883"/>
      <c r="HU270" s="883"/>
      <c r="HV270" s="883"/>
      <c r="HW270" s="883"/>
      <c r="HX270" s="883"/>
      <c r="HY270" s="332"/>
      <c r="HZ270" s="883"/>
      <c r="IA270" s="883"/>
      <c r="IB270" s="883"/>
      <c r="IC270" s="883"/>
      <c r="ID270" s="883"/>
      <c r="IE270" s="332"/>
      <c r="IF270" s="883"/>
      <c r="IG270" s="883"/>
      <c r="IH270" s="883"/>
      <c r="II270" s="883"/>
      <c r="IJ270" s="883"/>
      <c r="IK270" s="332"/>
      <c r="IL270" s="883"/>
      <c r="IM270" s="883"/>
      <c r="IN270" s="883"/>
      <c r="IO270" s="883"/>
      <c r="IP270" s="883"/>
      <c r="IQ270" s="332"/>
      <c r="IR270" s="883"/>
    </row>
    <row r="271" spans="1:252" s="349" customFormat="1">
      <c r="A271" s="230"/>
      <c r="B271" s="883"/>
      <c r="C271" s="469" t="s">
        <v>1020</v>
      </c>
      <c r="D271" s="883"/>
      <c r="E271" s="883"/>
      <c r="F271" s="231"/>
      <c r="G271" s="979" t="s">
        <v>205</v>
      </c>
      <c r="H271" s="1094">
        <f t="shared" si="12"/>
        <v>2007912</v>
      </c>
      <c r="I271" s="1128"/>
      <c r="J271" s="631"/>
      <c r="K271" s="249"/>
      <c r="L271" s="883"/>
      <c r="M271" s="912"/>
      <c r="N271" s="883"/>
      <c r="O271" s="311"/>
      <c r="P271" s="2247" t="s">
        <v>2103</v>
      </c>
      <c r="Q271" s="332"/>
      <c r="R271" s="883"/>
      <c r="S271" s="883"/>
      <c r="T271" s="883"/>
      <c r="U271" s="883"/>
      <c r="V271" s="883"/>
      <c r="W271" s="332"/>
      <c r="X271" s="883"/>
      <c r="Y271" s="883"/>
      <c r="Z271" s="883"/>
      <c r="AA271" s="883"/>
      <c r="AB271" s="883"/>
      <c r="AC271" s="332"/>
      <c r="AD271" s="883"/>
      <c r="AE271" s="883"/>
      <c r="AF271" s="883"/>
      <c r="AG271" s="883"/>
      <c r="AH271" s="883"/>
      <c r="AI271" s="332"/>
      <c r="AJ271" s="883"/>
      <c r="AK271" s="883"/>
      <c r="AL271" s="883"/>
      <c r="AM271" s="883"/>
      <c r="AN271" s="883"/>
      <c r="AO271" s="332"/>
      <c r="AP271" s="883"/>
      <c r="AQ271" s="883"/>
      <c r="AR271" s="883"/>
      <c r="AS271" s="883"/>
      <c r="AT271" s="883"/>
      <c r="AU271" s="332"/>
      <c r="AV271" s="883"/>
      <c r="AW271" s="883"/>
      <c r="AX271" s="883"/>
      <c r="AY271" s="883"/>
      <c r="AZ271" s="883"/>
      <c r="BA271" s="332"/>
      <c r="BB271" s="883"/>
      <c r="BC271" s="883"/>
      <c r="BD271" s="883"/>
      <c r="BE271" s="883"/>
      <c r="BF271" s="883"/>
      <c r="BG271" s="332"/>
      <c r="BH271" s="883"/>
      <c r="BI271" s="883"/>
      <c r="BJ271" s="883"/>
      <c r="BK271" s="883"/>
      <c r="BL271" s="883"/>
      <c r="BM271" s="332"/>
      <c r="BN271" s="883"/>
      <c r="BO271" s="883"/>
      <c r="BP271" s="883"/>
      <c r="BQ271" s="883"/>
      <c r="BR271" s="883"/>
      <c r="BS271" s="332"/>
      <c r="BT271" s="883"/>
      <c r="BU271" s="883"/>
      <c r="BV271" s="883"/>
      <c r="BW271" s="883"/>
      <c r="BX271" s="883"/>
      <c r="BY271" s="332"/>
      <c r="BZ271" s="883"/>
      <c r="CA271" s="883"/>
      <c r="CB271" s="883"/>
      <c r="CC271" s="883"/>
      <c r="CD271" s="883"/>
      <c r="CE271" s="332"/>
      <c r="CF271" s="883"/>
      <c r="CG271" s="883"/>
      <c r="CH271" s="883"/>
      <c r="CI271" s="883"/>
      <c r="CJ271" s="883"/>
      <c r="CK271" s="332"/>
      <c r="CL271" s="883"/>
      <c r="CM271" s="883"/>
      <c r="CN271" s="883"/>
      <c r="CO271" s="883"/>
      <c r="CP271" s="883"/>
      <c r="CQ271" s="332"/>
      <c r="CR271" s="883"/>
      <c r="CS271" s="883"/>
      <c r="CT271" s="883"/>
      <c r="CU271" s="883"/>
      <c r="CV271" s="883"/>
      <c r="CW271" s="332"/>
      <c r="CX271" s="883"/>
      <c r="CY271" s="883"/>
      <c r="CZ271" s="883"/>
      <c r="DA271" s="883"/>
      <c r="DB271" s="883"/>
      <c r="DC271" s="332"/>
      <c r="DD271" s="883"/>
      <c r="DE271" s="883"/>
      <c r="DF271" s="883"/>
      <c r="DG271" s="883"/>
      <c r="DH271" s="883"/>
      <c r="DI271" s="332"/>
      <c r="DJ271" s="883"/>
      <c r="DK271" s="883"/>
      <c r="DL271" s="883"/>
      <c r="DM271" s="883"/>
      <c r="DN271" s="883"/>
      <c r="DO271" s="332"/>
      <c r="DP271" s="883"/>
      <c r="DQ271" s="883"/>
      <c r="DR271" s="883"/>
      <c r="DS271" s="883"/>
      <c r="DT271" s="883"/>
      <c r="DU271" s="332"/>
      <c r="DV271" s="883"/>
      <c r="DW271" s="883"/>
      <c r="DX271" s="883"/>
      <c r="DY271" s="883"/>
      <c r="DZ271" s="883"/>
      <c r="EA271" s="332"/>
      <c r="EB271" s="883"/>
      <c r="EC271" s="883"/>
      <c r="ED271" s="883"/>
      <c r="EE271" s="883"/>
      <c r="EF271" s="883"/>
      <c r="EG271" s="332"/>
      <c r="EH271" s="883"/>
      <c r="EI271" s="883"/>
      <c r="EJ271" s="883"/>
      <c r="EK271" s="883"/>
      <c r="EL271" s="883"/>
      <c r="EM271" s="332"/>
      <c r="EN271" s="883"/>
      <c r="EO271" s="883"/>
      <c r="EP271" s="883"/>
      <c r="EQ271" s="883"/>
      <c r="ER271" s="883"/>
      <c r="ES271" s="332"/>
      <c r="ET271" s="883"/>
      <c r="EU271" s="883"/>
      <c r="EV271" s="883"/>
      <c r="EW271" s="883"/>
      <c r="EX271" s="883"/>
      <c r="EY271" s="332"/>
      <c r="EZ271" s="883"/>
      <c r="FA271" s="883"/>
      <c r="FB271" s="883"/>
      <c r="FC271" s="883"/>
      <c r="FD271" s="883"/>
      <c r="FE271" s="332"/>
      <c r="FF271" s="883"/>
      <c r="FG271" s="883"/>
      <c r="FH271" s="883"/>
      <c r="FI271" s="883"/>
      <c r="FJ271" s="883"/>
      <c r="FK271" s="332"/>
      <c r="FL271" s="883"/>
      <c r="FM271" s="883"/>
      <c r="FN271" s="883"/>
      <c r="FO271" s="883"/>
      <c r="FP271" s="883"/>
      <c r="FQ271" s="332"/>
      <c r="FR271" s="883"/>
      <c r="FS271" s="883"/>
      <c r="FT271" s="883"/>
      <c r="FU271" s="883"/>
      <c r="FV271" s="883"/>
      <c r="FW271" s="332"/>
      <c r="FX271" s="883"/>
      <c r="FY271" s="883"/>
      <c r="FZ271" s="883"/>
      <c r="GA271" s="883"/>
      <c r="GB271" s="883"/>
      <c r="GC271" s="332"/>
      <c r="GD271" s="883"/>
      <c r="GE271" s="883"/>
      <c r="GF271" s="883"/>
      <c r="GG271" s="883"/>
      <c r="GH271" s="883"/>
      <c r="GI271" s="332"/>
      <c r="GJ271" s="883"/>
      <c r="GK271" s="883"/>
      <c r="GL271" s="883"/>
      <c r="GM271" s="883"/>
      <c r="GN271" s="883"/>
      <c r="GO271" s="332"/>
      <c r="GP271" s="883"/>
      <c r="GQ271" s="883"/>
      <c r="GR271" s="883"/>
      <c r="GS271" s="883"/>
      <c r="GT271" s="883"/>
      <c r="GU271" s="332"/>
      <c r="GV271" s="883"/>
      <c r="GW271" s="883"/>
      <c r="GX271" s="883"/>
      <c r="GY271" s="883"/>
      <c r="GZ271" s="883"/>
      <c r="HA271" s="332"/>
      <c r="HB271" s="883"/>
      <c r="HC271" s="883"/>
      <c r="HD271" s="883"/>
      <c r="HE271" s="883"/>
      <c r="HF271" s="883"/>
      <c r="HG271" s="332"/>
      <c r="HH271" s="883"/>
      <c r="HI271" s="883"/>
      <c r="HJ271" s="883"/>
      <c r="HK271" s="883"/>
      <c r="HL271" s="883"/>
      <c r="HM271" s="332"/>
      <c r="HN271" s="883"/>
      <c r="HO271" s="883"/>
      <c r="HP271" s="883"/>
      <c r="HQ271" s="883"/>
      <c r="HR271" s="883"/>
      <c r="HS271" s="332"/>
      <c r="HT271" s="883"/>
      <c r="HU271" s="883"/>
      <c r="HV271" s="883"/>
      <c r="HW271" s="883"/>
      <c r="HX271" s="883"/>
      <c r="HY271" s="332"/>
      <c r="HZ271" s="883"/>
      <c r="IA271" s="883"/>
      <c r="IB271" s="883"/>
      <c r="IC271" s="883"/>
      <c r="ID271" s="883"/>
      <c r="IE271" s="332"/>
      <c r="IF271" s="883"/>
      <c r="IG271" s="883"/>
      <c r="IH271" s="883"/>
      <c r="II271" s="883"/>
      <c r="IJ271" s="883"/>
      <c r="IK271" s="332"/>
      <c r="IL271" s="883"/>
      <c r="IM271" s="883"/>
      <c r="IN271" s="883"/>
      <c r="IO271" s="883"/>
      <c r="IP271" s="883"/>
      <c r="IQ271" s="332"/>
      <c r="IR271" s="883"/>
    </row>
    <row r="272" spans="1:252" s="349" customFormat="1">
      <c r="A272" s="230"/>
      <c r="B272" s="883"/>
      <c r="C272" s="469" t="s">
        <v>1021</v>
      </c>
      <c r="D272" s="883"/>
      <c r="E272" s="883"/>
      <c r="F272" s="231"/>
      <c r="G272" s="979" t="s">
        <v>424</v>
      </c>
      <c r="H272" s="1094">
        <f t="shared" si="12"/>
        <v>1674277</v>
      </c>
      <c r="I272" s="1128"/>
      <c r="J272" s="631"/>
      <c r="K272" s="249"/>
      <c r="L272" s="883"/>
      <c r="M272" s="912"/>
      <c r="N272" s="883"/>
      <c r="O272" s="311"/>
      <c r="P272" s="2247" t="s">
        <v>2103</v>
      </c>
      <c r="Q272" s="332"/>
      <c r="R272" s="883"/>
      <c r="S272" s="883"/>
      <c r="T272" s="883"/>
      <c r="U272" s="883"/>
      <c r="V272" s="883"/>
      <c r="W272" s="332"/>
      <c r="X272" s="883"/>
      <c r="Y272" s="883"/>
      <c r="Z272" s="883"/>
      <c r="AA272" s="883"/>
      <c r="AB272" s="883"/>
      <c r="AC272" s="332"/>
      <c r="AD272" s="883"/>
      <c r="AE272" s="883"/>
      <c r="AF272" s="883"/>
      <c r="AG272" s="883"/>
      <c r="AH272" s="883"/>
      <c r="AI272" s="332"/>
      <c r="AJ272" s="883"/>
      <c r="AK272" s="883"/>
      <c r="AL272" s="883"/>
      <c r="AM272" s="883"/>
      <c r="AN272" s="883"/>
      <c r="AO272" s="332"/>
      <c r="AP272" s="883"/>
      <c r="AQ272" s="883"/>
      <c r="AR272" s="883"/>
      <c r="AS272" s="883"/>
      <c r="AT272" s="883"/>
      <c r="AU272" s="332"/>
      <c r="AV272" s="883"/>
      <c r="AW272" s="883"/>
      <c r="AX272" s="883"/>
      <c r="AY272" s="883"/>
      <c r="AZ272" s="883"/>
      <c r="BA272" s="332"/>
      <c r="BB272" s="883"/>
      <c r="BC272" s="883"/>
      <c r="BD272" s="883"/>
      <c r="BE272" s="883"/>
      <c r="BF272" s="883"/>
      <c r="BG272" s="332"/>
      <c r="BH272" s="883"/>
      <c r="BI272" s="883"/>
      <c r="BJ272" s="883"/>
      <c r="BK272" s="883"/>
      <c r="BL272" s="883"/>
      <c r="BM272" s="332"/>
      <c r="BN272" s="883"/>
      <c r="BO272" s="883"/>
      <c r="BP272" s="883"/>
      <c r="BQ272" s="883"/>
      <c r="BR272" s="883"/>
      <c r="BS272" s="332"/>
      <c r="BT272" s="883"/>
      <c r="BU272" s="883"/>
      <c r="BV272" s="883"/>
      <c r="BW272" s="883"/>
      <c r="BX272" s="883"/>
      <c r="BY272" s="332"/>
      <c r="BZ272" s="883"/>
      <c r="CA272" s="883"/>
      <c r="CB272" s="883"/>
      <c r="CC272" s="883"/>
      <c r="CD272" s="883"/>
      <c r="CE272" s="332"/>
      <c r="CF272" s="883"/>
      <c r="CG272" s="883"/>
      <c r="CH272" s="883"/>
      <c r="CI272" s="883"/>
      <c r="CJ272" s="883"/>
      <c r="CK272" s="332"/>
      <c r="CL272" s="883"/>
      <c r="CM272" s="883"/>
      <c r="CN272" s="883"/>
      <c r="CO272" s="883"/>
      <c r="CP272" s="883"/>
      <c r="CQ272" s="332"/>
      <c r="CR272" s="883"/>
      <c r="CS272" s="883"/>
      <c r="CT272" s="883"/>
      <c r="CU272" s="883"/>
      <c r="CV272" s="883"/>
      <c r="CW272" s="332"/>
      <c r="CX272" s="883"/>
      <c r="CY272" s="883"/>
      <c r="CZ272" s="883"/>
      <c r="DA272" s="883"/>
      <c r="DB272" s="883"/>
      <c r="DC272" s="332"/>
      <c r="DD272" s="883"/>
      <c r="DE272" s="883"/>
      <c r="DF272" s="883"/>
      <c r="DG272" s="883"/>
      <c r="DH272" s="883"/>
      <c r="DI272" s="332"/>
      <c r="DJ272" s="883"/>
      <c r="DK272" s="883"/>
      <c r="DL272" s="883"/>
      <c r="DM272" s="883"/>
      <c r="DN272" s="883"/>
      <c r="DO272" s="332"/>
      <c r="DP272" s="883"/>
      <c r="DQ272" s="883"/>
      <c r="DR272" s="883"/>
      <c r="DS272" s="883"/>
      <c r="DT272" s="883"/>
      <c r="DU272" s="332"/>
      <c r="DV272" s="883"/>
      <c r="DW272" s="883"/>
      <c r="DX272" s="883"/>
      <c r="DY272" s="883"/>
      <c r="DZ272" s="883"/>
      <c r="EA272" s="332"/>
      <c r="EB272" s="883"/>
      <c r="EC272" s="883"/>
      <c r="ED272" s="883"/>
      <c r="EE272" s="883"/>
      <c r="EF272" s="883"/>
      <c r="EG272" s="332"/>
      <c r="EH272" s="883"/>
      <c r="EI272" s="883"/>
      <c r="EJ272" s="883"/>
      <c r="EK272" s="883"/>
      <c r="EL272" s="883"/>
      <c r="EM272" s="332"/>
      <c r="EN272" s="883"/>
      <c r="EO272" s="883"/>
      <c r="EP272" s="883"/>
      <c r="EQ272" s="883"/>
      <c r="ER272" s="883"/>
      <c r="ES272" s="332"/>
      <c r="ET272" s="883"/>
      <c r="EU272" s="883"/>
      <c r="EV272" s="883"/>
      <c r="EW272" s="883"/>
      <c r="EX272" s="883"/>
      <c r="EY272" s="332"/>
      <c r="EZ272" s="883"/>
      <c r="FA272" s="883"/>
      <c r="FB272" s="883"/>
      <c r="FC272" s="883"/>
      <c r="FD272" s="883"/>
      <c r="FE272" s="332"/>
      <c r="FF272" s="883"/>
      <c r="FG272" s="883"/>
      <c r="FH272" s="883"/>
      <c r="FI272" s="883"/>
      <c r="FJ272" s="883"/>
      <c r="FK272" s="332"/>
      <c r="FL272" s="883"/>
      <c r="FM272" s="883"/>
      <c r="FN272" s="883"/>
      <c r="FO272" s="883"/>
      <c r="FP272" s="883"/>
      <c r="FQ272" s="332"/>
      <c r="FR272" s="883"/>
      <c r="FS272" s="883"/>
      <c r="FT272" s="883"/>
      <c r="FU272" s="883"/>
      <c r="FV272" s="883"/>
      <c r="FW272" s="332"/>
      <c r="FX272" s="883"/>
      <c r="FY272" s="883"/>
      <c r="FZ272" s="883"/>
      <c r="GA272" s="883"/>
      <c r="GB272" s="883"/>
      <c r="GC272" s="332"/>
      <c r="GD272" s="883"/>
      <c r="GE272" s="883"/>
      <c r="GF272" s="883"/>
      <c r="GG272" s="883"/>
      <c r="GH272" s="883"/>
      <c r="GI272" s="332"/>
      <c r="GJ272" s="883"/>
      <c r="GK272" s="883"/>
      <c r="GL272" s="883"/>
      <c r="GM272" s="883"/>
      <c r="GN272" s="883"/>
      <c r="GO272" s="332"/>
      <c r="GP272" s="883"/>
      <c r="GQ272" s="883"/>
      <c r="GR272" s="883"/>
      <c r="GS272" s="883"/>
      <c r="GT272" s="883"/>
      <c r="GU272" s="332"/>
      <c r="GV272" s="883"/>
      <c r="GW272" s="883"/>
      <c r="GX272" s="883"/>
      <c r="GY272" s="883"/>
      <c r="GZ272" s="883"/>
      <c r="HA272" s="332"/>
      <c r="HB272" s="883"/>
      <c r="HC272" s="883"/>
      <c r="HD272" s="883"/>
      <c r="HE272" s="883"/>
      <c r="HF272" s="883"/>
      <c r="HG272" s="332"/>
      <c r="HH272" s="883"/>
      <c r="HI272" s="883"/>
      <c r="HJ272" s="883"/>
      <c r="HK272" s="883"/>
      <c r="HL272" s="883"/>
      <c r="HM272" s="332"/>
      <c r="HN272" s="883"/>
      <c r="HO272" s="883"/>
      <c r="HP272" s="883"/>
      <c r="HQ272" s="883"/>
      <c r="HR272" s="883"/>
      <c r="HS272" s="332"/>
      <c r="HT272" s="883"/>
      <c r="HU272" s="883"/>
      <c r="HV272" s="883"/>
      <c r="HW272" s="883"/>
      <c r="HX272" s="883"/>
      <c r="HY272" s="332"/>
      <c r="HZ272" s="883"/>
      <c r="IA272" s="883"/>
      <c r="IB272" s="883"/>
      <c r="IC272" s="883"/>
      <c r="ID272" s="883"/>
      <c r="IE272" s="332"/>
      <c r="IF272" s="883"/>
      <c r="IG272" s="883"/>
      <c r="IH272" s="883"/>
      <c r="II272" s="883"/>
      <c r="IJ272" s="883"/>
      <c r="IK272" s="332"/>
      <c r="IL272" s="883"/>
      <c r="IM272" s="883"/>
      <c r="IN272" s="883"/>
      <c r="IO272" s="883"/>
      <c r="IP272" s="883"/>
      <c r="IQ272" s="332"/>
      <c r="IR272" s="883"/>
    </row>
    <row r="273" spans="1:252" ht="15.75">
      <c r="A273" s="230">
        <f>'Appendix A'!A112</f>
        <v>54</v>
      </c>
      <c r="B273" s="95"/>
      <c r="C273" s="154" t="str">
        <f>'Appendix A'!C112</f>
        <v xml:space="preserve">     Less: Cost of Providing Ancillary Services Accounts 561.0-5</v>
      </c>
      <c r="D273" s="95"/>
      <c r="E273" s="883"/>
      <c r="F273" s="231"/>
      <c r="G273" s="1220" t="s">
        <v>1097</v>
      </c>
      <c r="H273" s="1219">
        <f>SUM(H267:H272)</f>
        <v>10636891</v>
      </c>
      <c r="I273" s="1129">
        <v>0</v>
      </c>
      <c r="J273" s="1127">
        <f>H273-I273</f>
        <v>10636891</v>
      </c>
      <c r="K273" s="249" t="s">
        <v>1112</v>
      </c>
      <c r="L273" s="883"/>
      <c r="M273" s="912"/>
      <c r="N273" s="95"/>
      <c r="O273" s="311"/>
      <c r="P273" s="2247" t="s">
        <v>2103</v>
      </c>
      <c r="Q273" s="332"/>
      <c r="R273" s="95"/>
      <c r="S273" s="95"/>
      <c r="T273" s="95"/>
      <c r="U273" s="95"/>
      <c r="V273" s="95"/>
      <c r="W273" s="332"/>
      <c r="X273" s="95"/>
      <c r="Y273" s="95"/>
      <c r="Z273" s="95"/>
      <c r="AA273" s="95"/>
      <c r="AB273" s="95"/>
      <c r="AC273" s="332"/>
      <c r="AD273" s="95"/>
      <c r="AE273" s="95"/>
      <c r="AF273" s="95"/>
      <c r="AG273" s="95"/>
      <c r="AH273" s="95"/>
      <c r="AI273" s="332"/>
      <c r="AJ273" s="95"/>
      <c r="AK273" s="95"/>
      <c r="AL273" s="95"/>
      <c r="AM273" s="95"/>
      <c r="AN273" s="95"/>
      <c r="AO273" s="332"/>
      <c r="AP273" s="95"/>
      <c r="AQ273" s="95"/>
      <c r="AR273" s="95"/>
      <c r="AS273" s="95"/>
      <c r="AT273" s="95"/>
      <c r="AU273" s="332"/>
      <c r="AV273" s="95"/>
      <c r="AW273" s="95"/>
      <c r="AX273" s="95"/>
      <c r="AY273" s="95"/>
      <c r="AZ273" s="95"/>
      <c r="BA273" s="332"/>
      <c r="BB273" s="95"/>
      <c r="BC273" s="95"/>
      <c r="BD273" s="95"/>
      <c r="BE273" s="95"/>
      <c r="BF273" s="95"/>
      <c r="BG273" s="332"/>
      <c r="BH273" s="95"/>
      <c r="BI273" s="95"/>
      <c r="BJ273" s="95"/>
      <c r="BK273" s="95"/>
      <c r="BL273" s="95"/>
      <c r="BM273" s="332"/>
      <c r="BN273" s="95"/>
      <c r="BO273" s="95"/>
      <c r="BP273" s="95"/>
      <c r="BQ273" s="95"/>
      <c r="BR273" s="95"/>
      <c r="BS273" s="332"/>
      <c r="BT273" s="95"/>
      <c r="BU273" s="95"/>
      <c r="BV273" s="95"/>
      <c r="BW273" s="95"/>
      <c r="BX273" s="95"/>
      <c r="BY273" s="332"/>
      <c r="BZ273" s="95"/>
      <c r="CA273" s="95"/>
      <c r="CB273" s="95"/>
      <c r="CC273" s="95"/>
      <c r="CD273" s="95"/>
      <c r="CE273" s="332"/>
      <c r="CF273" s="95"/>
      <c r="CG273" s="95"/>
      <c r="CH273" s="95"/>
      <c r="CI273" s="95"/>
      <c r="CJ273" s="95"/>
      <c r="CK273" s="332"/>
      <c r="CL273" s="95"/>
      <c r="CM273" s="95"/>
      <c r="CN273" s="95"/>
      <c r="CO273" s="95"/>
      <c r="CP273" s="95"/>
      <c r="CQ273" s="332"/>
      <c r="CR273" s="95"/>
      <c r="CS273" s="95"/>
      <c r="CT273" s="95"/>
      <c r="CU273" s="95"/>
      <c r="CV273" s="95"/>
      <c r="CW273" s="332"/>
      <c r="CX273" s="95"/>
      <c r="CY273" s="95"/>
      <c r="CZ273" s="95"/>
      <c r="DA273" s="95"/>
      <c r="DB273" s="95"/>
      <c r="DC273" s="332"/>
      <c r="DD273" s="95"/>
      <c r="DE273" s="95"/>
      <c r="DF273" s="95"/>
      <c r="DG273" s="95"/>
      <c r="DH273" s="95"/>
      <c r="DI273" s="332"/>
      <c r="DJ273" s="95"/>
      <c r="DK273" s="95"/>
      <c r="DL273" s="95"/>
      <c r="DM273" s="95"/>
      <c r="DN273" s="95"/>
      <c r="DO273" s="332"/>
      <c r="DP273" s="95"/>
      <c r="DQ273" s="95"/>
      <c r="DR273" s="95"/>
      <c r="DS273" s="95"/>
      <c r="DT273" s="95"/>
      <c r="DU273" s="332"/>
      <c r="DV273" s="95"/>
      <c r="DW273" s="95"/>
      <c r="DX273" s="95"/>
      <c r="DY273" s="95"/>
      <c r="DZ273" s="95"/>
      <c r="EA273" s="332"/>
      <c r="EB273" s="95"/>
      <c r="EC273" s="95"/>
      <c r="ED273" s="95"/>
      <c r="EE273" s="95"/>
      <c r="EF273" s="95"/>
      <c r="EG273" s="332"/>
      <c r="EH273" s="95"/>
      <c r="EI273" s="95"/>
      <c r="EJ273" s="95"/>
      <c r="EK273" s="95"/>
      <c r="EL273" s="95"/>
      <c r="EM273" s="332"/>
      <c r="EN273" s="95"/>
      <c r="EO273" s="95"/>
      <c r="EP273" s="95"/>
      <c r="EQ273" s="95"/>
      <c r="ER273" s="95"/>
      <c r="ES273" s="332"/>
      <c r="ET273" s="95"/>
      <c r="EU273" s="95"/>
      <c r="EV273" s="95"/>
      <c r="EW273" s="95"/>
      <c r="EX273" s="95"/>
      <c r="EY273" s="332"/>
      <c r="EZ273" s="95"/>
      <c r="FA273" s="95"/>
      <c r="FB273" s="95"/>
      <c r="FC273" s="95"/>
      <c r="FD273" s="95"/>
      <c r="FE273" s="332"/>
      <c r="FF273" s="95"/>
      <c r="FG273" s="95"/>
      <c r="FH273" s="95"/>
      <c r="FI273" s="95"/>
      <c r="FJ273" s="95"/>
      <c r="FK273" s="332"/>
      <c r="FL273" s="95"/>
      <c r="FM273" s="95"/>
      <c r="FN273" s="95"/>
      <c r="FO273" s="95"/>
      <c r="FP273" s="95"/>
      <c r="FQ273" s="332"/>
      <c r="FR273" s="95"/>
      <c r="FS273" s="95"/>
      <c r="FT273" s="95"/>
      <c r="FU273" s="95"/>
      <c r="FV273" s="95"/>
      <c r="FW273" s="332"/>
      <c r="FX273" s="95"/>
      <c r="FY273" s="95"/>
      <c r="FZ273" s="95"/>
      <c r="GA273" s="95"/>
      <c r="GB273" s="95"/>
      <c r="GC273" s="332"/>
      <c r="GD273" s="95"/>
      <c r="GE273" s="95"/>
      <c r="GF273" s="95"/>
      <c r="GG273" s="95"/>
      <c r="GH273" s="95"/>
      <c r="GI273" s="332"/>
      <c r="GJ273" s="95"/>
      <c r="GK273" s="95"/>
      <c r="GL273" s="95"/>
      <c r="GM273" s="95"/>
      <c r="GN273" s="95"/>
      <c r="GO273" s="332"/>
      <c r="GP273" s="95"/>
      <c r="GQ273" s="95"/>
      <c r="GR273" s="95"/>
      <c r="GS273" s="95"/>
      <c r="GT273" s="95"/>
      <c r="GU273" s="332"/>
      <c r="GV273" s="95"/>
      <c r="GW273" s="95"/>
      <c r="GX273" s="95"/>
      <c r="GY273" s="95"/>
      <c r="GZ273" s="95"/>
      <c r="HA273" s="332"/>
      <c r="HB273" s="95"/>
      <c r="HC273" s="95"/>
      <c r="HD273" s="95"/>
      <c r="HE273" s="95"/>
      <c r="HF273" s="95"/>
      <c r="HG273" s="332"/>
      <c r="HH273" s="95"/>
      <c r="HI273" s="95"/>
      <c r="HJ273" s="95"/>
      <c r="HK273" s="95"/>
      <c r="HL273" s="95"/>
      <c r="HM273" s="332"/>
      <c r="HN273" s="95"/>
      <c r="HO273" s="95"/>
      <c r="HP273" s="95"/>
      <c r="HQ273" s="95"/>
      <c r="HR273" s="95"/>
      <c r="HS273" s="332"/>
      <c r="HT273" s="95"/>
      <c r="HU273" s="95"/>
      <c r="HV273" s="95"/>
      <c r="HW273" s="95"/>
      <c r="HX273" s="95"/>
      <c r="HY273" s="332"/>
      <c r="HZ273" s="95"/>
      <c r="IA273" s="95"/>
      <c r="IB273" s="95"/>
      <c r="IC273" s="95"/>
      <c r="ID273" s="95"/>
      <c r="IE273" s="332"/>
      <c r="IF273" s="95"/>
      <c r="IG273" s="95"/>
      <c r="IH273" s="95"/>
      <c r="II273" s="95"/>
      <c r="IJ273" s="95"/>
      <c r="IK273" s="332"/>
      <c r="IL273" s="95"/>
      <c r="IM273" s="95"/>
      <c r="IN273" s="95"/>
      <c r="IO273" s="95"/>
      <c r="IP273" s="95"/>
      <c r="IQ273" s="332"/>
      <c r="IR273" s="95"/>
    </row>
    <row r="274" spans="1:252" s="349" customFormat="1">
      <c r="A274" s="230"/>
      <c r="B274" s="883"/>
      <c r="C274" s="332"/>
      <c r="D274" s="883"/>
      <c r="E274" s="883"/>
      <c r="F274" s="231"/>
      <c r="G274" s="1119"/>
      <c r="H274" s="626"/>
      <c r="I274" s="1128"/>
      <c r="J274" s="631"/>
      <c r="K274" s="249"/>
      <c r="L274" s="883"/>
      <c r="M274" s="912"/>
      <c r="N274" s="883"/>
      <c r="O274" s="311"/>
      <c r="P274" s="2247" t="s">
        <v>2103</v>
      </c>
      <c r="Q274" s="332"/>
      <c r="R274" s="883"/>
      <c r="S274" s="883"/>
      <c r="T274" s="883"/>
      <c r="U274" s="883"/>
      <c r="V274" s="883"/>
      <c r="W274" s="332"/>
      <c r="X274" s="883"/>
      <c r="Y274" s="883"/>
      <c r="Z274" s="883"/>
      <c r="AA274" s="883"/>
      <c r="AB274" s="883"/>
      <c r="AC274" s="332"/>
      <c r="AD274" s="883"/>
      <c r="AE274" s="883"/>
      <c r="AF274" s="883"/>
      <c r="AG274" s="883"/>
      <c r="AH274" s="883"/>
      <c r="AI274" s="332"/>
      <c r="AJ274" s="883"/>
      <c r="AK274" s="883"/>
      <c r="AL274" s="883"/>
      <c r="AM274" s="883"/>
      <c r="AN274" s="883"/>
      <c r="AO274" s="332"/>
      <c r="AP274" s="883"/>
      <c r="AQ274" s="883"/>
      <c r="AR274" s="883"/>
      <c r="AS274" s="883"/>
      <c r="AT274" s="883"/>
      <c r="AU274" s="332"/>
      <c r="AV274" s="883"/>
      <c r="AW274" s="883"/>
      <c r="AX274" s="883"/>
      <c r="AY274" s="883"/>
      <c r="AZ274" s="883"/>
      <c r="BA274" s="332"/>
      <c r="BB274" s="883"/>
      <c r="BC274" s="883"/>
      <c r="BD274" s="883"/>
      <c r="BE274" s="883"/>
      <c r="BF274" s="883"/>
      <c r="BG274" s="332"/>
      <c r="BH274" s="883"/>
      <c r="BI274" s="883"/>
      <c r="BJ274" s="883"/>
      <c r="BK274" s="883"/>
      <c r="BL274" s="883"/>
      <c r="BM274" s="332"/>
      <c r="BN274" s="883"/>
      <c r="BO274" s="883"/>
      <c r="BP274" s="883"/>
      <c r="BQ274" s="883"/>
      <c r="BR274" s="883"/>
      <c r="BS274" s="332"/>
      <c r="BT274" s="883"/>
      <c r="BU274" s="883"/>
      <c r="BV274" s="883"/>
      <c r="BW274" s="883"/>
      <c r="BX274" s="883"/>
      <c r="BY274" s="332"/>
      <c r="BZ274" s="883"/>
      <c r="CA274" s="883"/>
      <c r="CB274" s="883"/>
      <c r="CC274" s="883"/>
      <c r="CD274" s="883"/>
      <c r="CE274" s="332"/>
      <c r="CF274" s="883"/>
      <c r="CG274" s="883"/>
      <c r="CH274" s="883"/>
      <c r="CI274" s="883"/>
      <c r="CJ274" s="883"/>
      <c r="CK274" s="332"/>
      <c r="CL274" s="883"/>
      <c r="CM274" s="883"/>
      <c r="CN274" s="883"/>
      <c r="CO274" s="883"/>
      <c r="CP274" s="883"/>
      <c r="CQ274" s="332"/>
      <c r="CR274" s="883"/>
      <c r="CS274" s="883"/>
      <c r="CT274" s="883"/>
      <c r="CU274" s="883"/>
      <c r="CV274" s="883"/>
      <c r="CW274" s="332"/>
      <c r="CX274" s="883"/>
      <c r="CY274" s="883"/>
      <c r="CZ274" s="883"/>
      <c r="DA274" s="883"/>
      <c r="DB274" s="883"/>
      <c r="DC274" s="332"/>
      <c r="DD274" s="883"/>
      <c r="DE274" s="883"/>
      <c r="DF274" s="883"/>
      <c r="DG274" s="883"/>
      <c r="DH274" s="883"/>
      <c r="DI274" s="332"/>
      <c r="DJ274" s="883"/>
      <c r="DK274" s="883"/>
      <c r="DL274" s="883"/>
      <c r="DM274" s="883"/>
      <c r="DN274" s="883"/>
      <c r="DO274" s="332"/>
      <c r="DP274" s="883"/>
      <c r="DQ274" s="883"/>
      <c r="DR274" s="883"/>
      <c r="DS274" s="883"/>
      <c r="DT274" s="883"/>
      <c r="DU274" s="332"/>
      <c r="DV274" s="883"/>
      <c r="DW274" s="883"/>
      <c r="DX274" s="883"/>
      <c r="DY274" s="883"/>
      <c r="DZ274" s="883"/>
      <c r="EA274" s="332"/>
      <c r="EB274" s="883"/>
      <c r="EC274" s="883"/>
      <c r="ED274" s="883"/>
      <c r="EE274" s="883"/>
      <c r="EF274" s="883"/>
      <c r="EG274" s="332"/>
      <c r="EH274" s="883"/>
      <c r="EI274" s="883"/>
      <c r="EJ274" s="883"/>
      <c r="EK274" s="883"/>
      <c r="EL274" s="883"/>
      <c r="EM274" s="332"/>
      <c r="EN274" s="883"/>
      <c r="EO274" s="883"/>
      <c r="EP274" s="883"/>
      <c r="EQ274" s="883"/>
      <c r="ER274" s="883"/>
      <c r="ES274" s="332"/>
      <c r="ET274" s="883"/>
      <c r="EU274" s="883"/>
      <c r="EV274" s="883"/>
      <c r="EW274" s="883"/>
      <c r="EX274" s="883"/>
      <c r="EY274" s="332"/>
      <c r="EZ274" s="883"/>
      <c r="FA274" s="883"/>
      <c r="FB274" s="883"/>
      <c r="FC274" s="883"/>
      <c r="FD274" s="883"/>
      <c r="FE274" s="332"/>
      <c r="FF274" s="883"/>
      <c r="FG274" s="883"/>
      <c r="FH274" s="883"/>
      <c r="FI274" s="883"/>
      <c r="FJ274" s="883"/>
      <c r="FK274" s="332"/>
      <c r="FL274" s="883"/>
      <c r="FM274" s="883"/>
      <c r="FN274" s="883"/>
      <c r="FO274" s="883"/>
      <c r="FP274" s="883"/>
      <c r="FQ274" s="332"/>
      <c r="FR274" s="883"/>
      <c r="FS274" s="883"/>
      <c r="FT274" s="883"/>
      <c r="FU274" s="883"/>
      <c r="FV274" s="883"/>
      <c r="FW274" s="332"/>
      <c r="FX274" s="883"/>
      <c r="FY274" s="883"/>
      <c r="FZ274" s="883"/>
      <c r="GA274" s="883"/>
      <c r="GB274" s="883"/>
      <c r="GC274" s="332"/>
      <c r="GD274" s="883"/>
      <c r="GE274" s="883"/>
      <c r="GF274" s="883"/>
      <c r="GG274" s="883"/>
      <c r="GH274" s="883"/>
      <c r="GI274" s="332"/>
      <c r="GJ274" s="883"/>
      <c r="GK274" s="883"/>
      <c r="GL274" s="883"/>
      <c r="GM274" s="883"/>
      <c r="GN274" s="883"/>
      <c r="GO274" s="332"/>
      <c r="GP274" s="883"/>
      <c r="GQ274" s="883"/>
      <c r="GR274" s="883"/>
      <c r="GS274" s="883"/>
      <c r="GT274" s="883"/>
      <c r="GU274" s="332"/>
      <c r="GV274" s="883"/>
      <c r="GW274" s="883"/>
      <c r="GX274" s="883"/>
      <c r="GY274" s="883"/>
      <c r="GZ274" s="883"/>
      <c r="HA274" s="332"/>
      <c r="HB274" s="883"/>
      <c r="HC274" s="883"/>
      <c r="HD274" s="883"/>
      <c r="HE274" s="883"/>
      <c r="HF274" s="883"/>
      <c r="HG274" s="332"/>
      <c r="HH274" s="883"/>
      <c r="HI274" s="883"/>
      <c r="HJ274" s="883"/>
      <c r="HK274" s="883"/>
      <c r="HL274" s="883"/>
      <c r="HM274" s="332"/>
      <c r="HN274" s="883"/>
      <c r="HO274" s="883"/>
      <c r="HP274" s="883"/>
      <c r="HQ274" s="883"/>
      <c r="HR274" s="883"/>
      <c r="HS274" s="332"/>
      <c r="HT274" s="883"/>
      <c r="HU274" s="883"/>
      <c r="HV274" s="883"/>
      <c r="HW274" s="883"/>
      <c r="HX274" s="883"/>
      <c r="HY274" s="332"/>
      <c r="HZ274" s="883"/>
      <c r="IA274" s="883"/>
      <c r="IB274" s="883"/>
      <c r="IC274" s="883"/>
      <c r="ID274" s="883"/>
      <c r="IE274" s="332"/>
      <c r="IF274" s="883"/>
      <c r="IG274" s="883"/>
      <c r="IH274" s="883"/>
      <c r="II274" s="883"/>
      <c r="IJ274" s="883"/>
      <c r="IK274" s="332"/>
      <c r="IL274" s="883"/>
      <c r="IM274" s="883"/>
      <c r="IN274" s="883"/>
      <c r="IO274" s="883"/>
      <c r="IP274" s="883"/>
      <c r="IQ274" s="332"/>
      <c r="IR274" s="883"/>
    </row>
    <row r="275" spans="1:252" ht="15.75">
      <c r="A275" s="230">
        <f>'Appendix A'!A113</f>
        <v>55</v>
      </c>
      <c r="B275" s="95"/>
      <c r="C275" s="154" t="str">
        <f>'Appendix A'!C113</f>
        <v xml:space="preserve">     Less: Account 565</v>
      </c>
      <c r="D275" s="95"/>
      <c r="E275" s="883"/>
      <c r="F275" s="231"/>
      <c r="G275" s="978" t="s">
        <v>32</v>
      </c>
      <c r="H275" s="1094">
        <f>INDEX(Inputs_EndYrBal,MATCH(G275,Inputs_FF1_Map,0))</f>
        <v>134473119</v>
      </c>
      <c r="I275" s="1126">
        <v>0</v>
      </c>
      <c r="J275" s="1127">
        <f>H275+I275</f>
        <v>134473119</v>
      </c>
      <c r="K275" s="249"/>
      <c r="L275" s="883"/>
      <c r="M275" s="912"/>
      <c r="N275" s="95"/>
      <c r="O275" s="95"/>
      <c r="P275" s="2247" t="s">
        <v>2103</v>
      </c>
      <c r="Q275" s="219"/>
      <c r="R275" s="95"/>
      <c r="S275" s="95"/>
      <c r="T275" s="95"/>
      <c r="U275" s="95"/>
      <c r="V275" s="95"/>
      <c r="W275" s="219"/>
      <c r="X275" s="95"/>
      <c r="Y275" s="95"/>
      <c r="Z275" s="95"/>
      <c r="AA275" s="95"/>
      <c r="AB275" s="95"/>
      <c r="AC275" s="219"/>
      <c r="AD275" s="95"/>
      <c r="AE275" s="95"/>
      <c r="AF275" s="95"/>
      <c r="AG275" s="95"/>
      <c r="AH275" s="95"/>
      <c r="AI275" s="219"/>
      <c r="AJ275" s="95"/>
      <c r="AK275" s="95"/>
      <c r="AL275" s="95"/>
      <c r="AM275" s="95"/>
      <c r="AN275" s="95"/>
      <c r="AO275" s="219"/>
      <c r="AP275" s="95"/>
      <c r="AQ275" s="95"/>
      <c r="AR275" s="95"/>
      <c r="AS275" s="95"/>
      <c r="AT275" s="95"/>
      <c r="AU275" s="219"/>
      <c r="AV275" s="95"/>
      <c r="AW275" s="95"/>
      <c r="AX275" s="95"/>
      <c r="AY275" s="95"/>
      <c r="AZ275" s="95"/>
      <c r="BA275" s="219"/>
      <c r="BB275" s="95"/>
      <c r="BC275" s="95"/>
      <c r="BD275" s="95"/>
      <c r="BE275" s="95"/>
      <c r="BF275" s="95"/>
      <c r="BG275" s="219"/>
      <c r="BH275" s="95"/>
      <c r="BI275" s="95"/>
      <c r="BJ275" s="95"/>
      <c r="BK275" s="95"/>
      <c r="BL275" s="95"/>
      <c r="BM275" s="219"/>
      <c r="BN275" s="95"/>
      <c r="BO275" s="95"/>
      <c r="BP275" s="95"/>
      <c r="BQ275" s="95"/>
      <c r="BR275" s="95"/>
      <c r="BS275" s="219"/>
      <c r="BT275" s="95"/>
      <c r="BU275" s="95"/>
      <c r="BV275" s="95"/>
      <c r="BW275" s="95"/>
      <c r="BX275" s="95"/>
      <c r="BY275" s="219"/>
      <c r="BZ275" s="95"/>
      <c r="CA275" s="95"/>
      <c r="CB275" s="95"/>
      <c r="CC275" s="95"/>
      <c r="CD275" s="95"/>
      <c r="CE275" s="219"/>
      <c r="CF275" s="95"/>
      <c r="CG275" s="95"/>
      <c r="CH275" s="95"/>
      <c r="CI275" s="95"/>
      <c r="CJ275" s="95"/>
      <c r="CK275" s="219"/>
      <c r="CL275" s="95"/>
      <c r="CM275" s="95"/>
      <c r="CN275" s="95"/>
      <c r="CO275" s="95"/>
      <c r="CP275" s="95"/>
      <c r="CQ275" s="219"/>
      <c r="CR275" s="95"/>
      <c r="CS275" s="95"/>
      <c r="CT275" s="95"/>
      <c r="CU275" s="95"/>
      <c r="CV275" s="95"/>
      <c r="CW275" s="219"/>
      <c r="CX275" s="95"/>
      <c r="CY275" s="95"/>
      <c r="CZ275" s="95"/>
      <c r="DA275" s="95"/>
      <c r="DB275" s="95"/>
      <c r="DC275" s="219"/>
      <c r="DD275" s="95"/>
      <c r="DE275" s="95"/>
      <c r="DF275" s="95"/>
      <c r="DG275" s="95"/>
      <c r="DH275" s="95"/>
      <c r="DI275" s="219"/>
      <c r="DJ275" s="95"/>
      <c r="DK275" s="95"/>
      <c r="DL275" s="95"/>
      <c r="DM275" s="95"/>
      <c r="DN275" s="95"/>
      <c r="DO275" s="219"/>
      <c r="DP275" s="95"/>
      <c r="DQ275" s="95"/>
      <c r="DR275" s="95"/>
      <c r="DS275" s="95"/>
      <c r="DT275" s="95"/>
      <c r="DU275" s="219"/>
      <c r="DV275" s="95"/>
      <c r="DW275" s="95"/>
      <c r="DX275" s="95"/>
      <c r="DY275" s="95"/>
      <c r="DZ275" s="95"/>
      <c r="EA275" s="219"/>
      <c r="EB275" s="95"/>
      <c r="EC275" s="95"/>
      <c r="ED275" s="95"/>
      <c r="EE275" s="95"/>
      <c r="EF275" s="95"/>
      <c r="EG275" s="219"/>
      <c r="EH275" s="95"/>
      <c r="EI275" s="95"/>
      <c r="EJ275" s="95"/>
      <c r="EK275" s="95"/>
      <c r="EL275" s="95"/>
      <c r="EM275" s="219"/>
      <c r="EN275" s="95"/>
      <c r="EO275" s="95"/>
      <c r="EP275" s="95"/>
      <c r="EQ275" s="95"/>
      <c r="ER275" s="95"/>
      <c r="ES275" s="219"/>
      <c r="ET275" s="95"/>
      <c r="EU275" s="95"/>
      <c r="EV275" s="95"/>
      <c r="EW275" s="95"/>
      <c r="EX275" s="95"/>
      <c r="EY275" s="219"/>
      <c r="EZ275" s="95"/>
      <c r="FA275" s="95"/>
      <c r="FB275" s="95"/>
      <c r="FC275" s="95"/>
      <c r="FD275" s="95"/>
      <c r="FE275" s="219"/>
      <c r="FF275" s="95"/>
      <c r="FG275" s="95"/>
      <c r="FH275" s="95"/>
      <c r="FI275" s="95"/>
      <c r="FJ275" s="95"/>
      <c r="FK275" s="219"/>
      <c r="FL275" s="95"/>
      <c r="FM275" s="95"/>
      <c r="FN275" s="95"/>
      <c r="FO275" s="95"/>
      <c r="FP275" s="95"/>
      <c r="FQ275" s="219"/>
      <c r="FR275" s="95"/>
      <c r="FS275" s="95"/>
      <c r="FT275" s="95"/>
      <c r="FU275" s="95"/>
      <c r="FV275" s="95"/>
      <c r="FW275" s="219"/>
      <c r="FX275" s="95"/>
      <c r="FY275" s="95"/>
      <c r="FZ275" s="95"/>
      <c r="GA275" s="95"/>
      <c r="GB275" s="95"/>
      <c r="GC275" s="219"/>
      <c r="GD275" s="95"/>
      <c r="GE275" s="95"/>
      <c r="GF275" s="95"/>
      <c r="GG275" s="95"/>
      <c r="GH275" s="95"/>
      <c r="GI275" s="219"/>
      <c r="GJ275" s="95"/>
      <c r="GK275" s="95"/>
      <c r="GL275" s="95"/>
      <c r="GM275" s="95"/>
      <c r="GN275" s="95"/>
      <c r="GO275" s="219"/>
      <c r="GP275" s="95"/>
      <c r="GQ275" s="95"/>
      <c r="GR275" s="95"/>
      <c r="GS275" s="95"/>
      <c r="GT275" s="95"/>
      <c r="GU275" s="219"/>
      <c r="GV275" s="95"/>
      <c r="GW275" s="95"/>
      <c r="GX275" s="95"/>
      <c r="GY275" s="95"/>
      <c r="GZ275" s="95"/>
      <c r="HA275" s="219"/>
      <c r="HB275" s="95"/>
      <c r="HC275" s="95"/>
      <c r="HD275" s="95"/>
      <c r="HE275" s="95"/>
      <c r="HF275" s="95"/>
      <c r="HG275" s="219"/>
      <c r="HH275" s="95"/>
      <c r="HI275" s="95"/>
      <c r="HJ275" s="95"/>
      <c r="HK275" s="95"/>
      <c r="HL275" s="95"/>
      <c r="HM275" s="219"/>
      <c r="HN275" s="95"/>
      <c r="HO275" s="95"/>
      <c r="HP275" s="95"/>
      <c r="HQ275" s="95"/>
      <c r="HR275" s="95"/>
      <c r="HS275" s="219"/>
      <c r="HT275" s="95"/>
      <c r="HU275" s="95"/>
      <c r="HV275" s="95"/>
      <c r="HW275" s="95"/>
      <c r="HX275" s="95"/>
      <c r="HY275" s="219"/>
      <c r="HZ275" s="95"/>
      <c r="IA275" s="95"/>
      <c r="IB275" s="95"/>
      <c r="IC275" s="95"/>
      <c r="ID275" s="95"/>
      <c r="IE275" s="219"/>
      <c r="IF275" s="95"/>
      <c r="IG275" s="95"/>
      <c r="IH275" s="95"/>
      <c r="II275" s="95"/>
      <c r="IJ275" s="95"/>
      <c r="IK275" s="219"/>
      <c r="IL275" s="95"/>
      <c r="IM275" s="95"/>
      <c r="IN275" s="95"/>
      <c r="IO275" s="95"/>
      <c r="IP275" s="95"/>
      <c r="IQ275" s="219"/>
      <c r="IR275" s="95"/>
    </row>
    <row r="276" spans="1:252" ht="16.5" thickBot="1">
      <c r="A276" s="238"/>
      <c r="B276" s="246"/>
      <c r="C276" s="246"/>
      <c r="D276" s="246"/>
      <c r="E276" s="849"/>
      <c r="F276" s="239"/>
      <c r="G276" s="253"/>
      <c r="H276" s="250"/>
      <c r="I276" s="250"/>
      <c r="J276" s="250"/>
      <c r="K276" s="250"/>
      <c r="L276" s="271"/>
      <c r="M276" s="272"/>
      <c r="N276" s="95"/>
      <c r="O276" s="95"/>
      <c r="P276" s="2249"/>
      <c r="Q276" s="219"/>
      <c r="R276" s="95"/>
      <c r="S276" s="95"/>
      <c r="T276" s="95"/>
      <c r="U276" s="95"/>
      <c r="V276" s="95"/>
      <c r="W276" s="219"/>
      <c r="X276" s="95"/>
      <c r="Y276" s="95"/>
      <c r="Z276" s="95"/>
      <c r="AA276" s="95"/>
      <c r="AB276" s="95"/>
      <c r="AC276" s="219"/>
      <c r="AD276" s="95"/>
      <c r="AE276" s="95"/>
      <c r="AF276" s="95"/>
      <c r="AG276" s="95"/>
      <c r="AH276" s="95"/>
      <c r="AI276" s="219"/>
      <c r="AJ276" s="95"/>
      <c r="AK276" s="95"/>
      <c r="AL276" s="95"/>
      <c r="AM276" s="95"/>
      <c r="AN276" s="95"/>
      <c r="AO276" s="219"/>
      <c r="AP276" s="95"/>
      <c r="AQ276" s="95"/>
      <c r="AR276" s="95"/>
      <c r="AS276" s="95"/>
      <c r="AT276" s="95"/>
      <c r="AU276" s="219"/>
      <c r="AV276" s="95"/>
      <c r="AW276" s="95"/>
      <c r="AX276" s="95"/>
      <c r="AY276" s="95"/>
      <c r="AZ276" s="95"/>
      <c r="BA276" s="219"/>
      <c r="BB276" s="95"/>
      <c r="BC276" s="95"/>
      <c r="BD276" s="95"/>
      <c r="BE276" s="95"/>
      <c r="BF276" s="95"/>
      <c r="BG276" s="219"/>
      <c r="BH276" s="95"/>
      <c r="BI276" s="95"/>
      <c r="BJ276" s="95"/>
      <c r="BK276" s="95"/>
      <c r="BL276" s="95"/>
      <c r="BM276" s="219"/>
      <c r="BN276" s="95"/>
      <c r="BO276" s="95"/>
      <c r="BP276" s="95"/>
      <c r="BQ276" s="95"/>
      <c r="BR276" s="95"/>
      <c r="BS276" s="219"/>
      <c r="BT276" s="95"/>
      <c r="BU276" s="95"/>
      <c r="BV276" s="95"/>
      <c r="BW276" s="95"/>
      <c r="BX276" s="95"/>
      <c r="BY276" s="219"/>
      <c r="BZ276" s="95"/>
      <c r="CA276" s="95"/>
      <c r="CB276" s="95"/>
      <c r="CC276" s="95"/>
      <c r="CD276" s="95"/>
      <c r="CE276" s="219"/>
      <c r="CF276" s="95"/>
      <c r="CG276" s="95"/>
      <c r="CH276" s="95"/>
      <c r="CI276" s="95"/>
      <c r="CJ276" s="95"/>
      <c r="CK276" s="219"/>
      <c r="CL276" s="95"/>
      <c r="CM276" s="95"/>
      <c r="CN276" s="95"/>
      <c r="CO276" s="95"/>
      <c r="CP276" s="95"/>
      <c r="CQ276" s="219"/>
      <c r="CR276" s="95"/>
      <c r="CS276" s="95"/>
      <c r="CT276" s="95"/>
      <c r="CU276" s="95"/>
      <c r="CV276" s="95"/>
      <c r="CW276" s="219"/>
      <c r="CX276" s="95"/>
      <c r="CY276" s="95"/>
      <c r="CZ276" s="95"/>
      <c r="DA276" s="95"/>
      <c r="DB276" s="95"/>
      <c r="DC276" s="219"/>
      <c r="DD276" s="95"/>
      <c r="DE276" s="95"/>
      <c r="DF276" s="95"/>
      <c r="DG276" s="95"/>
      <c r="DH276" s="95"/>
      <c r="DI276" s="219"/>
      <c r="DJ276" s="95"/>
      <c r="DK276" s="95"/>
      <c r="DL276" s="95"/>
      <c r="DM276" s="95"/>
      <c r="DN276" s="95"/>
      <c r="DO276" s="219"/>
      <c r="DP276" s="95"/>
      <c r="DQ276" s="95"/>
      <c r="DR276" s="95"/>
      <c r="DS276" s="95"/>
      <c r="DT276" s="95"/>
      <c r="DU276" s="219"/>
      <c r="DV276" s="95"/>
      <c r="DW276" s="95"/>
      <c r="DX276" s="95"/>
      <c r="DY276" s="95"/>
      <c r="DZ276" s="95"/>
      <c r="EA276" s="219"/>
      <c r="EB276" s="95"/>
      <c r="EC276" s="95"/>
      <c r="ED276" s="95"/>
      <c r="EE276" s="95"/>
      <c r="EF276" s="95"/>
      <c r="EG276" s="219"/>
      <c r="EH276" s="95"/>
      <c r="EI276" s="95"/>
      <c r="EJ276" s="95"/>
      <c r="EK276" s="95"/>
      <c r="EL276" s="95"/>
      <c r="EM276" s="219"/>
      <c r="EN276" s="95"/>
      <c r="EO276" s="95"/>
      <c r="EP276" s="95"/>
      <c r="EQ276" s="95"/>
      <c r="ER276" s="95"/>
      <c r="ES276" s="219"/>
      <c r="ET276" s="95"/>
      <c r="EU276" s="95"/>
      <c r="EV276" s="95"/>
      <c r="EW276" s="95"/>
      <c r="EX276" s="95"/>
      <c r="EY276" s="219"/>
      <c r="EZ276" s="95"/>
      <c r="FA276" s="95"/>
      <c r="FB276" s="95"/>
      <c r="FC276" s="95"/>
      <c r="FD276" s="95"/>
      <c r="FE276" s="219"/>
      <c r="FF276" s="95"/>
      <c r="FG276" s="95"/>
      <c r="FH276" s="95"/>
      <c r="FI276" s="95"/>
      <c r="FJ276" s="95"/>
      <c r="FK276" s="219"/>
      <c r="FL276" s="95"/>
      <c r="FM276" s="95"/>
      <c r="FN276" s="95"/>
      <c r="FO276" s="95"/>
      <c r="FP276" s="95"/>
      <c r="FQ276" s="219"/>
      <c r="FR276" s="95"/>
      <c r="FS276" s="95"/>
      <c r="FT276" s="95"/>
      <c r="FU276" s="95"/>
      <c r="FV276" s="95"/>
      <c r="FW276" s="219"/>
      <c r="FX276" s="95"/>
      <c r="FY276" s="95"/>
      <c r="FZ276" s="95"/>
      <c r="GA276" s="95"/>
      <c r="GB276" s="95"/>
      <c r="GC276" s="219"/>
      <c r="GD276" s="95"/>
      <c r="GE276" s="95"/>
      <c r="GF276" s="95"/>
      <c r="GG276" s="95"/>
      <c r="GH276" s="95"/>
      <c r="GI276" s="219"/>
      <c r="GJ276" s="95"/>
      <c r="GK276" s="95"/>
      <c r="GL276" s="95"/>
      <c r="GM276" s="95"/>
      <c r="GN276" s="95"/>
      <c r="GO276" s="219"/>
      <c r="GP276" s="95"/>
      <c r="GQ276" s="95"/>
      <c r="GR276" s="95"/>
      <c r="GS276" s="95"/>
      <c r="GT276" s="95"/>
      <c r="GU276" s="219"/>
      <c r="GV276" s="95"/>
      <c r="GW276" s="95"/>
      <c r="GX276" s="95"/>
      <c r="GY276" s="95"/>
      <c r="GZ276" s="95"/>
      <c r="HA276" s="219"/>
      <c r="HB276" s="95"/>
      <c r="HC276" s="95"/>
      <c r="HD276" s="95"/>
      <c r="HE276" s="95"/>
      <c r="HF276" s="95"/>
      <c r="HG276" s="219"/>
      <c r="HH276" s="95"/>
      <c r="HI276" s="95"/>
      <c r="HJ276" s="95"/>
      <c r="HK276" s="95"/>
      <c r="HL276" s="95"/>
      <c r="HM276" s="219"/>
      <c r="HN276" s="95"/>
      <c r="HO276" s="95"/>
      <c r="HP276" s="95"/>
      <c r="HQ276" s="95"/>
      <c r="HR276" s="95"/>
      <c r="HS276" s="219"/>
      <c r="HT276" s="95"/>
      <c r="HU276" s="95"/>
      <c r="HV276" s="95"/>
      <c r="HW276" s="95"/>
      <c r="HX276" s="95"/>
      <c r="HY276" s="219"/>
      <c r="HZ276" s="95"/>
      <c r="IA276" s="95"/>
      <c r="IB276" s="95"/>
      <c r="IC276" s="95"/>
      <c r="ID276" s="95"/>
      <c r="IE276" s="219"/>
      <c r="IF276" s="95"/>
      <c r="IG276" s="95"/>
      <c r="IH276" s="95"/>
      <c r="II276" s="95"/>
      <c r="IJ276" s="95"/>
      <c r="IK276" s="219"/>
      <c r="IL276" s="95"/>
      <c r="IM276" s="95"/>
      <c r="IN276" s="95"/>
      <c r="IO276" s="95"/>
      <c r="IP276" s="95"/>
      <c r="IQ276" s="219"/>
      <c r="IR276" s="95"/>
    </row>
    <row r="277" spans="1:252" ht="15.75">
      <c r="A277" s="883"/>
      <c r="B277" s="95"/>
      <c r="C277" s="95"/>
      <c r="D277" s="95"/>
      <c r="E277" s="883"/>
      <c r="F277" s="231"/>
      <c r="G277" s="95"/>
      <c r="H277" s="38"/>
      <c r="I277" s="38"/>
      <c r="J277" s="38"/>
      <c r="K277" s="38"/>
      <c r="L277" s="270"/>
      <c r="M277" s="38"/>
      <c r="N277" s="95"/>
      <c r="O277" s="95"/>
      <c r="P277" s="2249"/>
      <c r="Q277" s="219"/>
      <c r="R277" s="95"/>
      <c r="S277" s="95"/>
      <c r="T277" s="95"/>
      <c r="U277" s="95"/>
      <c r="V277" s="95"/>
      <c r="W277" s="219"/>
      <c r="X277" s="95"/>
      <c r="Y277" s="95"/>
      <c r="Z277" s="95"/>
      <c r="AA277" s="95"/>
      <c r="AB277" s="95"/>
      <c r="AC277" s="219"/>
      <c r="AD277" s="95"/>
      <c r="AE277" s="95"/>
      <c r="AF277" s="95"/>
      <c r="AG277" s="95"/>
      <c r="AH277" s="95"/>
      <c r="AI277" s="219"/>
      <c r="AJ277" s="95"/>
      <c r="AK277" s="95"/>
      <c r="AL277" s="95"/>
      <c r="AM277" s="95"/>
      <c r="AN277" s="95"/>
      <c r="AO277" s="219"/>
      <c r="AP277" s="95"/>
      <c r="AQ277" s="95"/>
      <c r="AR277" s="95"/>
      <c r="AS277" s="95"/>
      <c r="AT277" s="95"/>
      <c r="AU277" s="219"/>
      <c r="AV277" s="95"/>
      <c r="AW277" s="95"/>
      <c r="AX277" s="95"/>
      <c r="AY277" s="95"/>
      <c r="AZ277" s="95"/>
      <c r="BA277" s="219"/>
      <c r="BB277" s="95"/>
      <c r="BC277" s="95"/>
      <c r="BD277" s="95"/>
      <c r="BE277" s="95"/>
      <c r="BF277" s="95"/>
      <c r="BG277" s="219"/>
      <c r="BH277" s="95"/>
      <c r="BI277" s="95"/>
      <c r="BJ277" s="95"/>
      <c r="BK277" s="95"/>
      <c r="BL277" s="95"/>
      <c r="BM277" s="219"/>
      <c r="BN277" s="95"/>
      <c r="BO277" s="95"/>
      <c r="BP277" s="95"/>
      <c r="BQ277" s="95"/>
      <c r="BR277" s="95"/>
      <c r="BS277" s="219"/>
      <c r="BT277" s="95"/>
      <c r="BU277" s="95"/>
      <c r="BV277" s="95"/>
      <c r="BW277" s="95"/>
      <c r="BX277" s="95"/>
      <c r="BY277" s="219"/>
      <c r="BZ277" s="95"/>
      <c r="CA277" s="95"/>
      <c r="CB277" s="95"/>
      <c r="CC277" s="95"/>
      <c r="CD277" s="95"/>
      <c r="CE277" s="219"/>
      <c r="CF277" s="95"/>
      <c r="CG277" s="95"/>
      <c r="CH277" s="95"/>
      <c r="CI277" s="95"/>
      <c r="CJ277" s="95"/>
      <c r="CK277" s="219"/>
      <c r="CL277" s="95"/>
      <c r="CM277" s="95"/>
      <c r="CN277" s="95"/>
      <c r="CO277" s="95"/>
      <c r="CP277" s="95"/>
      <c r="CQ277" s="219"/>
      <c r="CR277" s="95"/>
      <c r="CS277" s="95"/>
      <c r="CT277" s="95"/>
      <c r="CU277" s="95"/>
      <c r="CV277" s="95"/>
      <c r="CW277" s="219"/>
      <c r="CX277" s="95"/>
      <c r="CY277" s="95"/>
      <c r="CZ277" s="95"/>
      <c r="DA277" s="95"/>
      <c r="DB277" s="95"/>
      <c r="DC277" s="219"/>
      <c r="DD277" s="95"/>
      <c r="DE277" s="95"/>
      <c r="DF277" s="95"/>
      <c r="DG277" s="95"/>
      <c r="DH277" s="95"/>
      <c r="DI277" s="219"/>
      <c r="DJ277" s="95"/>
      <c r="DK277" s="95"/>
      <c r="DL277" s="95"/>
      <c r="DM277" s="95"/>
      <c r="DN277" s="95"/>
      <c r="DO277" s="219"/>
      <c r="DP277" s="95"/>
      <c r="DQ277" s="95"/>
      <c r="DR277" s="95"/>
      <c r="DS277" s="95"/>
      <c r="DT277" s="95"/>
      <c r="DU277" s="219"/>
      <c r="DV277" s="95"/>
      <c r="DW277" s="95"/>
      <c r="DX277" s="95"/>
      <c r="DY277" s="95"/>
      <c r="DZ277" s="95"/>
      <c r="EA277" s="219"/>
      <c r="EB277" s="95"/>
      <c r="EC277" s="95"/>
      <c r="ED277" s="95"/>
      <c r="EE277" s="95"/>
      <c r="EF277" s="95"/>
      <c r="EG277" s="219"/>
      <c r="EH277" s="95"/>
      <c r="EI277" s="95"/>
      <c r="EJ277" s="95"/>
      <c r="EK277" s="95"/>
      <c r="EL277" s="95"/>
      <c r="EM277" s="219"/>
      <c r="EN277" s="95"/>
      <c r="EO277" s="95"/>
      <c r="EP277" s="95"/>
      <c r="EQ277" s="95"/>
      <c r="ER277" s="95"/>
      <c r="ES277" s="219"/>
      <c r="ET277" s="95"/>
      <c r="EU277" s="95"/>
      <c r="EV277" s="95"/>
      <c r="EW277" s="95"/>
      <c r="EX277" s="95"/>
      <c r="EY277" s="219"/>
      <c r="EZ277" s="95"/>
      <c r="FA277" s="95"/>
      <c r="FB277" s="95"/>
      <c r="FC277" s="95"/>
      <c r="FD277" s="95"/>
      <c r="FE277" s="219"/>
      <c r="FF277" s="95"/>
      <c r="FG277" s="95"/>
      <c r="FH277" s="95"/>
      <c r="FI277" s="95"/>
      <c r="FJ277" s="95"/>
      <c r="FK277" s="219"/>
      <c r="FL277" s="95"/>
      <c r="FM277" s="95"/>
      <c r="FN277" s="95"/>
      <c r="FO277" s="95"/>
      <c r="FP277" s="95"/>
      <c r="FQ277" s="219"/>
      <c r="FR277" s="95"/>
      <c r="FS277" s="95"/>
      <c r="FT277" s="95"/>
      <c r="FU277" s="95"/>
      <c r="FV277" s="95"/>
      <c r="FW277" s="219"/>
      <c r="FX277" s="95"/>
      <c r="FY277" s="95"/>
      <c r="FZ277" s="95"/>
      <c r="GA277" s="95"/>
      <c r="GB277" s="95"/>
      <c r="GC277" s="219"/>
      <c r="GD277" s="95"/>
      <c r="GE277" s="95"/>
      <c r="GF277" s="95"/>
      <c r="GG277" s="95"/>
      <c r="GH277" s="95"/>
      <c r="GI277" s="219"/>
      <c r="GJ277" s="95"/>
      <c r="GK277" s="95"/>
      <c r="GL277" s="95"/>
      <c r="GM277" s="95"/>
      <c r="GN277" s="95"/>
      <c r="GO277" s="219"/>
      <c r="GP277" s="95"/>
      <c r="GQ277" s="95"/>
      <c r="GR277" s="95"/>
      <c r="GS277" s="95"/>
      <c r="GT277" s="95"/>
      <c r="GU277" s="219"/>
      <c r="GV277" s="95"/>
      <c r="GW277" s="95"/>
      <c r="GX277" s="95"/>
      <c r="GY277" s="95"/>
      <c r="GZ277" s="95"/>
      <c r="HA277" s="219"/>
      <c r="HB277" s="95"/>
      <c r="HC277" s="95"/>
      <c r="HD277" s="95"/>
      <c r="HE277" s="95"/>
      <c r="HF277" s="95"/>
      <c r="HG277" s="219"/>
      <c r="HH277" s="95"/>
      <c r="HI277" s="95"/>
      <c r="HJ277" s="95"/>
      <c r="HK277" s="95"/>
      <c r="HL277" s="95"/>
      <c r="HM277" s="219"/>
      <c r="HN277" s="95"/>
      <c r="HO277" s="95"/>
      <c r="HP277" s="95"/>
      <c r="HQ277" s="95"/>
      <c r="HR277" s="95"/>
      <c r="HS277" s="219"/>
      <c r="HT277" s="95"/>
      <c r="HU277" s="95"/>
      <c r="HV277" s="95"/>
      <c r="HW277" s="95"/>
      <c r="HX277" s="95"/>
      <c r="HY277" s="219"/>
      <c r="HZ277" s="95"/>
      <c r="IA277" s="95"/>
      <c r="IB277" s="95"/>
      <c r="IC277" s="95"/>
      <c r="ID277" s="95"/>
      <c r="IE277" s="219"/>
      <c r="IF277" s="95"/>
      <c r="IG277" s="95"/>
      <c r="IH277" s="95"/>
      <c r="II277" s="95"/>
      <c r="IJ277" s="95"/>
      <c r="IK277" s="219"/>
      <c r="IL277" s="95"/>
      <c r="IM277" s="95"/>
      <c r="IN277" s="95"/>
      <c r="IO277" s="95"/>
      <c r="IP277" s="95"/>
      <c r="IQ277" s="219"/>
      <c r="IR277" s="95"/>
    </row>
    <row r="278" spans="1:252" s="349" customFormat="1" ht="15.75">
      <c r="A278" s="883"/>
      <c r="B278" s="809"/>
      <c r="C278" s="809"/>
      <c r="D278" s="809"/>
      <c r="E278" s="883"/>
      <c r="F278" s="231"/>
      <c r="G278" s="809"/>
      <c r="H278" s="38"/>
      <c r="I278" s="38"/>
      <c r="J278" s="38"/>
      <c r="K278" s="38"/>
      <c r="L278" s="270"/>
      <c r="M278" s="38"/>
      <c r="N278" s="809"/>
      <c r="O278" s="809"/>
      <c r="P278" s="2249"/>
      <c r="Q278" s="332"/>
      <c r="R278" s="809"/>
      <c r="S278" s="809"/>
      <c r="T278" s="809"/>
      <c r="U278" s="809"/>
      <c r="V278" s="809"/>
      <c r="W278" s="332"/>
      <c r="X278" s="809"/>
      <c r="Y278" s="809"/>
      <c r="Z278" s="809"/>
      <c r="AA278" s="809"/>
      <c r="AB278" s="809"/>
      <c r="AC278" s="332"/>
      <c r="AD278" s="809"/>
      <c r="AE278" s="809"/>
      <c r="AF278" s="809"/>
      <c r="AG278" s="809"/>
      <c r="AH278" s="809"/>
      <c r="AI278" s="332"/>
      <c r="AJ278" s="809"/>
      <c r="AK278" s="809"/>
      <c r="AL278" s="809"/>
      <c r="AM278" s="809"/>
      <c r="AN278" s="809"/>
      <c r="AO278" s="332"/>
      <c r="AP278" s="809"/>
      <c r="AQ278" s="809"/>
      <c r="AR278" s="809"/>
      <c r="AS278" s="809"/>
      <c r="AT278" s="809"/>
      <c r="AU278" s="332"/>
      <c r="AV278" s="809"/>
      <c r="AW278" s="809"/>
      <c r="AX278" s="809"/>
      <c r="AY278" s="809"/>
      <c r="AZ278" s="809"/>
      <c r="BA278" s="332"/>
      <c r="BB278" s="809"/>
      <c r="BC278" s="809"/>
      <c r="BD278" s="809"/>
      <c r="BE278" s="809"/>
      <c r="BF278" s="809"/>
      <c r="BG278" s="332"/>
      <c r="BH278" s="809"/>
      <c r="BI278" s="809"/>
      <c r="BJ278" s="809"/>
      <c r="BK278" s="809"/>
      <c r="BL278" s="809"/>
      <c r="BM278" s="332"/>
      <c r="BN278" s="809"/>
      <c r="BO278" s="809"/>
      <c r="BP278" s="809"/>
      <c r="BQ278" s="809"/>
      <c r="BR278" s="809"/>
      <c r="BS278" s="332"/>
      <c r="BT278" s="809"/>
      <c r="BU278" s="809"/>
      <c r="BV278" s="809"/>
      <c r="BW278" s="809"/>
      <c r="BX278" s="809"/>
      <c r="BY278" s="332"/>
      <c r="BZ278" s="809"/>
      <c r="CA278" s="809"/>
      <c r="CB278" s="809"/>
      <c r="CC278" s="809"/>
      <c r="CD278" s="809"/>
      <c r="CE278" s="332"/>
      <c r="CF278" s="809"/>
      <c r="CG278" s="809"/>
      <c r="CH278" s="809"/>
      <c r="CI278" s="809"/>
      <c r="CJ278" s="809"/>
      <c r="CK278" s="332"/>
      <c r="CL278" s="809"/>
      <c r="CM278" s="809"/>
      <c r="CN278" s="809"/>
      <c r="CO278" s="809"/>
      <c r="CP278" s="809"/>
      <c r="CQ278" s="332"/>
      <c r="CR278" s="809"/>
      <c r="CS278" s="809"/>
      <c r="CT278" s="809"/>
      <c r="CU278" s="809"/>
      <c r="CV278" s="809"/>
      <c r="CW278" s="332"/>
      <c r="CX278" s="809"/>
      <c r="CY278" s="809"/>
      <c r="CZ278" s="809"/>
      <c r="DA278" s="809"/>
      <c r="DB278" s="809"/>
      <c r="DC278" s="332"/>
      <c r="DD278" s="809"/>
      <c r="DE278" s="809"/>
      <c r="DF278" s="809"/>
      <c r="DG278" s="809"/>
      <c r="DH278" s="809"/>
      <c r="DI278" s="332"/>
      <c r="DJ278" s="809"/>
      <c r="DK278" s="809"/>
      <c r="DL278" s="809"/>
      <c r="DM278" s="809"/>
      <c r="DN278" s="809"/>
      <c r="DO278" s="332"/>
      <c r="DP278" s="809"/>
      <c r="DQ278" s="809"/>
      <c r="DR278" s="809"/>
      <c r="DS278" s="809"/>
      <c r="DT278" s="809"/>
      <c r="DU278" s="332"/>
      <c r="DV278" s="809"/>
      <c r="DW278" s="809"/>
      <c r="DX278" s="809"/>
      <c r="DY278" s="809"/>
      <c r="DZ278" s="809"/>
      <c r="EA278" s="332"/>
      <c r="EB278" s="809"/>
      <c r="EC278" s="809"/>
      <c r="ED278" s="809"/>
      <c r="EE278" s="809"/>
      <c r="EF278" s="809"/>
      <c r="EG278" s="332"/>
      <c r="EH278" s="809"/>
      <c r="EI278" s="809"/>
      <c r="EJ278" s="809"/>
      <c r="EK278" s="809"/>
      <c r="EL278" s="809"/>
      <c r="EM278" s="332"/>
      <c r="EN278" s="809"/>
      <c r="EO278" s="809"/>
      <c r="EP278" s="809"/>
      <c r="EQ278" s="809"/>
      <c r="ER278" s="809"/>
      <c r="ES278" s="332"/>
      <c r="ET278" s="809"/>
      <c r="EU278" s="809"/>
      <c r="EV278" s="809"/>
      <c r="EW278" s="809"/>
      <c r="EX278" s="809"/>
      <c r="EY278" s="332"/>
      <c r="EZ278" s="809"/>
      <c r="FA278" s="809"/>
      <c r="FB278" s="809"/>
      <c r="FC278" s="809"/>
      <c r="FD278" s="809"/>
      <c r="FE278" s="332"/>
      <c r="FF278" s="809"/>
      <c r="FG278" s="809"/>
      <c r="FH278" s="809"/>
      <c r="FI278" s="809"/>
      <c r="FJ278" s="809"/>
      <c r="FK278" s="332"/>
      <c r="FL278" s="809"/>
      <c r="FM278" s="809"/>
      <c r="FN278" s="809"/>
      <c r="FO278" s="809"/>
      <c r="FP278" s="809"/>
      <c r="FQ278" s="332"/>
      <c r="FR278" s="809"/>
      <c r="FS278" s="809"/>
      <c r="FT278" s="809"/>
      <c r="FU278" s="809"/>
      <c r="FV278" s="809"/>
      <c r="FW278" s="332"/>
      <c r="FX278" s="809"/>
      <c r="FY278" s="809"/>
      <c r="FZ278" s="809"/>
      <c r="GA278" s="809"/>
      <c r="GB278" s="809"/>
      <c r="GC278" s="332"/>
      <c r="GD278" s="809"/>
      <c r="GE278" s="809"/>
      <c r="GF278" s="809"/>
      <c r="GG278" s="809"/>
      <c r="GH278" s="809"/>
      <c r="GI278" s="332"/>
      <c r="GJ278" s="809"/>
      <c r="GK278" s="809"/>
      <c r="GL278" s="809"/>
      <c r="GM278" s="809"/>
      <c r="GN278" s="809"/>
      <c r="GO278" s="332"/>
      <c r="GP278" s="809"/>
      <c r="GQ278" s="809"/>
      <c r="GR278" s="809"/>
      <c r="GS278" s="809"/>
      <c r="GT278" s="809"/>
      <c r="GU278" s="332"/>
      <c r="GV278" s="809"/>
      <c r="GW278" s="809"/>
      <c r="GX278" s="809"/>
      <c r="GY278" s="809"/>
      <c r="GZ278" s="809"/>
      <c r="HA278" s="332"/>
      <c r="HB278" s="809"/>
      <c r="HC278" s="809"/>
      <c r="HD278" s="809"/>
      <c r="HE278" s="809"/>
      <c r="HF278" s="809"/>
      <c r="HG278" s="332"/>
      <c r="HH278" s="809"/>
      <c r="HI278" s="809"/>
      <c r="HJ278" s="809"/>
      <c r="HK278" s="809"/>
      <c r="HL278" s="809"/>
      <c r="HM278" s="332"/>
      <c r="HN278" s="809"/>
      <c r="HO278" s="809"/>
      <c r="HP278" s="809"/>
      <c r="HQ278" s="809"/>
      <c r="HR278" s="809"/>
      <c r="HS278" s="332"/>
      <c r="HT278" s="809"/>
      <c r="HU278" s="809"/>
      <c r="HV278" s="809"/>
      <c r="HW278" s="809"/>
      <c r="HX278" s="809"/>
      <c r="HY278" s="332"/>
      <c r="HZ278" s="809"/>
      <c r="IA278" s="809"/>
      <c r="IB278" s="809"/>
      <c r="IC278" s="809"/>
      <c r="ID278" s="809"/>
      <c r="IE278" s="332"/>
      <c r="IF278" s="809"/>
      <c r="IG278" s="809"/>
      <c r="IH278" s="809"/>
      <c r="II278" s="809"/>
      <c r="IJ278" s="809"/>
      <c r="IK278" s="332"/>
      <c r="IL278" s="809"/>
      <c r="IM278" s="809"/>
      <c r="IN278" s="809"/>
      <c r="IO278" s="809"/>
      <c r="IP278" s="809"/>
      <c r="IQ278" s="332"/>
      <c r="IR278" s="809"/>
    </row>
    <row r="279" spans="1:252" ht="16.5" thickBot="1">
      <c r="A279" s="878" t="str">
        <f>'Appendix A'!C284</f>
        <v xml:space="preserve">Facility Credits under Section 30.9 of the OATT </v>
      </c>
    </row>
    <row r="280" spans="1:252">
      <c r="A280" s="2691" t="s">
        <v>7</v>
      </c>
      <c r="B280" s="2692"/>
      <c r="C280" s="2692"/>
      <c r="D280" s="2692"/>
      <c r="E280" s="2692"/>
      <c r="F280" s="2692"/>
      <c r="G280" s="2693"/>
      <c r="H280" s="907" t="s">
        <v>79</v>
      </c>
      <c r="I280" s="908" t="s">
        <v>349</v>
      </c>
      <c r="J280" s="910"/>
      <c r="K280" s="910"/>
      <c r="L280" s="910"/>
      <c r="M280" s="911"/>
    </row>
    <row r="281" spans="1:252" ht="15.75">
      <c r="A281" s="230"/>
      <c r="B281" s="82" t="str">
        <f>'Appendix A'!C283</f>
        <v>Net Revenue Requirement</v>
      </c>
      <c r="C281" s="51"/>
      <c r="D281" s="51"/>
      <c r="E281" s="51"/>
      <c r="F281" s="426"/>
      <c r="G281" s="234"/>
      <c r="H281" s="38"/>
      <c r="I281" s="38"/>
      <c r="J281" s="38"/>
      <c r="K281" s="38"/>
      <c r="L281" s="38"/>
      <c r="M281" s="229"/>
    </row>
    <row r="282" spans="1:252" ht="15.75">
      <c r="A282" s="230">
        <f>'Appendix A'!A284</f>
        <v>166</v>
      </c>
      <c r="B282" s="35"/>
      <c r="C282" s="37" t="str">
        <f>+'Appendix A'!C284</f>
        <v xml:space="preserve">Facility Credits under Section 30.9 of the OATT </v>
      </c>
      <c r="D282" s="37"/>
      <c r="E282" s="37"/>
      <c r="F282" s="495"/>
      <c r="G282" s="496"/>
      <c r="H282" s="1254">
        <f>Inputs!E88</f>
        <v>0</v>
      </c>
      <c r="I282" s="349" t="s">
        <v>1015</v>
      </c>
      <c r="J282" s="319"/>
      <c r="K282" s="319"/>
      <c r="L282" s="319"/>
      <c r="M282" s="320"/>
    </row>
    <row r="283" spans="1:252" ht="15.75">
      <c r="A283" s="230">
        <f>'Appendix A'!A286</f>
        <v>168</v>
      </c>
      <c r="B283" s="35"/>
      <c r="C283" s="37" t="str">
        <f>'Appendix A'!C286</f>
        <v>Interest on Network Upgrade Facilities</v>
      </c>
      <c r="D283" s="37"/>
      <c r="E283" s="37"/>
      <c r="F283" s="495"/>
      <c r="G283" s="810"/>
      <c r="H283" s="1255">
        <f>Inputs!$E$89</f>
        <v>1468173.9100000001</v>
      </c>
      <c r="I283" s="349" t="s">
        <v>1015</v>
      </c>
      <c r="J283" s="319"/>
      <c r="K283" s="319"/>
      <c r="L283" s="319"/>
      <c r="M283" s="320"/>
    </row>
    <row r="284" spans="1:252" s="349" customFormat="1" ht="15.75" thickBot="1">
      <c r="A284" s="238"/>
      <c r="B284" s="848"/>
      <c r="C284" s="844"/>
      <c r="D284" s="844"/>
      <c r="E284" s="844"/>
      <c r="F284" s="849"/>
      <c r="G284" s="253"/>
      <c r="H284" s="858"/>
      <c r="I284" s="857"/>
      <c r="J284" s="857"/>
      <c r="K284" s="857"/>
      <c r="L284" s="857"/>
      <c r="M284" s="492"/>
      <c r="P284" s="2246"/>
    </row>
    <row r="285" spans="1:252" ht="15.75">
      <c r="A285" s="883"/>
      <c r="B285" s="95"/>
      <c r="C285" s="95"/>
      <c r="D285" s="95"/>
      <c r="E285" s="883"/>
      <c r="F285" s="231"/>
      <c r="G285" s="95"/>
      <c r="H285" s="38"/>
      <c r="I285" s="38"/>
      <c r="J285" s="38"/>
      <c r="K285" s="38"/>
      <c r="L285" s="270"/>
      <c r="M285" s="38"/>
      <c r="N285" s="95"/>
      <c r="O285" s="95"/>
      <c r="P285" s="2249"/>
      <c r="Q285" s="219"/>
      <c r="R285" s="95"/>
      <c r="S285" s="95"/>
      <c r="T285" s="95"/>
      <c r="U285" s="95"/>
      <c r="V285" s="95"/>
      <c r="W285" s="219"/>
      <c r="X285" s="95"/>
      <c r="Y285" s="95"/>
      <c r="Z285" s="95"/>
      <c r="AA285" s="95"/>
      <c r="AB285" s="95"/>
      <c r="AC285" s="219"/>
      <c r="AD285" s="95"/>
      <c r="AE285" s="95"/>
      <c r="AF285" s="95"/>
      <c r="AG285" s="95"/>
      <c r="AH285" s="95"/>
      <c r="AI285" s="219"/>
      <c r="AJ285" s="95"/>
      <c r="AK285" s="95"/>
      <c r="AL285" s="95"/>
      <c r="AM285" s="95"/>
      <c r="AN285" s="95"/>
      <c r="AO285" s="219"/>
      <c r="AP285" s="95"/>
      <c r="AQ285" s="95"/>
      <c r="AR285" s="95"/>
      <c r="AS285" s="95"/>
      <c r="AT285" s="95"/>
      <c r="AU285" s="219"/>
      <c r="AV285" s="95"/>
      <c r="AW285" s="95"/>
      <c r="AX285" s="95"/>
      <c r="AY285" s="95"/>
      <c r="AZ285" s="95"/>
      <c r="BA285" s="219"/>
      <c r="BB285" s="95"/>
      <c r="BC285" s="95"/>
      <c r="BD285" s="95"/>
      <c r="BE285" s="95"/>
      <c r="BF285" s="95"/>
      <c r="BG285" s="219"/>
      <c r="BH285" s="95"/>
      <c r="BI285" s="95"/>
      <c r="BJ285" s="95"/>
      <c r="BK285" s="95"/>
      <c r="BL285" s="95"/>
      <c r="BM285" s="219"/>
      <c r="BN285" s="95"/>
      <c r="BO285" s="95"/>
      <c r="BP285" s="95"/>
      <c r="BQ285" s="95"/>
      <c r="BR285" s="95"/>
      <c r="BS285" s="219"/>
      <c r="BT285" s="95"/>
      <c r="BU285" s="95"/>
      <c r="BV285" s="95"/>
      <c r="BW285" s="95"/>
      <c r="BX285" s="95"/>
      <c r="BY285" s="219"/>
      <c r="BZ285" s="95"/>
      <c r="CA285" s="95"/>
      <c r="CB285" s="95"/>
      <c r="CC285" s="95"/>
      <c r="CD285" s="95"/>
      <c r="CE285" s="219"/>
      <c r="CF285" s="95"/>
      <c r="CG285" s="95"/>
      <c r="CH285" s="95"/>
      <c r="CI285" s="95"/>
      <c r="CJ285" s="95"/>
      <c r="CK285" s="219"/>
      <c r="CL285" s="95"/>
      <c r="CM285" s="95"/>
      <c r="CN285" s="95"/>
      <c r="CO285" s="95"/>
      <c r="CP285" s="95"/>
      <c r="CQ285" s="219"/>
      <c r="CR285" s="95"/>
      <c r="CS285" s="95"/>
      <c r="CT285" s="95"/>
      <c r="CU285" s="95"/>
      <c r="CV285" s="95"/>
      <c r="CW285" s="219"/>
      <c r="CX285" s="95"/>
      <c r="CY285" s="95"/>
      <c r="CZ285" s="95"/>
      <c r="DA285" s="95"/>
      <c r="DB285" s="95"/>
      <c r="DC285" s="219"/>
      <c r="DD285" s="95"/>
      <c r="DE285" s="95"/>
      <c r="DF285" s="95"/>
      <c r="DG285" s="95"/>
      <c r="DH285" s="95"/>
      <c r="DI285" s="219"/>
      <c r="DJ285" s="95"/>
      <c r="DK285" s="95"/>
      <c r="DL285" s="95"/>
      <c r="DM285" s="95"/>
      <c r="DN285" s="95"/>
      <c r="DO285" s="219"/>
      <c r="DP285" s="95"/>
      <c r="DQ285" s="95"/>
      <c r="DR285" s="95"/>
      <c r="DS285" s="95"/>
      <c r="DT285" s="95"/>
      <c r="DU285" s="219"/>
      <c r="DV285" s="95"/>
      <c r="DW285" s="95"/>
      <c r="DX285" s="95"/>
      <c r="DY285" s="95"/>
      <c r="DZ285" s="95"/>
      <c r="EA285" s="219"/>
      <c r="EB285" s="95"/>
      <c r="EC285" s="95"/>
      <c r="ED285" s="95"/>
      <c r="EE285" s="95"/>
      <c r="EF285" s="95"/>
      <c r="EG285" s="219"/>
      <c r="EH285" s="95"/>
      <c r="EI285" s="95"/>
      <c r="EJ285" s="95"/>
      <c r="EK285" s="95"/>
      <c r="EL285" s="95"/>
      <c r="EM285" s="219"/>
      <c r="EN285" s="95"/>
      <c r="EO285" s="95"/>
      <c r="EP285" s="95"/>
      <c r="EQ285" s="95"/>
      <c r="ER285" s="95"/>
      <c r="ES285" s="219"/>
      <c r="ET285" s="95"/>
      <c r="EU285" s="95"/>
      <c r="EV285" s="95"/>
      <c r="EW285" s="95"/>
      <c r="EX285" s="95"/>
      <c r="EY285" s="219"/>
      <c r="EZ285" s="95"/>
      <c r="FA285" s="95"/>
      <c r="FB285" s="95"/>
      <c r="FC285" s="95"/>
      <c r="FD285" s="95"/>
      <c r="FE285" s="219"/>
      <c r="FF285" s="95"/>
      <c r="FG285" s="95"/>
      <c r="FH285" s="95"/>
      <c r="FI285" s="95"/>
      <c r="FJ285" s="95"/>
      <c r="FK285" s="219"/>
      <c r="FL285" s="95"/>
      <c r="FM285" s="95"/>
      <c r="FN285" s="95"/>
      <c r="FO285" s="95"/>
      <c r="FP285" s="95"/>
      <c r="FQ285" s="219"/>
      <c r="FR285" s="95"/>
      <c r="FS285" s="95"/>
      <c r="FT285" s="95"/>
      <c r="FU285" s="95"/>
      <c r="FV285" s="95"/>
      <c r="FW285" s="219"/>
      <c r="FX285" s="95"/>
      <c r="FY285" s="95"/>
      <c r="FZ285" s="95"/>
      <c r="GA285" s="95"/>
      <c r="GB285" s="95"/>
      <c r="GC285" s="219"/>
      <c r="GD285" s="95"/>
      <c r="GE285" s="95"/>
      <c r="GF285" s="95"/>
      <c r="GG285" s="95"/>
      <c r="GH285" s="95"/>
      <c r="GI285" s="219"/>
      <c r="GJ285" s="95"/>
      <c r="GK285" s="95"/>
      <c r="GL285" s="95"/>
      <c r="GM285" s="95"/>
      <c r="GN285" s="95"/>
      <c r="GO285" s="219"/>
      <c r="GP285" s="95"/>
      <c r="GQ285" s="95"/>
      <c r="GR285" s="95"/>
      <c r="GS285" s="95"/>
      <c r="GT285" s="95"/>
      <c r="GU285" s="219"/>
      <c r="GV285" s="95"/>
      <c r="GW285" s="95"/>
      <c r="GX285" s="95"/>
      <c r="GY285" s="95"/>
      <c r="GZ285" s="95"/>
      <c r="HA285" s="219"/>
      <c r="HB285" s="95"/>
      <c r="HC285" s="95"/>
      <c r="HD285" s="95"/>
      <c r="HE285" s="95"/>
      <c r="HF285" s="95"/>
      <c r="HG285" s="219"/>
      <c r="HH285" s="95"/>
      <c r="HI285" s="95"/>
      <c r="HJ285" s="95"/>
      <c r="HK285" s="95"/>
      <c r="HL285" s="95"/>
      <c r="HM285" s="219"/>
      <c r="HN285" s="95"/>
      <c r="HO285" s="95"/>
      <c r="HP285" s="95"/>
      <c r="HQ285" s="95"/>
      <c r="HR285" s="95"/>
      <c r="HS285" s="219"/>
      <c r="HT285" s="95"/>
      <c r="HU285" s="95"/>
      <c r="HV285" s="95"/>
      <c r="HW285" s="95"/>
      <c r="HX285" s="95"/>
      <c r="HY285" s="219"/>
      <c r="HZ285" s="95"/>
      <c r="IA285" s="95"/>
      <c r="IB285" s="95"/>
      <c r="IC285" s="95"/>
      <c r="ID285" s="95"/>
      <c r="IE285" s="219"/>
      <c r="IF285" s="95"/>
      <c r="IG285" s="95"/>
      <c r="IH285" s="95"/>
      <c r="II285" s="95"/>
      <c r="IJ285" s="95"/>
      <c r="IK285" s="219"/>
      <c r="IL285" s="95"/>
      <c r="IM285" s="95"/>
      <c r="IN285" s="95"/>
      <c r="IO285" s="95"/>
      <c r="IP285" s="95"/>
      <c r="IQ285" s="219"/>
      <c r="IR285" s="95"/>
    </row>
    <row r="286" spans="1:252" ht="15.75">
      <c r="A286" s="883"/>
      <c r="B286" s="337"/>
      <c r="C286" s="337"/>
      <c r="D286" s="337"/>
      <c r="E286" s="883"/>
      <c r="F286" s="231"/>
      <c r="G286" s="337"/>
      <c r="H286" s="38"/>
      <c r="I286" s="38"/>
      <c r="J286" s="38"/>
      <c r="K286" s="38"/>
      <c r="L286" s="270"/>
      <c r="M286" s="38"/>
      <c r="N286" s="337"/>
      <c r="O286" s="337"/>
      <c r="P286" s="2249"/>
      <c r="Q286" s="332"/>
      <c r="R286" s="337"/>
      <c r="S286" s="337"/>
      <c r="T286" s="337"/>
      <c r="U286" s="337"/>
      <c r="V286" s="337"/>
      <c r="W286" s="332"/>
      <c r="X286" s="337"/>
      <c r="Y286" s="337"/>
      <c r="Z286" s="337"/>
      <c r="AA286" s="337"/>
      <c r="AB286" s="337"/>
      <c r="AC286" s="332"/>
      <c r="AD286" s="337"/>
      <c r="AE286" s="337"/>
      <c r="AF286" s="337"/>
      <c r="AG286" s="337"/>
      <c r="AH286" s="337"/>
      <c r="AI286" s="332"/>
      <c r="AJ286" s="337"/>
      <c r="AK286" s="337"/>
      <c r="AL286" s="337"/>
      <c r="AM286" s="337"/>
      <c r="AN286" s="337"/>
      <c r="AO286" s="332"/>
      <c r="AP286" s="337"/>
      <c r="AQ286" s="337"/>
      <c r="AR286" s="337"/>
      <c r="AS286" s="337"/>
      <c r="AT286" s="337"/>
      <c r="AU286" s="332"/>
      <c r="AV286" s="337"/>
      <c r="AW286" s="337"/>
      <c r="AX286" s="337"/>
      <c r="AY286" s="337"/>
      <c r="AZ286" s="337"/>
      <c r="BA286" s="332"/>
      <c r="BB286" s="337"/>
      <c r="BC286" s="337"/>
      <c r="BD286" s="337"/>
      <c r="BE286" s="337"/>
      <c r="BF286" s="337"/>
      <c r="BG286" s="332"/>
      <c r="BH286" s="337"/>
      <c r="BI286" s="337"/>
      <c r="BJ286" s="337"/>
      <c r="BK286" s="337"/>
      <c r="BL286" s="337"/>
      <c r="BM286" s="332"/>
      <c r="BN286" s="337"/>
      <c r="BO286" s="337"/>
      <c r="BP286" s="337"/>
      <c r="BQ286" s="337"/>
      <c r="BR286" s="337"/>
      <c r="BS286" s="332"/>
      <c r="BT286" s="337"/>
      <c r="BU286" s="337"/>
      <c r="BV286" s="337"/>
      <c r="BW286" s="337"/>
      <c r="BX286" s="337"/>
      <c r="BY286" s="332"/>
      <c r="BZ286" s="337"/>
      <c r="CA286" s="337"/>
      <c r="CB286" s="337"/>
      <c r="CC286" s="337"/>
      <c r="CD286" s="337"/>
      <c r="CE286" s="332"/>
      <c r="CF286" s="337"/>
      <c r="CG286" s="337"/>
      <c r="CH286" s="337"/>
      <c r="CI286" s="337"/>
      <c r="CJ286" s="337"/>
      <c r="CK286" s="332"/>
      <c r="CL286" s="337"/>
      <c r="CM286" s="337"/>
      <c r="CN286" s="337"/>
      <c r="CO286" s="337"/>
      <c r="CP286" s="337"/>
      <c r="CQ286" s="332"/>
      <c r="CR286" s="337"/>
      <c r="CS286" s="337"/>
      <c r="CT286" s="337"/>
      <c r="CU286" s="337"/>
      <c r="CV286" s="337"/>
      <c r="CW286" s="332"/>
      <c r="CX286" s="337"/>
      <c r="CY286" s="337"/>
      <c r="CZ286" s="337"/>
      <c r="DA286" s="337"/>
      <c r="DB286" s="337"/>
      <c r="DC286" s="332"/>
      <c r="DD286" s="337"/>
      <c r="DE286" s="337"/>
      <c r="DF286" s="337"/>
      <c r="DG286" s="337"/>
      <c r="DH286" s="337"/>
      <c r="DI286" s="332"/>
      <c r="DJ286" s="337"/>
      <c r="DK286" s="337"/>
      <c r="DL286" s="337"/>
      <c r="DM286" s="337"/>
      <c r="DN286" s="337"/>
      <c r="DO286" s="332"/>
      <c r="DP286" s="337"/>
      <c r="DQ286" s="337"/>
      <c r="DR286" s="337"/>
      <c r="DS286" s="337"/>
      <c r="DT286" s="337"/>
      <c r="DU286" s="332"/>
      <c r="DV286" s="337"/>
      <c r="DW286" s="337"/>
      <c r="DX286" s="337"/>
      <c r="DY286" s="337"/>
      <c r="DZ286" s="337"/>
      <c r="EA286" s="332"/>
      <c r="EB286" s="337"/>
      <c r="EC286" s="337"/>
      <c r="ED286" s="337"/>
      <c r="EE286" s="337"/>
      <c r="EF286" s="337"/>
      <c r="EG286" s="332"/>
      <c r="EH286" s="337"/>
      <c r="EI286" s="337"/>
      <c r="EJ286" s="337"/>
      <c r="EK286" s="337"/>
      <c r="EL286" s="337"/>
      <c r="EM286" s="332"/>
      <c r="EN286" s="337"/>
      <c r="EO286" s="337"/>
      <c r="EP286" s="337"/>
      <c r="EQ286" s="337"/>
      <c r="ER286" s="337"/>
      <c r="ES286" s="332"/>
      <c r="ET286" s="337"/>
      <c r="EU286" s="337"/>
      <c r="EV286" s="337"/>
      <c r="EW286" s="337"/>
      <c r="EX286" s="337"/>
      <c r="EY286" s="332"/>
      <c r="EZ286" s="337"/>
      <c r="FA286" s="337"/>
      <c r="FB286" s="337"/>
      <c r="FC286" s="337"/>
      <c r="FD286" s="337"/>
      <c r="FE286" s="332"/>
      <c r="FF286" s="337"/>
      <c r="FG286" s="337"/>
      <c r="FH286" s="337"/>
      <c r="FI286" s="337"/>
      <c r="FJ286" s="337"/>
      <c r="FK286" s="332"/>
      <c r="FL286" s="337"/>
      <c r="FM286" s="337"/>
      <c r="FN286" s="337"/>
      <c r="FO286" s="337"/>
      <c r="FP286" s="337"/>
      <c r="FQ286" s="332"/>
      <c r="FR286" s="337"/>
      <c r="FS286" s="337"/>
      <c r="FT286" s="337"/>
      <c r="FU286" s="337"/>
      <c r="FV286" s="337"/>
      <c r="FW286" s="332"/>
      <c r="FX286" s="337"/>
      <c r="FY286" s="337"/>
      <c r="FZ286" s="337"/>
      <c r="GA286" s="337"/>
      <c r="GB286" s="337"/>
      <c r="GC286" s="332"/>
      <c r="GD286" s="337"/>
      <c r="GE286" s="337"/>
      <c r="GF286" s="337"/>
      <c r="GG286" s="337"/>
      <c r="GH286" s="337"/>
      <c r="GI286" s="332"/>
      <c r="GJ286" s="337"/>
      <c r="GK286" s="337"/>
      <c r="GL286" s="337"/>
      <c r="GM286" s="337"/>
      <c r="GN286" s="337"/>
      <c r="GO286" s="332"/>
      <c r="GP286" s="337"/>
      <c r="GQ286" s="337"/>
      <c r="GR286" s="337"/>
      <c r="GS286" s="337"/>
      <c r="GT286" s="337"/>
      <c r="GU286" s="332"/>
      <c r="GV286" s="337"/>
      <c r="GW286" s="337"/>
      <c r="GX286" s="337"/>
      <c r="GY286" s="337"/>
      <c r="GZ286" s="337"/>
      <c r="HA286" s="332"/>
      <c r="HB286" s="337"/>
      <c r="HC286" s="337"/>
      <c r="HD286" s="337"/>
      <c r="HE286" s="337"/>
      <c r="HF286" s="337"/>
      <c r="HG286" s="332"/>
      <c r="HH286" s="337"/>
      <c r="HI286" s="337"/>
      <c r="HJ286" s="337"/>
      <c r="HK286" s="337"/>
      <c r="HL286" s="337"/>
      <c r="HM286" s="332"/>
      <c r="HN286" s="337"/>
      <c r="HO286" s="337"/>
      <c r="HP286" s="337"/>
      <c r="HQ286" s="337"/>
      <c r="HR286" s="337"/>
      <c r="HS286" s="332"/>
      <c r="HT286" s="337"/>
      <c r="HU286" s="337"/>
      <c r="HV286" s="337"/>
      <c r="HW286" s="337"/>
      <c r="HX286" s="337"/>
      <c r="HY286" s="332"/>
      <c r="HZ286" s="337"/>
      <c r="IA286" s="337"/>
      <c r="IB286" s="337"/>
      <c r="IC286" s="337"/>
      <c r="ID286" s="337"/>
      <c r="IE286" s="332"/>
      <c r="IF286" s="337"/>
      <c r="IG286" s="337"/>
      <c r="IH286" s="337"/>
      <c r="II286" s="337"/>
      <c r="IJ286" s="337"/>
      <c r="IK286" s="332"/>
      <c r="IL286" s="337"/>
      <c r="IM286" s="337"/>
      <c r="IN286" s="337"/>
      <c r="IO286" s="337"/>
      <c r="IP286" s="337"/>
      <c r="IQ286" s="332"/>
      <c r="IR286" s="337"/>
    </row>
    <row r="287" spans="1:252" ht="16.5" thickBot="1">
      <c r="A287" s="878" t="s">
        <v>428</v>
      </c>
    </row>
    <row r="288" spans="1:252">
      <c r="A288" s="2238" t="s">
        <v>206</v>
      </c>
      <c r="B288" s="908"/>
      <c r="C288" s="908"/>
      <c r="D288" s="908"/>
      <c r="E288" s="983"/>
      <c r="F288" s="908"/>
      <c r="G288" s="909"/>
      <c r="H288" s="907" t="s">
        <v>79</v>
      </c>
      <c r="I288" s="908"/>
      <c r="J288" s="908"/>
      <c r="K288" s="908"/>
      <c r="L288" s="908"/>
      <c r="M288" s="909"/>
    </row>
    <row r="289" spans="1:16" ht="15.75">
      <c r="A289" s="230"/>
      <c r="B289" s="228" t="str">
        <f>'Appendix A'!B101</f>
        <v>Network Upgrade Balance</v>
      </c>
      <c r="C289" s="51"/>
      <c r="D289" s="37"/>
      <c r="E289" s="37"/>
      <c r="F289" s="252"/>
      <c r="G289" s="234"/>
      <c r="H289" s="38"/>
      <c r="I289" s="38"/>
      <c r="J289" s="38"/>
      <c r="K289" s="38"/>
      <c r="L289" s="38"/>
      <c r="M289" s="229"/>
    </row>
    <row r="290" spans="1:16" s="349" customFormat="1">
      <c r="A290" s="230"/>
      <c r="B290" s="235"/>
      <c r="C290" s="36"/>
      <c r="D290" s="37"/>
      <c r="E290" s="37"/>
      <c r="F290" s="540" t="s">
        <v>631</v>
      </c>
      <c r="G290" s="241" t="s">
        <v>605</v>
      </c>
      <c r="H290" s="1131">
        <f>-Inputs!D90</f>
        <v>-27365545.559999999</v>
      </c>
      <c r="I290" s="37"/>
      <c r="J290" s="37"/>
      <c r="K290" s="37"/>
      <c r="L290" s="38"/>
      <c r="M290" s="853"/>
      <c r="P290" s="2247" t="s">
        <v>2103</v>
      </c>
    </row>
    <row r="291" spans="1:16" s="349" customFormat="1">
      <c r="A291" s="230"/>
      <c r="B291" s="235"/>
      <c r="C291" s="36"/>
      <c r="D291" s="37"/>
      <c r="E291" s="37"/>
      <c r="F291" s="540" t="s">
        <v>632</v>
      </c>
      <c r="G291" s="241" t="s">
        <v>605</v>
      </c>
      <c r="H291" s="1131">
        <f>-Inputs!E90</f>
        <v>-23263583.780000001</v>
      </c>
      <c r="I291" s="37"/>
      <c r="J291" s="37"/>
      <c r="K291" s="37"/>
      <c r="L291" s="38"/>
      <c r="M291" s="853"/>
      <c r="P291" s="2247" t="s">
        <v>2103</v>
      </c>
    </row>
    <row r="292" spans="1:16" ht="15.75">
      <c r="A292" s="230">
        <f>'Appendix A'!A102</f>
        <v>50</v>
      </c>
      <c r="B292" s="235"/>
      <c r="C292" s="36" t="str">
        <f>'Appendix A'!C102</f>
        <v>Network Upgrade Balance</v>
      </c>
      <c r="E292" s="103" t="str">
        <f>'Appendix A'!E102</f>
        <v>(Note N)</v>
      </c>
      <c r="F292" s="975" t="s">
        <v>1012</v>
      </c>
      <c r="G292" s="1004" t="str">
        <f>Toggle</f>
        <v>True-up</v>
      </c>
      <c r="H292" s="1135">
        <f>IF(Toggle=Projection,H291,IF(Toggle=True_up,AVERAGE(H290:H291),"Set Toggle!"))</f>
        <v>-25314564.670000002</v>
      </c>
      <c r="I292" s="1001" t="str">
        <f>IF(Toggle=Projection,"current end-of-year balance",IF(Toggle=True_up,"beg-of-year and end-of-year average ","Set Toggle!"))</f>
        <v xml:space="preserve">beg-of-year and end-of-year average </v>
      </c>
      <c r="J292" s="852"/>
      <c r="K292" s="852"/>
      <c r="L292" s="37"/>
      <c r="M292" s="853"/>
    </row>
    <row r="293" spans="1:16" s="349" customFormat="1" ht="15.75" thickBot="1">
      <c r="A293" s="238"/>
      <c r="B293" s="837"/>
      <c r="C293" s="838"/>
      <c r="D293" s="844"/>
      <c r="E293" s="844"/>
      <c r="F293" s="840"/>
      <c r="G293" s="244"/>
      <c r="H293" s="861"/>
      <c r="I293" s="857"/>
      <c r="J293" s="857"/>
      <c r="K293" s="857"/>
      <c r="L293" s="857"/>
      <c r="M293" s="492"/>
      <c r="P293" s="2246"/>
    </row>
    <row r="294" spans="1:16" ht="15.75">
      <c r="A294" s="883"/>
      <c r="B294" s="235"/>
      <c r="C294" s="332"/>
      <c r="D294" s="37"/>
      <c r="E294" s="37"/>
      <c r="F294" s="99"/>
      <c r="G294" s="332"/>
      <c r="H294" s="92"/>
      <c r="I294" s="92"/>
      <c r="J294" s="92"/>
      <c r="K294" s="335"/>
      <c r="L294" s="336"/>
      <c r="M294" s="336"/>
    </row>
    <row r="296" spans="1:16" ht="16.5" thickBot="1">
      <c r="A296" s="878" t="s">
        <v>220</v>
      </c>
      <c r="I296" s="247"/>
      <c r="J296" s="247"/>
      <c r="K296" s="247"/>
      <c r="L296" s="247"/>
    </row>
    <row r="297" spans="1:16">
      <c r="A297" s="2649" t="s">
        <v>206</v>
      </c>
      <c r="B297" s="908"/>
      <c r="C297" s="908"/>
      <c r="D297" s="908"/>
      <c r="E297" s="983"/>
      <c r="F297" s="908"/>
      <c r="G297" s="909"/>
      <c r="H297" s="907" t="s">
        <v>282</v>
      </c>
      <c r="I297" s="908"/>
      <c r="J297" s="908"/>
      <c r="K297" s="908"/>
      <c r="L297" s="908"/>
      <c r="M297" s="909"/>
    </row>
    <row r="298" spans="1:16">
      <c r="A298" s="2237"/>
      <c r="B298" s="38"/>
      <c r="C298" s="38"/>
      <c r="D298" s="38"/>
      <c r="E298" s="38"/>
      <c r="F298" s="38"/>
      <c r="G298" s="38"/>
      <c r="H298" s="255"/>
      <c r="I298" s="38"/>
      <c r="J298" s="38"/>
      <c r="K298" s="38"/>
      <c r="L298" s="38"/>
      <c r="M298" s="229"/>
    </row>
    <row r="299" spans="1:16" s="349" customFormat="1" ht="15.75">
      <c r="A299" s="2237"/>
      <c r="B299" s="524" t="s">
        <v>1100</v>
      </c>
      <c r="C299" s="38"/>
      <c r="D299" s="38"/>
      <c r="E299" s="38"/>
      <c r="F299" s="38"/>
      <c r="G299" s="38"/>
      <c r="H299" s="255"/>
      <c r="I299" s="38"/>
      <c r="J299" s="38"/>
      <c r="K299" s="38"/>
      <c r="L299" s="38"/>
      <c r="M299" s="229"/>
      <c r="P299" s="2247" t="s">
        <v>2103</v>
      </c>
    </row>
    <row r="300" spans="1:16" s="349" customFormat="1">
      <c r="A300" s="2237"/>
      <c r="B300" s="38"/>
      <c r="C300" s="38" t="s">
        <v>1099</v>
      </c>
      <c r="D300" s="38"/>
      <c r="E300" s="426" t="str">
        <f>'Appendix A'!$E$213</f>
        <v>(Note H)</v>
      </c>
      <c r="F300" s="38"/>
      <c r="G300" s="1120" t="s">
        <v>295</v>
      </c>
      <c r="H300" s="1130">
        <f>INDEX(Inputs!$E$48:$E$82,MATCH(G300,Inputs!$F$48:$F$82,0))</f>
        <v>106777986</v>
      </c>
      <c r="I300" s="38"/>
      <c r="J300" s="38"/>
      <c r="K300" s="38"/>
      <c r="L300" s="38"/>
      <c r="M300" s="229"/>
      <c r="P300" s="2247" t="s">
        <v>2103</v>
      </c>
    </row>
    <row r="301" spans="1:16" s="349" customFormat="1">
      <c r="A301" s="2237"/>
      <c r="B301" s="38"/>
      <c r="C301" s="38" t="s">
        <v>1098</v>
      </c>
      <c r="D301" s="38"/>
      <c r="E301" s="426" t="str">
        <f>'Appendix A'!$E$213</f>
        <v>(Note H)</v>
      </c>
      <c r="F301" s="38"/>
      <c r="G301" s="1120" t="s">
        <v>294</v>
      </c>
      <c r="H301" s="1130">
        <f>INDEX(Inputs!$E$48:$E$82,MATCH(G301,Inputs!$F$48:$F$82,0))</f>
        <v>0</v>
      </c>
      <c r="I301" s="38"/>
      <c r="J301" s="38"/>
      <c r="K301" s="38"/>
      <c r="L301" s="38"/>
      <c r="M301" s="229"/>
      <c r="P301" s="2247" t="s">
        <v>2103</v>
      </c>
    </row>
    <row r="302" spans="1:16" ht="15.75">
      <c r="A302" s="2237">
        <f>'Appendix A'!A144</f>
        <v>76</v>
      </c>
      <c r="B302" s="38"/>
      <c r="C302" s="1113" t="str">
        <f>'Appendix A'!C144</f>
        <v>Transmission Depreciation Expense Including Amortization of Limited Term Plant</v>
      </c>
      <c r="D302" s="1110"/>
      <c r="E302" s="1110" t="str">
        <f>'Appendix A'!$E$213</f>
        <v>(Note H)</v>
      </c>
      <c r="F302" s="1116"/>
      <c r="G302" s="1123" t="s">
        <v>1097</v>
      </c>
      <c r="H302" s="1115">
        <f>SUM(H300:H301)</f>
        <v>106777986</v>
      </c>
      <c r="I302" s="349" t="s">
        <v>1015</v>
      </c>
      <c r="J302" s="38"/>
      <c r="K302" s="38"/>
      <c r="L302" s="38"/>
      <c r="M302" s="229"/>
      <c r="P302" s="2247" t="s">
        <v>2103</v>
      </c>
    </row>
    <row r="303" spans="1:16" s="349" customFormat="1">
      <c r="A303" s="2237"/>
      <c r="B303" s="38"/>
      <c r="C303" s="38"/>
      <c r="D303" s="103"/>
      <c r="E303" s="103"/>
      <c r="G303" s="249"/>
      <c r="H303" s="248"/>
      <c r="I303" s="38"/>
      <c r="J303" s="38"/>
      <c r="K303" s="38"/>
      <c r="L303" s="38"/>
      <c r="M303" s="229"/>
      <c r="P303" s="2247" t="s">
        <v>2103</v>
      </c>
    </row>
    <row r="304" spans="1:16" s="349" customFormat="1" ht="15.75">
      <c r="A304" s="2237"/>
      <c r="B304" s="524" t="s">
        <v>469</v>
      </c>
      <c r="C304" s="38"/>
      <c r="D304" s="103"/>
      <c r="E304" s="103"/>
      <c r="G304" s="249"/>
      <c r="H304" s="248"/>
      <c r="I304" s="38"/>
      <c r="J304" s="38"/>
      <c r="K304" s="38"/>
      <c r="L304" s="38"/>
      <c r="M304" s="229"/>
      <c r="P304" s="2247" t="s">
        <v>2103</v>
      </c>
    </row>
    <row r="305" spans="1:16" s="349" customFormat="1">
      <c r="A305" s="2237"/>
      <c r="B305" s="38"/>
      <c r="C305" s="38" t="s">
        <v>1099</v>
      </c>
      <c r="D305" s="103"/>
      <c r="E305" s="426" t="str">
        <f>'Appendix A'!$E$213</f>
        <v>(Note H)</v>
      </c>
      <c r="G305" s="1120" t="s">
        <v>297</v>
      </c>
      <c r="H305" s="1130">
        <f>INDEX(Inputs!$E$48:$E$82,MATCH(G305,Inputs!$F$48:$F$82,0))</f>
        <v>38785821</v>
      </c>
      <c r="I305" s="38"/>
      <c r="J305" s="38"/>
      <c r="K305" s="38"/>
      <c r="L305" s="38"/>
      <c r="M305" s="229"/>
      <c r="P305" s="2247" t="s">
        <v>2103</v>
      </c>
    </row>
    <row r="306" spans="1:16" s="349" customFormat="1">
      <c r="A306" s="2237"/>
      <c r="B306" s="38"/>
      <c r="C306" s="38" t="s">
        <v>1098</v>
      </c>
      <c r="D306" s="103"/>
      <c r="E306" s="426" t="str">
        <f>'Appendix A'!$E$213</f>
        <v>(Note H)</v>
      </c>
      <c r="G306" s="1120" t="s">
        <v>296</v>
      </c>
      <c r="H306" s="1130">
        <f>INDEX(Inputs!$E$48:$E$82,MATCH(G306,Inputs!$F$48:$F$82,0))</f>
        <v>1035064</v>
      </c>
      <c r="I306" s="38"/>
      <c r="J306" s="38"/>
      <c r="K306" s="38"/>
      <c r="L306" s="38"/>
      <c r="M306" s="229"/>
      <c r="P306" s="2247" t="s">
        <v>2103</v>
      </c>
    </row>
    <row r="307" spans="1:16" ht="15.75">
      <c r="A307" s="2237">
        <f>'Appendix A'!A146</f>
        <v>77</v>
      </c>
      <c r="B307" s="38"/>
      <c r="C307" s="1114" t="str">
        <f>'Appendix A'!C146</f>
        <v>General Depreciation Expense Including Amortization of Limited Term Plant</v>
      </c>
      <c r="D307" s="1110"/>
      <c r="E307" s="1110" t="str">
        <f>'Appendix A'!$E$213</f>
        <v>(Note H)</v>
      </c>
      <c r="F307" s="1116"/>
      <c r="G307" s="1123" t="s">
        <v>1097</v>
      </c>
      <c r="H307" s="1115">
        <f>SUM(H305:H306)</f>
        <v>39820885</v>
      </c>
      <c r="I307" s="349" t="s">
        <v>1015</v>
      </c>
      <c r="J307" s="38"/>
      <c r="K307" s="38"/>
      <c r="L307" s="38"/>
      <c r="M307" s="229"/>
      <c r="P307" s="2247" t="s">
        <v>2103</v>
      </c>
    </row>
    <row r="308" spans="1:16" s="349" customFormat="1">
      <c r="A308" s="2237"/>
      <c r="B308" s="38"/>
      <c r="C308" s="811"/>
      <c r="D308" s="103"/>
      <c r="E308" s="103"/>
      <c r="G308" s="249"/>
      <c r="H308" s="470"/>
      <c r="J308" s="38"/>
      <c r="K308" s="38"/>
      <c r="L308" s="38"/>
      <c r="M308" s="229"/>
      <c r="P308" s="2247" t="s">
        <v>2103</v>
      </c>
    </row>
    <row r="309" spans="1:16" s="349" customFormat="1" ht="15.75">
      <c r="A309" s="2237"/>
      <c r="B309" s="524" t="s">
        <v>1101</v>
      </c>
      <c r="C309" s="38"/>
      <c r="D309" s="103"/>
      <c r="E309" s="103"/>
      <c r="G309" s="249"/>
      <c r="H309" s="470"/>
      <c r="I309" s="38"/>
      <c r="J309" s="38"/>
      <c r="K309" s="38"/>
      <c r="L309" s="38"/>
      <c r="M309" s="229"/>
      <c r="P309" s="2247" t="s">
        <v>2103</v>
      </c>
    </row>
    <row r="310" spans="1:16" s="349" customFormat="1">
      <c r="A310" s="2237"/>
      <c r="B310" s="38"/>
      <c r="C310" s="38" t="s">
        <v>1098</v>
      </c>
      <c r="D310" s="103"/>
      <c r="E310" s="426" t="str">
        <f>'Appendix A'!$E$213</f>
        <v>(Note H)</v>
      </c>
      <c r="G310" s="1121" t="s">
        <v>293</v>
      </c>
      <c r="H310" s="1130">
        <f>INDEX(Inputs!$E$48:$E$82,MATCH(G310,Inputs!$F$48:$F$82,0))</f>
        <v>40052602</v>
      </c>
      <c r="I310" s="38"/>
      <c r="J310" s="38"/>
      <c r="K310" s="38"/>
      <c r="L310" s="38"/>
      <c r="M310" s="229"/>
      <c r="P310" s="2247" t="s">
        <v>2103</v>
      </c>
    </row>
    <row r="311" spans="1:16" s="349" customFormat="1">
      <c r="A311" s="2237"/>
      <c r="B311" s="38"/>
      <c r="C311" s="38" t="s">
        <v>1102</v>
      </c>
      <c r="D311" s="103"/>
      <c r="E311" s="426" t="str">
        <f>'Appendix A'!$E$213</f>
        <v>(Note H)</v>
      </c>
      <c r="G311" s="1121" t="s">
        <v>331</v>
      </c>
      <c r="H311" s="1130">
        <f>INDEX(Inputs!$E$48:$E$82,MATCH(G311,Inputs!$F$48:$F$82,0))</f>
        <v>0</v>
      </c>
      <c r="I311" s="38"/>
      <c r="J311" s="38"/>
      <c r="K311" s="38"/>
      <c r="L311" s="38"/>
      <c r="M311" s="229"/>
      <c r="P311" s="2247" t="s">
        <v>2103</v>
      </c>
    </row>
    <row r="312" spans="1:16" s="349" customFormat="1" ht="15.75">
      <c r="A312" s="2237">
        <f>'Appendix A'!A147</f>
        <v>78</v>
      </c>
      <c r="B312" s="38"/>
      <c r="C312" s="1106" t="s">
        <v>982</v>
      </c>
      <c r="D312" s="817"/>
      <c r="E312" s="1110" t="str">
        <f>'Appendix A'!$E$213</f>
        <v>(Note H)</v>
      </c>
      <c r="F312" s="818"/>
      <c r="G312" s="1123" t="s">
        <v>1097</v>
      </c>
      <c r="H312" s="1115">
        <f>SUM(H310:H311)</f>
        <v>40052602</v>
      </c>
      <c r="I312" s="349" t="s">
        <v>1015</v>
      </c>
      <c r="J312" s="38"/>
      <c r="K312" s="38"/>
      <c r="L312" s="38"/>
      <c r="M312" s="229"/>
      <c r="P312" s="2247" t="s">
        <v>2103</v>
      </c>
    </row>
    <row r="313" spans="1:16" ht="15.75" thickBot="1">
      <c r="A313" s="1009"/>
      <c r="B313" s="247"/>
      <c r="C313" s="247"/>
      <c r="D313" s="247"/>
      <c r="E313" s="872"/>
      <c r="F313" s="247"/>
      <c r="G313" s="247"/>
      <c r="H313" s="260" t="s">
        <v>225</v>
      </c>
      <c r="I313" s="247"/>
      <c r="J313" s="247"/>
      <c r="K313" s="247"/>
      <c r="L313" s="247"/>
      <c r="M313" s="261"/>
    </row>
    <row r="314" spans="1:16" s="349" customFormat="1">
      <c r="A314" s="51"/>
      <c r="B314" s="38"/>
      <c r="C314" s="38"/>
      <c r="D314" s="38"/>
      <c r="E314" s="38"/>
      <c r="F314" s="38"/>
      <c r="G314" s="38"/>
      <c r="H314" s="38"/>
      <c r="I314" s="38"/>
      <c r="J314" s="38"/>
      <c r="K314" s="38"/>
      <c r="L314" s="38"/>
      <c r="M314" s="38"/>
      <c r="P314" s="2246"/>
    </row>
    <row r="316" spans="1:16" ht="16.5" thickBot="1">
      <c r="A316" s="878" t="s">
        <v>1007</v>
      </c>
      <c r="B316" s="349"/>
      <c r="C316" s="349"/>
      <c r="D316" s="349"/>
      <c r="F316" s="349"/>
      <c r="G316" s="349"/>
      <c r="H316" s="349"/>
      <c r="I316" s="349"/>
      <c r="J316" s="349"/>
      <c r="K316" s="349"/>
      <c r="L316" s="349"/>
      <c r="M316" s="349"/>
    </row>
    <row r="317" spans="1:16">
      <c r="A317" s="2649" t="s">
        <v>206</v>
      </c>
      <c r="B317" s="923"/>
      <c r="C317" s="923"/>
      <c r="D317" s="923"/>
      <c r="E317" s="983"/>
      <c r="F317" s="923"/>
      <c r="G317" s="924"/>
      <c r="H317" s="907" t="s">
        <v>79</v>
      </c>
      <c r="I317" s="923"/>
      <c r="J317" s="923"/>
      <c r="K317" s="923"/>
      <c r="L317" s="923"/>
      <c r="M317" s="924"/>
    </row>
    <row r="318" spans="1:16" ht="15.75">
      <c r="A318" s="230"/>
      <c r="B318" s="82"/>
      <c r="C318" s="51"/>
      <c r="D318" s="51"/>
      <c r="E318" s="51"/>
      <c r="F318" s="426"/>
      <c r="G318" s="234"/>
      <c r="H318" s="38"/>
      <c r="I318" s="38"/>
      <c r="J318" s="38"/>
      <c r="K318" s="38"/>
      <c r="L318" s="38"/>
      <c r="M318" s="229"/>
      <c r="P318"/>
    </row>
    <row r="319" spans="1:16" s="349" customFormat="1" ht="15.75">
      <c r="A319" s="230"/>
      <c r="B319" s="82"/>
      <c r="C319" s="2076"/>
      <c r="D319" s="2074"/>
      <c r="E319" s="2074"/>
      <c r="F319" s="426"/>
      <c r="G319" s="950"/>
      <c r="H319" s="969"/>
      <c r="I319" s="38"/>
      <c r="J319" s="2603"/>
      <c r="K319" s="51"/>
      <c r="L319" s="38"/>
      <c r="M319" s="229"/>
      <c r="P319"/>
    </row>
    <row r="320" spans="1:16" s="349" customFormat="1" ht="15.75">
      <c r="A320" s="230"/>
      <c r="B320" s="82"/>
      <c r="C320" s="2076" t="s">
        <v>2225</v>
      </c>
      <c r="D320" s="2074"/>
      <c r="E320" s="2074"/>
      <c r="F320" s="426"/>
      <c r="G320" s="950"/>
      <c r="H320" s="969"/>
      <c r="I320" s="38"/>
      <c r="J320" s="2603"/>
      <c r="K320" s="51"/>
      <c r="L320" s="38"/>
      <c r="M320" s="229"/>
      <c r="P320"/>
    </row>
    <row r="321" spans="1:16" s="349" customFormat="1" ht="15.75">
      <c r="A321" s="230"/>
      <c r="B321" s="82"/>
      <c r="C321" s="2076" t="s">
        <v>2224</v>
      </c>
      <c r="D321" s="2074"/>
      <c r="E321" s="2074"/>
      <c r="F321" s="426"/>
      <c r="G321" s="950"/>
      <c r="H321" s="969"/>
      <c r="I321" s="38"/>
      <c r="J321" s="2603"/>
      <c r="K321" s="51"/>
      <c r="L321" s="38"/>
      <c r="M321" s="229"/>
      <c r="P321" s="462"/>
    </row>
    <row r="322" spans="1:16" s="349" customFormat="1" ht="15.75">
      <c r="A322" s="230"/>
      <c r="B322" s="82"/>
      <c r="C322" s="2075"/>
      <c r="D322" s="2074"/>
      <c r="E322" s="2074"/>
      <c r="F322" s="426"/>
      <c r="G322" s="950"/>
      <c r="H322" s="969"/>
      <c r="I322" s="38"/>
      <c r="J322" s="2603"/>
      <c r="K322" s="51"/>
      <c r="L322" s="38"/>
      <c r="M322" s="229"/>
      <c r="P322"/>
    </row>
    <row r="323" spans="1:16" s="349" customFormat="1" ht="15.75">
      <c r="A323" s="230">
        <f>'Appendix A'!$A$121</f>
        <v>61</v>
      </c>
      <c r="B323" s="35"/>
      <c r="C323" s="980" t="s">
        <v>282</v>
      </c>
      <c r="D323" s="949"/>
      <c r="E323" s="591"/>
      <c r="F323" s="948"/>
      <c r="G323" s="1124" t="s">
        <v>1097</v>
      </c>
      <c r="H323" s="1159">
        <f>SUM(H319:H322)</f>
        <v>0</v>
      </c>
      <c r="I323" s="249" t="s">
        <v>1015</v>
      </c>
      <c r="J323" s="51"/>
      <c r="K323" s="37"/>
      <c r="L323" s="37"/>
      <c r="M323" s="853"/>
      <c r="P323"/>
    </row>
    <row r="324" spans="1:16" ht="15.75" thickBot="1">
      <c r="A324" s="238"/>
      <c r="B324" s="848"/>
      <c r="C324" s="844"/>
      <c r="D324" s="844"/>
      <c r="E324" s="844"/>
      <c r="F324" s="849"/>
      <c r="G324" s="253"/>
      <c r="H324" s="964"/>
      <c r="I324" s="857"/>
      <c r="J324" s="857"/>
      <c r="K324" s="857"/>
      <c r="L324" s="857"/>
      <c r="M324" s="492"/>
      <c r="P324"/>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B37:AC37"/>
    <mergeCell ref="A262:G262"/>
    <mergeCell ref="A280:G280"/>
    <mergeCell ref="K262:M262"/>
    <mergeCell ref="K156:M156"/>
    <mergeCell ref="K179:M179"/>
    <mergeCell ref="K166:M166"/>
    <mergeCell ref="A156:G156"/>
    <mergeCell ref="A248:G248"/>
    <mergeCell ref="A255:G255"/>
    <mergeCell ref="A170:G170"/>
    <mergeCell ref="A179:G179"/>
    <mergeCell ref="A226:G226"/>
    <mergeCell ref="A241:G241"/>
    <mergeCell ref="A139:G139"/>
    <mergeCell ref="A5:G5"/>
    <mergeCell ref="A73:G73"/>
    <mergeCell ref="K237:M237"/>
    <mergeCell ref="K248:M248"/>
    <mergeCell ref="R21:S21"/>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22" max="12" man="1"/>
    <brk id="284"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40</vt:i4>
      </vt:variant>
    </vt:vector>
  </HeadingPairs>
  <TitlesOfParts>
    <vt:vector size="69"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- 2018 Projection</vt:lpstr>
      <vt:lpstr>Att 9a1-2017 Actual</vt:lpstr>
      <vt:lpstr>Att 9a2 - 2016 actual</vt:lpstr>
      <vt:lpstr>Att 9a3 - 2015 actual</vt:lpstr>
      <vt:lpstr>Att 9b - 2017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- 2018 Projection'!Print_Area</vt:lpstr>
      <vt:lpstr>'Att 9a1-2017 Actual'!Print_Area</vt:lpstr>
      <vt:lpstr>'Att 9a2 - 2016 actual'!Print_Area</vt:lpstr>
      <vt:lpstr>'Att 9a3 - 2015 actual'!Print_Area</vt:lpstr>
      <vt:lpstr>'Att 9b - 2017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Projection</vt:lpstr>
      <vt:lpstr>Toggle</vt:lpstr>
      <vt:lpstr>Toggle.list</vt:lpstr>
      <vt:lpstr>True_up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McClelland, Brian</cp:lastModifiedBy>
  <cp:lastPrinted>2018-05-15T17:36:51Z</cp:lastPrinted>
  <dcterms:created xsi:type="dcterms:W3CDTF">2012-09-21T17:04:08Z</dcterms:created>
  <dcterms:modified xsi:type="dcterms:W3CDTF">2018-05-15T21:07:37Z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