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720" windowHeight="11595" tabRatio="945" activeTab="3"/>
  </bookViews>
  <sheets>
    <sheet name="Revisions" sheetId="79" r:id="rId1"/>
    <sheet name="Cover Page" sheetId="1" r:id="rId2"/>
    <sheet name="Table of Contents" sheetId="2" r:id="rId3"/>
    <sheet name="Est. Rates" sheetId="5" r:id="rId4"/>
    <sheet name="Actual Rates" sheetId="24" r:id="rId5"/>
    <sheet name="ATRR Est." sheetId="3" r:id="rId6"/>
    <sheet name="ATRR Act" sheetId="25" r:id="rId7"/>
    <sheet name="WP_A-2" sheetId="28" r:id="rId8"/>
    <sheet name="WP_B-1" sheetId="9" r:id="rId9"/>
    <sheet name="WP_B-2" sheetId="74" r:id="rId10"/>
    <sheet name="WP_B-3" sheetId="75" r:id="rId11"/>
    <sheet name="WP_B-4" sheetId="13" r:id="rId12"/>
    <sheet name="WP_B-5" sheetId="14" r:id="rId13"/>
    <sheet name="WP_B-6" sheetId="58" r:id="rId14"/>
    <sheet name="WP_B-7" sheetId="48" r:id="rId15"/>
    <sheet name="WP_B-8" sheetId="47" r:id="rId16"/>
    <sheet name="WP_B-Inputs Est." sheetId="76" r:id="rId17"/>
    <sheet name="WP_B-Inputs Act." sheetId="77" r:id="rId18"/>
    <sheet name="WP_C-1" sheetId="15" r:id="rId19"/>
    <sheet name="WP_C-2" sheetId="16" r:id="rId20"/>
    <sheet name="WP_C-3" sheetId="23" r:id="rId21"/>
    <sheet name="WP_C-4" sheetId="37" r:id="rId22"/>
    <sheet name="WP_D-1" sheetId="18" r:id="rId23"/>
    <sheet name="WP_E-1" sheetId="21" r:id="rId24"/>
    <sheet name="WP_F-1" sheetId="29" r:id="rId25"/>
    <sheet name="WP_G-1" sheetId="20" r:id="rId26"/>
    <sheet name="WP_H-1 " sheetId="38" r:id="rId27"/>
    <sheet name="WP_I-1" sheetId="27" r:id="rId28"/>
    <sheet name="Schedule 1" sheetId="7" r:id="rId29"/>
    <sheet name="Schedule 2" sheetId="40" r:id="rId30"/>
    <sheet name="Schedule 3 and 3A" sheetId="41" r:id="rId31"/>
    <sheet name="Schedule 5" sheetId="42" r:id="rId32"/>
    <sheet name="Schedule 6" sheetId="43" r:id="rId33"/>
    <sheet name="WP_FCR" sheetId="44" r:id="rId34"/>
    <sheet name="WP_Cost per Unit" sheetId="45" r:id="rId35"/>
    <sheet name="WP_Load Factor" sheetId="53" r:id="rId36"/>
    <sheet name="Schedule 16" sheetId="63" r:id="rId37"/>
    <sheet name="WP_Installed Cost" sheetId="64" r:id="rId38"/>
    <sheet name="WP_O&amp;M Cost" sheetId="65" r:id="rId39"/>
    <sheet name="WP_Reactive Cost" sheetId="66" r:id="rId40"/>
    <sheet name="WP_ADIT Prorate" sheetId="78" r:id="rId41"/>
  </sheets>
  <definedNames>
    <definedName name="CE">'ATRR Est.'!$G$172</definedName>
    <definedName name="CEA">'ATRR Act'!$G$173</definedName>
    <definedName name="GP">'ATRR Est.'!$F$18</definedName>
    <definedName name="GPA">'ATRR Act'!$F$18</definedName>
    <definedName name="NP">'ATRR Est.'!$F$45</definedName>
    <definedName name="NPA">'ATRR Act'!$F$45</definedName>
    <definedName name="_xlnm.Print_Area" localSheetId="4">'Actual Rates'!$A$1:$J$43</definedName>
    <definedName name="_xlnm.Print_Area" localSheetId="6">'ATRR Act'!$A$1:$G$245</definedName>
    <definedName name="_xlnm.Print_Area" localSheetId="5">'ATRR Est.'!$A$1:$G$244</definedName>
    <definedName name="_xlnm.Print_Area" localSheetId="1">'Cover Page'!$A$1:$A$18</definedName>
    <definedName name="_xlnm.Print_Area" localSheetId="3">'Est. Rates'!$A$1:$I$97</definedName>
    <definedName name="_xlnm.Print_Area" localSheetId="28">'Schedule 1'!$A$1:$E$54</definedName>
    <definedName name="_xlnm.Print_Area" localSheetId="36">'Schedule 16'!$A$1:$I$56</definedName>
    <definedName name="_xlnm.Print_Area" localSheetId="29">'Schedule 2'!$A$1:$I$69</definedName>
    <definedName name="_xlnm.Print_Area" localSheetId="30">'Schedule 3 and 3A'!$A$1:$J$56</definedName>
    <definedName name="_xlnm.Print_Area" localSheetId="31">'Schedule 5'!$A$1:$Q$65</definedName>
    <definedName name="_xlnm.Print_Area" localSheetId="32">'Schedule 6'!$A$1:$Q$65</definedName>
    <definedName name="_xlnm.Print_Area" localSheetId="2">'Table of Contents'!$A$1:$D$47</definedName>
    <definedName name="_xlnm.Print_Area" localSheetId="8">'WP_B-1'!$A$1:$G$90</definedName>
    <definedName name="_xlnm.Print_Area" localSheetId="11">'WP_B-4'!$A$1:$U$70</definedName>
    <definedName name="_xlnm.Print_Area" localSheetId="12">'WP_B-5'!$A$1:$R$125</definedName>
    <definedName name="_xlnm.Print_Area" localSheetId="13">'WP_B-6'!$A$1:$F$85</definedName>
    <definedName name="_xlnm.Print_Area" localSheetId="14">'WP_B-7'!$A$1:$F$51</definedName>
    <definedName name="_xlnm.Print_Area" localSheetId="15">'WP_B-8'!$A$1:$L$64</definedName>
    <definedName name="_xlnm.Print_Area" localSheetId="18">'WP_C-1'!$A$1:$M$51</definedName>
    <definedName name="_xlnm.Print_Area" localSheetId="19">'WP_C-2'!$A$1:$G$68</definedName>
    <definedName name="_xlnm.Print_Area" localSheetId="20">'WP_C-3'!$A$1:$E$56</definedName>
    <definedName name="_xlnm.Print_Area" localSheetId="21">'WP_C-4'!$A$1:$F$49</definedName>
    <definedName name="_xlnm.Print_Area" localSheetId="34">'WP_Cost per Unit'!$A$1:$L$56</definedName>
    <definedName name="_xlnm.Print_Area" localSheetId="22">'WP_D-1'!$A$1:$G$27</definedName>
    <definedName name="_xlnm.Print_Area" localSheetId="23">'WP_E-1'!$A$1:$F$42</definedName>
    <definedName name="_xlnm.Print_Area" localSheetId="24">'WP_F-1'!$A$1:$U$128</definedName>
    <definedName name="_xlnm.Print_Area" localSheetId="33">WP_FCR!$A$1:$I$221</definedName>
    <definedName name="_xlnm.Print_Area" localSheetId="25">'WP_G-1'!$A$1:$Q$91</definedName>
    <definedName name="_xlnm.Print_Area" localSheetId="26">'WP_H-1 '!$A$1:$C$460</definedName>
    <definedName name="_xlnm.Print_Area" localSheetId="27">'WP_I-1'!$A$1:$S$59</definedName>
    <definedName name="_xlnm.Print_Area" localSheetId="37">'WP_Installed Cost'!$A$1:$I$39</definedName>
    <definedName name="_xlnm.Print_Area" localSheetId="38">'WP_O&amp;M Cost'!$A$1:$M$43</definedName>
    <definedName name="_xlnm.Print_Area" localSheetId="39">'WP_Reactive Cost'!$A$1:$G$32</definedName>
    <definedName name="_xlnm.Print_Area">#REF!</definedName>
    <definedName name="_xlnm.Print_Titles" localSheetId="6">'ATRR Act'!$1:$3</definedName>
    <definedName name="_xlnm.Print_Titles" localSheetId="5">'ATRR Est.'!$1:$3</definedName>
    <definedName name="_xlnm.Print_Titles" localSheetId="7">'WP_A-2'!$1:$5</definedName>
    <definedName name="_xlnm.Print_Titles" localSheetId="8">'WP_B-1'!$1:$4</definedName>
    <definedName name="_xlnm.Print_Titles" localSheetId="11">'WP_B-4'!$1:$4</definedName>
    <definedName name="_xlnm.Print_Titles" localSheetId="12">'WP_B-5'!$1:$5</definedName>
    <definedName name="_xlnm.Print_Titles" localSheetId="13">'WP_B-6'!$1:$5</definedName>
    <definedName name="_xlnm.Print_Titles" localSheetId="19">'WP_C-2'!$1:$4</definedName>
    <definedName name="_xlnm.Print_Titles" localSheetId="23">'WP_E-1'!$1:$4</definedName>
    <definedName name="_xlnm.Print_Titles" localSheetId="24">'WP_F-1'!$1:$3</definedName>
    <definedName name="_xlnm.Print_Titles" localSheetId="33">WP_FCR!$1:$4</definedName>
    <definedName name="_xlnm.Print_Titles" localSheetId="25">'WP_G-1'!$1:$4</definedName>
    <definedName name="_xlnm.Print_Titles" localSheetId="26">'WP_H-1 '!$1:$9</definedName>
    <definedName name="_xlnm.Print_Titles" localSheetId="35">'WP_Load Factor'!$1:$11</definedName>
    <definedName name="ROR">'ATRR Est.'!$G$179</definedName>
    <definedName name="TP">'ATRR Est.'!$G$158</definedName>
    <definedName name="TPA">'ATRR Act'!$G$159</definedName>
    <definedName name="WS">'ATRR Est.'!$G$168</definedName>
    <definedName name="WSA">'ATRR Act'!$G$169</definedName>
  </definedNames>
  <calcPr calcId="145621"/>
</workbook>
</file>

<file path=xl/calcChain.xml><?xml version="1.0" encoding="utf-8"?>
<calcChain xmlns="http://schemas.openxmlformats.org/spreadsheetml/2006/main">
  <c r="G138" i="44" l="1"/>
  <c r="H73" i="44"/>
  <c r="H9" i="63" l="1"/>
  <c r="P47" i="43" l="1"/>
  <c r="P45" i="43"/>
  <c r="P43" i="43"/>
  <c r="P41" i="43"/>
  <c r="P39" i="43"/>
  <c r="P37" i="43"/>
  <c r="P35" i="43"/>
  <c r="P33" i="43"/>
  <c r="P31" i="43"/>
  <c r="P29" i="43"/>
  <c r="P27" i="43"/>
  <c r="P25" i="43"/>
  <c r="P23" i="43"/>
  <c r="P21" i="43"/>
  <c r="P19" i="43"/>
  <c r="P17" i="43"/>
  <c r="P15" i="43"/>
  <c r="P13" i="43"/>
  <c r="H30" i="41" l="1"/>
  <c r="H29" i="41"/>
  <c r="H28" i="41"/>
  <c r="H27" i="41"/>
  <c r="H9" i="41"/>
  <c r="P47" i="42"/>
  <c r="P45" i="42"/>
  <c r="P43" i="42"/>
  <c r="P41" i="42"/>
  <c r="P39" i="42"/>
  <c r="P37" i="42"/>
  <c r="P35" i="42"/>
  <c r="P33" i="42"/>
  <c r="P31" i="42"/>
  <c r="P29" i="42"/>
  <c r="P27" i="42"/>
  <c r="P25" i="42"/>
  <c r="P23" i="42"/>
  <c r="P21" i="42"/>
  <c r="P19" i="42"/>
  <c r="P17" i="42"/>
  <c r="P15" i="42"/>
  <c r="P13" i="42"/>
  <c r="D47" i="42"/>
  <c r="B47" i="42"/>
  <c r="D47" i="43"/>
  <c r="B47" i="43"/>
  <c r="F47" i="45"/>
  <c r="D47" i="45"/>
  <c r="P49" i="42" l="1"/>
  <c r="B45" i="43" l="1"/>
  <c r="B43" i="43"/>
  <c r="B41" i="43"/>
  <c r="B39" i="43"/>
  <c r="B37" i="43"/>
  <c r="B35" i="43"/>
  <c r="B33" i="43"/>
  <c r="B31" i="43"/>
  <c r="B29" i="43"/>
  <c r="B27" i="43"/>
  <c r="B25" i="43"/>
  <c r="B23" i="43"/>
  <c r="B21" i="43"/>
  <c r="B19" i="43"/>
  <c r="B17" i="43"/>
  <c r="B15" i="43"/>
  <c r="B13" i="43"/>
  <c r="B33" i="42"/>
  <c r="B15" i="42"/>
  <c r="B17" i="42"/>
  <c r="B19" i="42"/>
  <c r="B21" i="42"/>
  <c r="B23" i="42"/>
  <c r="B25" i="42"/>
  <c r="B27" i="42"/>
  <c r="B29" i="42"/>
  <c r="B31" i="42"/>
  <c r="B35" i="42"/>
  <c r="B37" i="42"/>
  <c r="B39" i="42"/>
  <c r="B41" i="42"/>
  <c r="B43" i="42"/>
  <c r="B45" i="42"/>
  <c r="B13" i="42"/>
  <c r="D45" i="43"/>
  <c r="D43" i="43"/>
  <c r="D41" i="43"/>
  <c r="D39" i="43"/>
  <c r="D37" i="43"/>
  <c r="D35" i="43"/>
  <c r="D33" i="43"/>
  <c r="D31" i="43"/>
  <c r="D29" i="43"/>
  <c r="D27" i="43"/>
  <c r="D25" i="43"/>
  <c r="D23" i="43"/>
  <c r="D21" i="43"/>
  <c r="D19" i="43"/>
  <c r="D17" i="43"/>
  <c r="D15" i="43"/>
  <c r="D13" i="43"/>
  <c r="D45" i="42"/>
  <c r="D43" i="42"/>
  <c r="D41" i="42"/>
  <c r="D39" i="42"/>
  <c r="D37" i="42"/>
  <c r="D35" i="42"/>
  <c r="D33" i="42"/>
  <c r="D31" i="42"/>
  <c r="D29" i="42"/>
  <c r="D27" i="42"/>
  <c r="D25" i="42"/>
  <c r="D23" i="42"/>
  <c r="D21" i="42"/>
  <c r="D19" i="42"/>
  <c r="D17" i="42"/>
  <c r="D15" i="42"/>
  <c r="D13" i="42"/>
  <c r="BA377" i="53" l="1"/>
  <c r="AZ377" i="53"/>
  <c r="AY377" i="53"/>
  <c r="AX377" i="53"/>
  <c r="AW377" i="53"/>
  <c r="AV377" i="53"/>
  <c r="AU377" i="53"/>
  <c r="AT377" i="53"/>
  <c r="AS377" i="53"/>
  <c r="AR377" i="53"/>
  <c r="AQ377" i="53"/>
  <c r="AP377" i="53"/>
  <c r="AO377" i="53"/>
  <c r="AN377" i="53"/>
  <c r="AM377" i="53"/>
  <c r="AL377" i="53"/>
  <c r="AK377" i="53"/>
  <c r="AJ377" i="53"/>
  <c r="AI377" i="53"/>
  <c r="AH377" i="53"/>
  <c r="AG377" i="53"/>
  <c r="AF377" i="53"/>
  <c r="AE377" i="53"/>
  <c r="AD377" i="53"/>
  <c r="AC377" i="53"/>
  <c r="A377" i="53"/>
  <c r="A90" i="74" l="1"/>
  <c r="A91" i="74"/>
  <c r="A91" i="75"/>
  <c r="A92" i="75"/>
  <c r="E90" i="74" l="1"/>
  <c r="F90" i="74" s="1"/>
  <c r="G90" i="74" s="1"/>
  <c r="H32" i="40" l="1"/>
  <c r="M16" i="65"/>
  <c r="F16" i="41" s="1"/>
  <c r="M26" i="65"/>
  <c r="F26" i="41" s="1"/>
  <c r="M9" i="65"/>
  <c r="F9" i="41" s="1"/>
  <c r="E16" i="64"/>
  <c r="E26" i="64"/>
  <c r="E24" i="41" l="1"/>
  <c r="E24" i="63"/>
  <c r="E20" i="41"/>
  <c r="E20" i="63"/>
  <c r="E16" i="41"/>
  <c r="E16" i="63"/>
  <c r="E12" i="41"/>
  <c r="E12" i="63"/>
  <c r="H59" i="44"/>
  <c r="J51" i="45"/>
  <c r="E9" i="41"/>
  <c r="E9" i="63"/>
  <c r="E23" i="41"/>
  <c r="E23" i="63"/>
  <c r="E19" i="41"/>
  <c r="E19" i="63"/>
  <c r="E15" i="41"/>
  <c r="E15" i="63"/>
  <c r="E11" i="41"/>
  <c r="E11" i="63"/>
  <c r="E26" i="41"/>
  <c r="E26" i="63"/>
  <c r="G26" i="63" s="1"/>
  <c r="E22" i="41"/>
  <c r="E22" i="63"/>
  <c r="E18" i="41"/>
  <c r="E18" i="63"/>
  <c r="E14" i="41"/>
  <c r="E14" i="63"/>
  <c r="E10" i="41"/>
  <c r="E10" i="63"/>
  <c r="E25" i="41"/>
  <c r="E25" i="63"/>
  <c r="E21" i="41"/>
  <c r="E21" i="63"/>
  <c r="E17" i="41"/>
  <c r="E17" i="63"/>
  <c r="E13" i="41"/>
  <c r="E13" i="63"/>
  <c r="E30" i="41"/>
  <c r="E30" i="63"/>
  <c r="G30" i="63" s="1"/>
  <c r="E29" i="41"/>
  <c r="E29" i="63"/>
  <c r="G29" i="63" s="1"/>
  <c r="E28" i="41"/>
  <c r="E28" i="63"/>
  <c r="G28" i="63" s="1"/>
  <c r="E27" i="41"/>
  <c r="E27" i="63"/>
  <c r="G27" i="63" s="1"/>
  <c r="C28" i="66"/>
  <c r="D10" i="66" s="1"/>
  <c r="E30" i="64"/>
  <c r="E22" i="64"/>
  <c r="E18" i="64"/>
  <c r="E14" i="64"/>
  <c r="E20" i="64"/>
  <c r="E24" i="64"/>
  <c r="E27" i="64"/>
  <c r="E23" i="64"/>
  <c r="E28" i="64"/>
  <c r="E10" i="64"/>
  <c r="E25" i="64"/>
  <c r="E13" i="64"/>
  <c r="E12" i="64"/>
  <c r="E29" i="64"/>
  <c r="E21" i="64"/>
  <c r="E17" i="64"/>
  <c r="E19" i="64"/>
  <c r="E15" i="64"/>
  <c r="E11" i="64"/>
  <c r="F13" i="37" l="1"/>
  <c r="S108" i="77" l="1"/>
  <c r="S107" i="77"/>
  <c r="L108" i="77"/>
  <c r="L107" i="77"/>
  <c r="I108" i="77"/>
  <c r="I107" i="77"/>
  <c r="F108" i="77"/>
  <c r="F107" i="77"/>
  <c r="S102" i="77"/>
  <c r="L102" i="77"/>
  <c r="I102" i="77"/>
  <c r="F102" i="77"/>
  <c r="R96" i="77"/>
  <c r="S95" i="77"/>
  <c r="S96" i="77" s="1"/>
  <c r="S94" i="77"/>
  <c r="S93" i="77"/>
  <c r="S92" i="77"/>
  <c r="S91" i="77"/>
  <c r="S90" i="77"/>
  <c r="S89" i="77"/>
  <c r="S88" i="77"/>
  <c r="S87" i="77"/>
  <c r="S86" i="77"/>
  <c r="S85" i="77"/>
  <c r="S84" i="77"/>
  <c r="S83" i="77"/>
  <c r="K96" i="77"/>
  <c r="J96" i="77"/>
  <c r="L95" i="77"/>
  <c r="L96" i="77" s="1"/>
  <c r="L94" i="77"/>
  <c r="L93" i="77"/>
  <c r="L92" i="77"/>
  <c r="L91" i="77"/>
  <c r="L90" i="77"/>
  <c r="L89" i="77"/>
  <c r="L88" i="77"/>
  <c r="L87" i="77"/>
  <c r="L86" i="77"/>
  <c r="L85" i="77"/>
  <c r="L84" i="77"/>
  <c r="L83" i="77"/>
  <c r="I84" i="77"/>
  <c r="I85" i="77"/>
  <c r="I86" i="77"/>
  <c r="I87" i="77"/>
  <c r="I88" i="77"/>
  <c r="I89" i="77"/>
  <c r="I90" i="77"/>
  <c r="I91" i="77"/>
  <c r="I92" i="77"/>
  <c r="I93" i="77"/>
  <c r="I94" i="77"/>
  <c r="I95" i="77"/>
  <c r="I96" i="77" s="1"/>
  <c r="I83" i="77"/>
  <c r="H96" i="77"/>
  <c r="F84" i="77"/>
  <c r="F85" i="77"/>
  <c r="F86" i="77"/>
  <c r="F87" i="77"/>
  <c r="F88" i="77"/>
  <c r="F89" i="77"/>
  <c r="F90" i="77"/>
  <c r="F91" i="77"/>
  <c r="F92" i="77"/>
  <c r="F93" i="77"/>
  <c r="F94" i="77"/>
  <c r="F95" i="77"/>
  <c r="F83" i="77"/>
  <c r="E96" i="77"/>
  <c r="R77" i="77"/>
  <c r="Q77" i="77"/>
  <c r="S65" i="77"/>
  <c r="S66" i="77"/>
  <c r="S67" i="77"/>
  <c r="S68" i="77"/>
  <c r="S69" i="77"/>
  <c r="S70" i="77"/>
  <c r="S71" i="77"/>
  <c r="S72" i="77"/>
  <c r="S73" i="77"/>
  <c r="S74" i="77"/>
  <c r="S75" i="77"/>
  <c r="S76" i="77"/>
  <c r="S77" i="77" s="1"/>
  <c r="S64" i="77"/>
  <c r="L76" i="77"/>
  <c r="L77" i="77" s="1"/>
  <c r="L75" i="77"/>
  <c r="L74" i="77"/>
  <c r="L73" i="77"/>
  <c r="L72" i="77"/>
  <c r="L71" i="77"/>
  <c r="L70" i="77"/>
  <c r="L69" i="77"/>
  <c r="L68" i="77"/>
  <c r="L67" i="77"/>
  <c r="L66" i="77"/>
  <c r="L65" i="77"/>
  <c r="L64" i="77"/>
  <c r="K77" i="77"/>
  <c r="H77" i="77"/>
  <c r="G77" i="77"/>
  <c r="I65" i="77"/>
  <c r="I66" i="77"/>
  <c r="I67" i="77"/>
  <c r="I68" i="77"/>
  <c r="I69" i="77"/>
  <c r="I70" i="77"/>
  <c r="I71" i="77"/>
  <c r="I72" i="77"/>
  <c r="I73" i="77"/>
  <c r="I74" i="77"/>
  <c r="I75" i="77"/>
  <c r="I76" i="77"/>
  <c r="I77" i="77" s="1"/>
  <c r="I64" i="77"/>
  <c r="E77" i="77"/>
  <c r="F65" i="77"/>
  <c r="F66" i="77"/>
  <c r="F67" i="77"/>
  <c r="F68" i="77"/>
  <c r="F69" i="77"/>
  <c r="F70" i="77"/>
  <c r="F71" i="77"/>
  <c r="F72" i="77"/>
  <c r="F73" i="77"/>
  <c r="F74" i="77"/>
  <c r="F75" i="77"/>
  <c r="F76" i="77"/>
  <c r="F64" i="77"/>
  <c r="A351" i="78" l="1"/>
  <c r="A352" i="78"/>
  <c r="A353" i="78"/>
  <c r="A354" i="78" s="1"/>
  <c r="A355" i="78" s="1"/>
  <c r="A356" i="78" s="1"/>
  <c r="A357" i="78" s="1"/>
  <c r="A358" i="78" s="1"/>
  <c r="A359" i="78" s="1"/>
  <c r="A360" i="78" s="1"/>
  <c r="A361" i="78" s="1"/>
  <c r="A362" i="78" s="1"/>
  <c r="A363" i="78" s="1"/>
  <c r="A364" i="78" s="1"/>
  <c r="A365" i="78" s="1"/>
  <c r="A366" i="78" s="1"/>
  <c r="A367" i="78" s="1"/>
  <c r="A368" i="78" s="1"/>
  <c r="A369" i="78" s="1"/>
  <c r="A370" i="78" s="1"/>
  <c r="A371" i="78" s="1"/>
  <c r="A372" i="78" s="1"/>
  <c r="A373" i="78" s="1"/>
  <c r="A374" i="78" s="1"/>
  <c r="A375" i="78" s="1"/>
  <c r="A376" i="78" s="1"/>
  <c r="A377" i="78" s="1"/>
  <c r="A378" i="78" s="1"/>
  <c r="A379" i="78" s="1"/>
  <c r="A380" i="78" s="1"/>
  <c r="A381" i="78" s="1"/>
  <c r="A382" i="78" s="1"/>
  <c r="A383" i="78" s="1"/>
  <c r="A384" i="78" s="1"/>
  <c r="A385" i="78" s="1"/>
  <c r="A386" i="78" s="1"/>
  <c r="A387" i="78" s="1"/>
  <c r="A388" i="78" s="1"/>
  <c r="A389" i="78" s="1"/>
  <c r="A390" i="78" s="1"/>
  <c r="A391" i="78" s="1"/>
  <c r="A392" i="78" s="1"/>
  <c r="A393" i="78" s="1"/>
  <c r="A394" i="78" s="1"/>
  <c r="A395" i="78" s="1"/>
  <c r="A396" i="78" s="1"/>
  <c r="A397" i="78" s="1"/>
  <c r="A398" i="78" s="1"/>
  <c r="A399" i="78" s="1"/>
  <c r="A400" i="78" s="1"/>
  <c r="A401" i="78" s="1"/>
  <c r="A402" i="78" s="1"/>
  <c r="A403" i="78" s="1"/>
  <c r="A404" i="78" s="1"/>
  <c r="A405" i="78" s="1"/>
  <c r="A406" i="78" s="1"/>
  <c r="A407" i="78" s="1"/>
  <c r="A408" i="78" s="1"/>
  <c r="A409" i="78" s="1"/>
  <c r="A410" i="78" s="1"/>
  <c r="A411" i="78" s="1"/>
  <c r="A412" i="78" s="1"/>
  <c r="A413" i="78" s="1"/>
  <c r="A414" i="78" s="1"/>
  <c r="A415" i="78" s="1"/>
  <c r="A416" i="78" s="1"/>
  <c r="A417" i="78" s="1"/>
  <c r="A418" i="78" s="1"/>
  <c r="A419" i="78" s="1"/>
  <c r="A420" i="78" s="1"/>
  <c r="A421" i="78" s="1"/>
  <c r="A422" i="78" s="1"/>
  <c r="A423" i="78" s="1"/>
  <c r="A424" i="78" s="1"/>
  <c r="A425" i="78" s="1"/>
  <c r="A426" i="78" s="1"/>
  <c r="A427" i="78" s="1"/>
  <c r="A428" i="78" s="1"/>
  <c r="A429" i="78" s="1"/>
  <c r="A430" i="78" s="1"/>
  <c r="A431" i="78" s="1"/>
  <c r="A432" i="78" s="1"/>
  <c r="A433" i="78" s="1"/>
  <c r="A434" i="78" s="1"/>
  <c r="A435" i="78" s="1"/>
  <c r="A436" i="78" s="1"/>
  <c r="A437" i="78" s="1"/>
  <c r="A438" i="78" s="1"/>
  <c r="A439" i="78" s="1"/>
  <c r="A440" i="78" s="1"/>
  <c r="A441" i="78" s="1"/>
  <c r="A442" i="78" s="1"/>
  <c r="A443" i="78" s="1"/>
  <c r="A444" i="78" s="1"/>
  <c r="A445" i="78" s="1"/>
  <c r="A446" i="78" s="1"/>
  <c r="A447" i="78" s="1"/>
  <c r="A448" i="78" s="1"/>
  <c r="A449" i="78" s="1"/>
  <c r="A450" i="78" s="1"/>
  <c r="A451" i="78" s="1"/>
  <c r="A452" i="78" s="1"/>
  <c r="A453" i="78" s="1"/>
  <c r="A454" i="78" s="1"/>
  <c r="A455" i="78" s="1"/>
  <c r="A456" i="78" s="1"/>
  <c r="A457" i="78" s="1"/>
  <c r="A458" i="78" s="1"/>
  <c r="A459" i="78" s="1"/>
  <c r="A460" i="78" s="1"/>
  <c r="A461" i="78" s="1"/>
  <c r="A462" i="78" s="1"/>
  <c r="A463" i="78" s="1"/>
  <c r="A464" i="78" s="1"/>
  <c r="A465" i="78" s="1"/>
  <c r="A466" i="78" s="1"/>
  <c r="A467" i="78" s="1"/>
  <c r="A468" i="78" s="1"/>
  <c r="A469" i="78" s="1"/>
  <c r="A470" i="78" s="1"/>
  <c r="A471" i="78" s="1"/>
  <c r="A472" i="78" s="1"/>
  <c r="A473" i="78" s="1"/>
  <c r="A474" i="78" s="1"/>
  <c r="A475" i="78" s="1"/>
  <c r="A476" i="78" s="1"/>
  <c r="A477" i="78" s="1"/>
  <c r="A478" i="78" s="1"/>
  <c r="A479" i="78" s="1"/>
  <c r="A480" i="78" s="1"/>
  <c r="A481" i="78" s="1"/>
  <c r="A482" i="78" s="1"/>
  <c r="A483" i="78" s="1"/>
  <c r="A484" i="78" s="1"/>
  <c r="A485" i="78" s="1"/>
  <c r="A486" i="78" s="1"/>
  <c r="A487" i="78" s="1"/>
  <c r="A488" i="78" s="1"/>
  <c r="A489" i="78" s="1"/>
  <c r="A490" i="78" s="1"/>
  <c r="A491" i="78" s="1"/>
  <c r="A492" i="78" s="1"/>
  <c r="A493" i="78" s="1"/>
  <c r="A494" i="78" s="1"/>
  <c r="A495" i="78" s="1"/>
  <c r="A496" i="78" s="1"/>
  <c r="A497" i="78" s="1"/>
  <c r="A498" i="78" s="1"/>
  <c r="A499" i="78" s="1"/>
  <c r="A500" i="78" s="1"/>
  <c r="A501" i="78" s="1"/>
  <c r="A502" i="78" s="1"/>
  <c r="A503" i="78" s="1"/>
  <c r="A504" i="78" s="1"/>
  <c r="A505" i="78" s="1"/>
  <c r="A506" i="78" s="1"/>
  <c r="A507" i="78" s="1"/>
  <c r="A508" i="78" s="1"/>
  <c r="A509" i="78" s="1"/>
  <c r="A510" i="78" s="1"/>
  <c r="A511" i="78" s="1"/>
  <c r="A512" i="78" s="1"/>
  <c r="A513" i="78" s="1"/>
  <c r="A514" i="78" s="1"/>
  <c r="A515" i="78" s="1"/>
  <c r="A516" i="78" s="1"/>
  <c r="A517" i="78" s="1"/>
  <c r="A518" i="78" s="1"/>
  <c r="A519" i="78" s="1"/>
  <c r="A520" i="78" s="1"/>
  <c r="A521" i="78" s="1"/>
  <c r="A522" i="78" s="1"/>
  <c r="A523" i="78" s="1"/>
  <c r="A524" i="78" s="1"/>
  <c r="A525" i="78" s="1"/>
  <c r="A526" i="78" s="1"/>
  <c r="A527" i="78" s="1"/>
  <c r="A528" i="78" s="1"/>
  <c r="A529" i="78" s="1"/>
  <c r="A530" i="78" s="1"/>
  <c r="A531" i="78" s="1"/>
  <c r="A532" i="78" s="1"/>
  <c r="A533" i="78" s="1"/>
  <c r="A534" i="78" s="1"/>
  <c r="A535" i="78" s="1"/>
  <c r="A536" i="78" s="1"/>
  <c r="A537" i="78" s="1"/>
  <c r="A538" i="78" s="1"/>
  <c r="A539" i="78" s="1"/>
  <c r="A540" i="78" s="1"/>
  <c r="A541" i="78" s="1"/>
  <c r="A542" i="78" s="1"/>
  <c r="A543" i="78" s="1"/>
  <c r="A544" i="78" s="1"/>
  <c r="A545" i="78" s="1"/>
  <c r="A546" i="78" s="1"/>
  <c r="A547" i="78" s="1"/>
  <c r="A548" i="78" s="1"/>
  <c r="A549" i="78" s="1"/>
  <c r="A550" i="78" s="1"/>
  <c r="A551" i="78" s="1"/>
  <c r="A552" i="78" s="1"/>
  <c r="A553" i="78" s="1"/>
  <c r="A554" i="78" s="1"/>
  <c r="A555" i="78" s="1"/>
  <c r="A556" i="78" s="1"/>
  <c r="A557" i="78" s="1"/>
  <c r="A558" i="78" s="1"/>
  <c r="A559" i="78" s="1"/>
  <c r="A560" i="78" s="1"/>
  <c r="A561" i="78" s="1"/>
  <c r="A562" i="78" s="1"/>
  <c r="A563" i="78" s="1"/>
  <c r="A564" i="78" s="1"/>
  <c r="A565" i="78" s="1"/>
  <c r="A566" i="78" s="1"/>
  <c r="A567" i="78" s="1"/>
  <c r="A568" i="78" s="1"/>
  <c r="A569" i="78" s="1"/>
  <c r="A570" i="78" s="1"/>
  <c r="A571" i="78" s="1"/>
  <c r="A572" i="78" s="1"/>
  <c r="A573" i="78" s="1"/>
  <c r="A574" i="78" s="1"/>
  <c r="A575" i="78" s="1"/>
  <c r="A576" i="78" s="1"/>
  <c r="A577" i="78" s="1"/>
  <c r="A578" i="78" s="1"/>
  <c r="A579" i="78" s="1"/>
  <c r="A580" i="78" s="1"/>
  <c r="A581" i="78" s="1"/>
  <c r="A582" i="78" s="1"/>
  <c r="A583" i="78" s="1"/>
  <c r="A584" i="78" s="1"/>
  <c r="A585" i="78" s="1"/>
  <c r="A586" i="78" s="1"/>
  <c r="A587" i="78" s="1"/>
  <c r="A588" i="78" s="1"/>
  <c r="A589" i="78" s="1"/>
  <c r="A590" i="78" s="1"/>
  <c r="A591" i="78" s="1"/>
  <c r="A592" i="78" s="1"/>
  <c r="A593" i="78" s="1"/>
  <c r="A594" i="78" s="1"/>
  <c r="A595" i="78" s="1"/>
  <c r="A596" i="78" s="1"/>
  <c r="A597" i="78" s="1"/>
  <c r="A598" i="78" s="1"/>
  <c r="A599" i="78" s="1"/>
  <c r="A600" i="78" s="1"/>
  <c r="A601" i="78" s="1"/>
  <c r="A602" i="78" s="1"/>
  <c r="A603" i="78" s="1"/>
  <c r="A604" i="78" s="1"/>
  <c r="A605" i="78" s="1"/>
  <c r="A606" i="78" s="1"/>
  <c r="A607" i="78" s="1"/>
  <c r="A608" i="78" s="1"/>
  <c r="A609" i="78" s="1"/>
  <c r="A610" i="78" s="1"/>
  <c r="A611" i="78" s="1"/>
  <c r="A612" i="78" s="1"/>
  <c r="A613" i="78" s="1"/>
  <c r="A614" i="78" s="1"/>
  <c r="A615" i="78" s="1"/>
  <c r="A616" i="78" s="1"/>
  <c r="A617" i="78" s="1"/>
  <c r="A618" i="78" s="1"/>
  <c r="A619" i="78" s="1"/>
  <c r="A620" i="78" s="1"/>
  <c r="A621" i="78" s="1"/>
  <c r="A622" i="78" s="1"/>
  <c r="A623" i="78" s="1"/>
  <c r="A624" i="78" s="1"/>
  <c r="A625" i="78" s="1"/>
  <c r="A626" i="78" s="1"/>
  <c r="A627" i="78" s="1"/>
  <c r="A628" i="78" s="1"/>
  <c r="A629" i="78" s="1"/>
  <c r="A630" i="78" s="1"/>
  <c r="A631" i="78" s="1"/>
  <c r="A632" i="78" s="1"/>
  <c r="A633" i="78" s="1"/>
  <c r="A634" i="78" s="1"/>
  <c r="A635" i="78" s="1"/>
  <c r="A636" i="78" s="1"/>
  <c r="A637" i="78" s="1"/>
  <c r="A638" i="78" s="1"/>
  <c r="A639" i="78" s="1"/>
  <c r="A640" i="78" s="1"/>
  <c r="A641" i="78" s="1"/>
  <c r="A642" i="78" s="1"/>
  <c r="A643" i="78" s="1"/>
  <c r="A644" i="78" s="1"/>
  <c r="A645" i="78" s="1"/>
  <c r="A646" i="78" s="1"/>
  <c r="A647" i="78" s="1"/>
  <c r="A648" i="78" s="1"/>
  <c r="A649" i="78" s="1"/>
  <c r="A650" i="78" s="1"/>
  <c r="A651" i="78" s="1"/>
  <c r="A652" i="78" s="1"/>
  <c r="A653" i="78" s="1"/>
  <c r="A654" i="78" s="1"/>
  <c r="A655" i="78" s="1"/>
  <c r="A656" i="78" s="1"/>
  <c r="A657" i="78" s="1"/>
  <c r="D646" i="78"/>
  <c r="D645" i="78"/>
  <c r="D644" i="78"/>
  <c r="D643" i="78" s="1"/>
  <c r="C637" i="78"/>
  <c r="E636" i="78" s="1"/>
  <c r="L636" i="78"/>
  <c r="H636" i="78"/>
  <c r="Q635" i="78"/>
  <c r="Q653" i="78" s="1"/>
  <c r="J635" i="78"/>
  <c r="J653" i="78" s="1"/>
  <c r="D491" i="78"/>
  <c r="D490" i="78"/>
  <c r="D489" i="78"/>
  <c r="D488" i="78" s="1"/>
  <c r="C482" i="78"/>
  <c r="E481" i="78" s="1"/>
  <c r="D429" i="78"/>
  <c r="D428" i="78"/>
  <c r="C420" i="78"/>
  <c r="L419" i="78"/>
  <c r="E419" i="78"/>
  <c r="E420" i="78" s="1"/>
  <c r="E421" i="78" s="1"/>
  <c r="E422" i="78" s="1"/>
  <c r="E423" i="78" s="1"/>
  <c r="E424" i="78" s="1"/>
  <c r="E425" i="78" s="1"/>
  <c r="E426" i="78" s="1"/>
  <c r="E427" i="78" s="1"/>
  <c r="E428" i="78" s="1"/>
  <c r="E429" i="78" s="1"/>
  <c r="E430" i="78" s="1"/>
  <c r="F430" i="78" s="1"/>
  <c r="Q418" i="78"/>
  <c r="Q436" i="78" s="1"/>
  <c r="D367" i="78"/>
  <c r="D366" i="78"/>
  <c r="C358" i="78"/>
  <c r="L369" i="78"/>
  <c r="E357" i="78"/>
  <c r="E358" i="78" s="1"/>
  <c r="E359" i="78" s="1"/>
  <c r="E360" i="78" s="1"/>
  <c r="E361" i="78" s="1"/>
  <c r="E362" i="78" s="1"/>
  <c r="E363" i="78" s="1"/>
  <c r="E364" i="78" s="1"/>
  <c r="E365" i="78" s="1"/>
  <c r="E366" i="78" s="1"/>
  <c r="E367" i="78" s="1"/>
  <c r="Q374" i="78"/>
  <c r="J356" i="78"/>
  <c r="J374" i="78" s="1"/>
  <c r="D102" i="76"/>
  <c r="R102" i="76"/>
  <c r="M102" i="76"/>
  <c r="G102" i="76" l="1"/>
  <c r="I64" i="76"/>
  <c r="I72" i="76"/>
  <c r="S72" i="76"/>
  <c r="I83" i="76"/>
  <c r="I85" i="76"/>
  <c r="I87" i="76"/>
  <c r="I89" i="76"/>
  <c r="I91" i="76"/>
  <c r="I93" i="76"/>
  <c r="I95" i="76"/>
  <c r="H419" i="78"/>
  <c r="H423" i="78" s="1"/>
  <c r="H481" i="78"/>
  <c r="H485" i="78" s="1"/>
  <c r="S64" i="76"/>
  <c r="S71" i="76"/>
  <c r="I92" i="76"/>
  <c r="L87" i="76"/>
  <c r="L95" i="76"/>
  <c r="O102" i="76"/>
  <c r="L94" i="76"/>
  <c r="S91" i="76"/>
  <c r="L70" i="76"/>
  <c r="I66" i="76"/>
  <c r="I68" i="76"/>
  <c r="L66" i="76"/>
  <c r="L72" i="76"/>
  <c r="S66" i="76"/>
  <c r="S68" i="76"/>
  <c r="S75" i="76"/>
  <c r="L64" i="76"/>
  <c r="L68" i="76"/>
  <c r="L74" i="76"/>
  <c r="J480" i="78"/>
  <c r="J498" i="78" s="1"/>
  <c r="Q480" i="78"/>
  <c r="Q498" i="78" s="1"/>
  <c r="I94" i="76"/>
  <c r="L83" i="76"/>
  <c r="L85" i="76"/>
  <c r="L89" i="76"/>
  <c r="L91" i="76"/>
  <c r="L93" i="76"/>
  <c r="I107" i="76"/>
  <c r="J418" i="78"/>
  <c r="J436" i="78" s="1"/>
  <c r="J102" i="76"/>
  <c r="I70" i="76"/>
  <c r="I74" i="76"/>
  <c r="I76" i="76"/>
  <c r="S70" i="76"/>
  <c r="S74" i="76"/>
  <c r="S76" i="76"/>
  <c r="S84" i="76"/>
  <c r="S86" i="76"/>
  <c r="S88" i="76"/>
  <c r="S90" i="76"/>
  <c r="S92" i="76"/>
  <c r="S94" i="76"/>
  <c r="H357" i="78"/>
  <c r="H366" i="78" s="1"/>
  <c r="H102" i="76"/>
  <c r="E102" i="76"/>
  <c r="K102" i="76"/>
  <c r="F108" i="76"/>
  <c r="L65" i="76"/>
  <c r="L67" i="76"/>
  <c r="L69" i="76"/>
  <c r="L71" i="76"/>
  <c r="L73" i="76"/>
  <c r="L107" i="76"/>
  <c r="F107" i="76"/>
  <c r="L108" i="76"/>
  <c r="P107" i="76"/>
  <c r="P108" i="76"/>
  <c r="K77" i="76"/>
  <c r="N102" i="76"/>
  <c r="S107" i="76"/>
  <c r="I108" i="76"/>
  <c r="L75" i="76"/>
  <c r="I84" i="76"/>
  <c r="I86" i="76"/>
  <c r="I88" i="76"/>
  <c r="I90" i="76"/>
  <c r="S69" i="76"/>
  <c r="S108" i="76"/>
  <c r="E77" i="76"/>
  <c r="R77" i="76"/>
  <c r="H77" i="76"/>
  <c r="S83" i="76"/>
  <c r="S85" i="76"/>
  <c r="S87" i="76"/>
  <c r="S89" i="76"/>
  <c r="S93" i="76"/>
  <c r="S95" i="76"/>
  <c r="L76" i="76"/>
  <c r="I65" i="76"/>
  <c r="I67" i="76"/>
  <c r="I69" i="76"/>
  <c r="I71" i="76"/>
  <c r="I73" i="76"/>
  <c r="I75" i="76"/>
  <c r="L84" i="76"/>
  <c r="L86" i="76"/>
  <c r="L88" i="76"/>
  <c r="L90" i="76"/>
  <c r="L92" i="76"/>
  <c r="R96" i="76"/>
  <c r="E637" i="78"/>
  <c r="E638" i="78" s="1"/>
  <c r="E639" i="78" s="1"/>
  <c r="E640" i="78" s="1"/>
  <c r="E641" i="78" s="1"/>
  <c r="E642" i="78" s="1"/>
  <c r="E643" i="78" s="1"/>
  <c r="E644" i="78" s="1"/>
  <c r="E645" i="78" s="1"/>
  <c r="E646" i="78" s="1"/>
  <c r="N653" i="78"/>
  <c r="F653" i="78"/>
  <c r="D642" i="78"/>
  <c r="F643" i="78"/>
  <c r="M636" i="78"/>
  <c r="F644" i="78"/>
  <c r="E482" i="78"/>
  <c r="E483" i="78" s="1"/>
  <c r="E484" i="78" s="1"/>
  <c r="E485" i="78" s="1"/>
  <c r="E486" i="78" s="1"/>
  <c r="E487" i="78" s="1"/>
  <c r="E488" i="78" s="1"/>
  <c r="E489" i="78" s="1"/>
  <c r="E490" i="78" s="1"/>
  <c r="E491" i="78" s="1"/>
  <c r="D487" i="78"/>
  <c r="F488" i="78"/>
  <c r="F490" i="78"/>
  <c r="F489" i="78"/>
  <c r="F429" i="78"/>
  <c r="F428" i="78"/>
  <c r="D427" i="78"/>
  <c r="E431" i="78"/>
  <c r="E368" i="78"/>
  <c r="F368" i="78" s="1"/>
  <c r="F367" i="78"/>
  <c r="F366" i="78"/>
  <c r="D365" i="78"/>
  <c r="Q377" i="78"/>
  <c r="P357" i="78"/>
  <c r="S65" i="76"/>
  <c r="S73" i="76"/>
  <c r="Q102" i="76"/>
  <c r="S67" i="76"/>
  <c r="L102" i="76" l="1"/>
  <c r="F35" i="9" s="1"/>
  <c r="H358" i="78"/>
  <c r="M419" i="78"/>
  <c r="N419" i="78" s="1"/>
  <c r="H484" i="78"/>
  <c r="H422" i="78"/>
  <c r="I102" i="76"/>
  <c r="F34" i="9" s="1"/>
  <c r="H425" i="78"/>
  <c r="H421" i="78"/>
  <c r="H427" i="78"/>
  <c r="H483" i="78"/>
  <c r="H430" i="78"/>
  <c r="H424" i="78"/>
  <c r="M481" i="78"/>
  <c r="N481" i="78" s="1"/>
  <c r="H489" i="78"/>
  <c r="H429" i="78"/>
  <c r="H420" i="78"/>
  <c r="H487" i="78"/>
  <c r="H488" i="78"/>
  <c r="H482" i="78"/>
  <c r="H491" i="78"/>
  <c r="H486" i="78"/>
  <c r="H492" i="78"/>
  <c r="H490" i="78"/>
  <c r="H426" i="78"/>
  <c r="H428" i="78"/>
  <c r="H359" i="78"/>
  <c r="M357" i="78"/>
  <c r="N357" i="78" s="1"/>
  <c r="H367" i="78"/>
  <c r="H365" i="78"/>
  <c r="H364" i="78"/>
  <c r="H362" i="78"/>
  <c r="H361" i="78"/>
  <c r="H363" i="78"/>
  <c r="H368" i="78"/>
  <c r="H360" i="78"/>
  <c r="I77" i="76"/>
  <c r="F13" i="9" s="1"/>
  <c r="L77" i="76"/>
  <c r="F14" i="9" s="1"/>
  <c r="S77" i="76"/>
  <c r="F17" i="9" s="1"/>
  <c r="I96" i="76"/>
  <c r="F23" i="9" s="1"/>
  <c r="L96" i="76"/>
  <c r="F24" i="9" s="1"/>
  <c r="S102" i="76"/>
  <c r="F38" i="9" s="1"/>
  <c r="D641" i="78"/>
  <c r="F642" i="78"/>
  <c r="F645" i="78"/>
  <c r="F654" i="78"/>
  <c r="N654" i="78"/>
  <c r="N636" i="78"/>
  <c r="E647" i="78"/>
  <c r="F646" i="78"/>
  <c r="E492" i="78"/>
  <c r="F492" i="78" s="1"/>
  <c r="F491" i="78"/>
  <c r="D486" i="78"/>
  <c r="F487" i="78"/>
  <c r="D426" i="78"/>
  <c r="F427" i="78"/>
  <c r="D364" i="78"/>
  <c r="F365" i="78"/>
  <c r="E369" i="78"/>
  <c r="J377" i="78" l="1"/>
  <c r="H369" i="78"/>
  <c r="F647" i="78"/>
  <c r="E648" i="78"/>
  <c r="F641" i="78"/>
  <c r="D640" i="78"/>
  <c r="F486" i="78"/>
  <c r="D485" i="78"/>
  <c r="O481" i="78"/>
  <c r="P481" i="78"/>
  <c r="E493" i="78"/>
  <c r="D425" i="78"/>
  <c r="F426" i="78"/>
  <c r="O419" i="78"/>
  <c r="P419" i="78"/>
  <c r="F364" i="78"/>
  <c r="D363" i="78"/>
  <c r="O357" i="78"/>
  <c r="F655" i="78" l="1"/>
  <c r="D639" i="78"/>
  <c r="F640" i="78"/>
  <c r="N655" i="78"/>
  <c r="D484" i="78"/>
  <c r="F485" i="78"/>
  <c r="D424" i="78"/>
  <c r="F425" i="78"/>
  <c r="D362" i="78"/>
  <c r="F363" i="78"/>
  <c r="D638" i="78" l="1"/>
  <c r="F639" i="78"/>
  <c r="D483" i="78"/>
  <c r="F484" i="78"/>
  <c r="F424" i="78"/>
  <c r="D423" i="78"/>
  <c r="F362" i="78"/>
  <c r="D361" i="78"/>
  <c r="D637" i="78" l="1"/>
  <c r="F638" i="78"/>
  <c r="F483" i="78"/>
  <c r="D482" i="78"/>
  <c r="D422" i="78"/>
  <c r="F423" i="78"/>
  <c r="D360" i="78"/>
  <c r="F361" i="78"/>
  <c r="F637" i="78" l="1"/>
  <c r="D636" i="78"/>
  <c r="F482" i="78"/>
  <c r="D481" i="78"/>
  <c r="F422" i="78"/>
  <c r="D421" i="78"/>
  <c r="D359" i="78"/>
  <c r="F360" i="78"/>
  <c r="D648" i="78" l="1"/>
  <c r="E650" i="78" s="1"/>
  <c r="F636" i="78"/>
  <c r="I636" i="78" s="1"/>
  <c r="P636" i="78"/>
  <c r="O636" i="78"/>
  <c r="D493" i="78"/>
  <c r="E495" i="78" s="1"/>
  <c r="F481" i="78"/>
  <c r="I481" i="78" s="1"/>
  <c r="Q481" i="78" s="1"/>
  <c r="D420" i="78"/>
  <c r="F421" i="78"/>
  <c r="D358" i="78"/>
  <c r="F359" i="78"/>
  <c r="J636" i="78" l="1"/>
  <c r="Q636" i="78"/>
  <c r="J481" i="78"/>
  <c r="F420" i="78"/>
  <c r="D419" i="78"/>
  <c r="F358" i="78"/>
  <c r="D357" i="78"/>
  <c r="D431" i="78" l="1"/>
  <c r="E433" i="78" s="1"/>
  <c r="F419" i="78"/>
  <c r="I419" i="78" s="1"/>
  <c r="D369" i="78"/>
  <c r="E371" i="78" s="1"/>
  <c r="F357" i="78"/>
  <c r="I357" i="78" s="1"/>
  <c r="Q357" i="78" s="1"/>
  <c r="J419" i="78" l="1"/>
  <c r="Q419" i="78"/>
  <c r="J357" i="78"/>
  <c r="J139" i="78" l="1"/>
  <c r="J108" i="78"/>
  <c r="J15" i="78" l="1"/>
  <c r="H140" i="78"/>
  <c r="H109" i="78"/>
  <c r="H16" i="78"/>
  <c r="H51" i="29" l="1"/>
  <c r="L51" i="29"/>
  <c r="M51" i="29"/>
  <c r="E51" i="29"/>
  <c r="O51" i="29"/>
  <c r="K51" i="29"/>
  <c r="G51" i="29"/>
  <c r="I51" i="29"/>
  <c r="N51" i="29"/>
  <c r="J51" i="29"/>
  <c r="F51" i="29"/>
  <c r="E34" i="16" l="1"/>
  <c r="C102" i="76" l="1"/>
  <c r="B56" i="23"/>
  <c r="B55" i="23"/>
  <c r="A48" i="23"/>
  <c r="A49" i="23" s="1"/>
  <c r="A50" i="23" s="1"/>
  <c r="A51" i="23" s="1"/>
  <c r="A52" i="23" s="1"/>
  <c r="A53" i="23" s="1"/>
  <c r="A54" i="23" s="1"/>
  <c r="A55" i="23" s="1"/>
  <c r="A56" i="23" s="1"/>
  <c r="A57" i="23" s="1"/>
  <c r="A58" i="23" s="1"/>
  <c r="A59" i="23" s="1"/>
  <c r="H11" i="15"/>
  <c r="D26" i="66" l="1"/>
  <c r="G9" i="66"/>
  <c r="G2" i="66"/>
  <c r="L30" i="65"/>
  <c r="L29" i="65"/>
  <c r="L28" i="65"/>
  <c r="L27" i="65"/>
  <c r="L26" i="65"/>
  <c r="L25" i="65"/>
  <c r="L24" i="65"/>
  <c r="L23" i="65"/>
  <c r="L22" i="65"/>
  <c r="L21" i="65"/>
  <c r="L20" i="65"/>
  <c r="L19" i="65"/>
  <c r="L18" i="65"/>
  <c r="L17" i="65"/>
  <c r="L16" i="65"/>
  <c r="L15" i="65"/>
  <c r="L14" i="65"/>
  <c r="L13" i="65"/>
  <c r="L12" i="65"/>
  <c r="L11" i="65"/>
  <c r="L10" i="65"/>
  <c r="L9" i="65"/>
  <c r="M2" i="65"/>
  <c r="I30" i="64"/>
  <c r="I29" i="64"/>
  <c r="I28" i="64"/>
  <c r="I27" i="64"/>
  <c r="I26" i="64"/>
  <c r="I25" i="64"/>
  <c r="I24" i="64"/>
  <c r="I23" i="64"/>
  <c r="I22" i="64"/>
  <c r="I21" i="64"/>
  <c r="I20" i="64"/>
  <c r="I19" i="64"/>
  <c r="I18" i="64"/>
  <c r="I17" i="64"/>
  <c r="I16" i="64"/>
  <c r="I15" i="64"/>
  <c r="I14" i="64"/>
  <c r="I13" i="64"/>
  <c r="I12" i="64"/>
  <c r="I11" i="64"/>
  <c r="I10" i="64"/>
  <c r="G9" i="64"/>
  <c r="G10" i="64" s="1"/>
  <c r="G11" i="64" s="1"/>
  <c r="G12" i="64" s="1"/>
  <c r="G13" i="64" s="1"/>
  <c r="G14" i="64" s="1"/>
  <c r="G15" i="64" s="1"/>
  <c r="G16" i="64" s="1"/>
  <c r="G17" i="64" s="1"/>
  <c r="G18" i="64" s="1"/>
  <c r="G19" i="64" s="1"/>
  <c r="G20" i="64" s="1"/>
  <c r="G21" i="64" s="1"/>
  <c r="G22" i="64" s="1"/>
  <c r="G23" i="64" s="1"/>
  <c r="G24" i="64" s="1"/>
  <c r="G25" i="64" s="1"/>
  <c r="G26" i="64" s="1"/>
  <c r="G27" i="64" s="1"/>
  <c r="G28" i="64" s="1"/>
  <c r="G29" i="64" s="1"/>
  <c r="G30" i="64" s="1"/>
  <c r="I2" i="64"/>
  <c r="C39" i="63"/>
  <c r="A11" i="63"/>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33" i="63" s="1"/>
  <c r="A34" i="63" s="1"/>
  <c r="A35" i="63" s="1"/>
  <c r="A36" i="63" s="1"/>
  <c r="A37" i="63" s="1"/>
  <c r="A38" i="63" s="1"/>
  <c r="A39" i="63" s="1"/>
  <c r="A40" i="63" s="1"/>
  <c r="A41" i="63" s="1"/>
  <c r="A42" i="63" s="1"/>
  <c r="A43" i="63" s="1"/>
  <c r="A44" i="63" s="1"/>
  <c r="A45" i="63" s="1"/>
  <c r="A46" i="63" s="1"/>
  <c r="A47" i="63" s="1"/>
  <c r="A48" i="63" s="1"/>
  <c r="A10" i="63"/>
  <c r="I2" i="63"/>
  <c r="BA376" i="53"/>
  <c r="AZ376" i="53"/>
  <c r="AY376" i="53"/>
  <c r="AX376" i="53"/>
  <c r="AW376" i="53"/>
  <c r="AV376" i="53"/>
  <c r="AU376" i="53"/>
  <c r="AT376" i="53"/>
  <c r="AS376" i="53"/>
  <c r="AR376" i="53"/>
  <c r="AQ376" i="53"/>
  <c r="AP376" i="53"/>
  <c r="AO376" i="53"/>
  <c r="AN376" i="53"/>
  <c r="AM376" i="53"/>
  <c r="AL376" i="53"/>
  <c r="AK376" i="53"/>
  <c r="AJ376" i="53"/>
  <c r="AI376" i="53"/>
  <c r="AH376" i="53"/>
  <c r="AG376" i="53"/>
  <c r="AF376" i="53"/>
  <c r="AE376" i="53"/>
  <c r="AD376" i="53"/>
  <c r="BA375" i="53"/>
  <c r="AZ375" i="53"/>
  <c r="AY375" i="53"/>
  <c r="AX375" i="53"/>
  <c r="AW375" i="53"/>
  <c r="AV375" i="53"/>
  <c r="AU375" i="53"/>
  <c r="AT375" i="53"/>
  <c r="AS375" i="53"/>
  <c r="AR375" i="53"/>
  <c r="AQ375" i="53"/>
  <c r="AP375" i="53"/>
  <c r="AO375" i="53"/>
  <c r="AN375" i="53"/>
  <c r="AM375" i="53"/>
  <c r="AL375" i="53"/>
  <c r="AK375" i="53"/>
  <c r="AJ375" i="53"/>
  <c r="AI375" i="53"/>
  <c r="AH375" i="53"/>
  <c r="AG375" i="53"/>
  <c r="AF375" i="53"/>
  <c r="AE375" i="53"/>
  <c r="AD375" i="53"/>
  <c r="BA374" i="53"/>
  <c r="AZ374" i="53"/>
  <c r="AY374" i="53"/>
  <c r="AX374" i="53"/>
  <c r="AW374" i="53"/>
  <c r="AV374" i="53"/>
  <c r="AU374" i="53"/>
  <c r="AT374" i="53"/>
  <c r="AS374" i="53"/>
  <c r="AR374" i="53"/>
  <c r="AQ374" i="53"/>
  <c r="AP374" i="53"/>
  <c r="AO374" i="53"/>
  <c r="AN374" i="53"/>
  <c r="AM374" i="53"/>
  <c r="AL374" i="53"/>
  <c r="AK374" i="53"/>
  <c r="AJ374" i="53"/>
  <c r="AI374" i="53"/>
  <c r="AH374" i="53"/>
  <c r="AG374" i="53"/>
  <c r="AF374" i="53"/>
  <c r="AE374" i="53"/>
  <c r="AD374" i="53"/>
  <c r="BA373" i="53"/>
  <c r="AZ373" i="53"/>
  <c r="AY373" i="53"/>
  <c r="AX373" i="53"/>
  <c r="AW373" i="53"/>
  <c r="AV373" i="53"/>
  <c r="AU373" i="53"/>
  <c r="AT373" i="53"/>
  <c r="AS373" i="53"/>
  <c r="AR373" i="53"/>
  <c r="AQ373" i="53"/>
  <c r="AP373" i="53"/>
  <c r="AO373" i="53"/>
  <c r="AN373" i="53"/>
  <c r="AM373" i="53"/>
  <c r="AL373" i="53"/>
  <c r="AK373" i="53"/>
  <c r="AJ373" i="53"/>
  <c r="AI373" i="53"/>
  <c r="AH373" i="53"/>
  <c r="AG373" i="53"/>
  <c r="AF373" i="53"/>
  <c r="AE373" i="53"/>
  <c r="AD373" i="53"/>
  <c r="BA372" i="53"/>
  <c r="AZ372" i="53"/>
  <c r="AY372" i="53"/>
  <c r="AX372" i="53"/>
  <c r="AW372" i="53"/>
  <c r="AV372" i="53"/>
  <c r="AU372" i="53"/>
  <c r="AT372" i="53"/>
  <c r="AS372" i="53"/>
  <c r="AR372" i="53"/>
  <c r="AQ372" i="53"/>
  <c r="AP372" i="53"/>
  <c r="AO372" i="53"/>
  <c r="AN372" i="53"/>
  <c r="AM372" i="53"/>
  <c r="AL372" i="53"/>
  <c r="AK372" i="53"/>
  <c r="AJ372" i="53"/>
  <c r="AI372" i="53"/>
  <c r="AH372" i="53"/>
  <c r="AG372" i="53"/>
  <c r="AF372" i="53"/>
  <c r="AE372" i="53"/>
  <c r="AD372" i="53"/>
  <c r="BA371" i="53"/>
  <c r="AZ371" i="53"/>
  <c r="AY371" i="53"/>
  <c r="AX371" i="53"/>
  <c r="AW371" i="53"/>
  <c r="AV371" i="53"/>
  <c r="AU371" i="53"/>
  <c r="AT371" i="53"/>
  <c r="AS371" i="53"/>
  <c r="AR371" i="53"/>
  <c r="AQ371" i="53"/>
  <c r="AP371" i="53"/>
  <c r="AO371" i="53"/>
  <c r="AN371" i="53"/>
  <c r="AM371" i="53"/>
  <c r="AL371" i="53"/>
  <c r="AK371" i="53"/>
  <c r="AJ371" i="53"/>
  <c r="AI371" i="53"/>
  <c r="AH371" i="53"/>
  <c r="AG371" i="53"/>
  <c r="AF371" i="53"/>
  <c r="AE371" i="53"/>
  <c r="AD371" i="53"/>
  <c r="BA370" i="53"/>
  <c r="AZ370" i="53"/>
  <c r="AY370" i="53"/>
  <c r="AX370" i="53"/>
  <c r="AW370" i="53"/>
  <c r="AV370" i="53"/>
  <c r="AU370" i="53"/>
  <c r="AT370" i="53"/>
  <c r="AS370" i="53"/>
  <c r="AR370" i="53"/>
  <c r="AQ370" i="53"/>
  <c r="AP370" i="53"/>
  <c r="AO370" i="53"/>
  <c r="AN370" i="53"/>
  <c r="AM370" i="53"/>
  <c r="AL370" i="53"/>
  <c r="AK370" i="53"/>
  <c r="AJ370" i="53"/>
  <c r="AI370" i="53"/>
  <c r="AH370" i="53"/>
  <c r="AG370" i="53"/>
  <c r="AF370" i="53"/>
  <c r="AE370" i="53"/>
  <c r="AD370" i="53"/>
  <c r="BA369" i="53"/>
  <c r="AZ369" i="53"/>
  <c r="AY369" i="53"/>
  <c r="AX369" i="53"/>
  <c r="AW369" i="53"/>
  <c r="AV369" i="53"/>
  <c r="AU369" i="53"/>
  <c r="AT369" i="53"/>
  <c r="AS369" i="53"/>
  <c r="AR369" i="53"/>
  <c r="AQ369" i="53"/>
  <c r="AP369" i="53"/>
  <c r="AO369" i="53"/>
  <c r="AN369" i="53"/>
  <c r="AM369" i="53"/>
  <c r="AL369" i="53"/>
  <c r="AK369" i="53"/>
  <c r="AJ369" i="53"/>
  <c r="AI369" i="53"/>
  <c r="AH369" i="53"/>
  <c r="AG369" i="53"/>
  <c r="AF369" i="53"/>
  <c r="AE369" i="53"/>
  <c r="AD369" i="53"/>
  <c r="BA368" i="53"/>
  <c r="AZ368" i="53"/>
  <c r="AY368" i="53"/>
  <c r="AX368" i="53"/>
  <c r="AW368" i="53"/>
  <c r="AV368" i="53"/>
  <c r="AU368" i="53"/>
  <c r="AT368" i="53"/>
  <c r="AS368" i="53"/>
  <c r="AR368" i="53"/>
  <c r="AQ368" i="53"/>
  <c r="AP368" i="53"/>
  <c r="AO368" i="53"/>
  <c r="AN368" i="53"/>
  <c r="AM368" i="53"/>
  <c r="AL368" i="53"/>
  <c r="AK368" i="53"/>
  <c r="AJ368" i="53"/>
  <c r="AI368" i="53"/>
  <c r="AH368" i="53"/>
  <c r="AG368" i="53"/>
  <c r="AF368" i="53"/>
  <c r="AE368" i="53"/>
  <c r="AD368" i="53"/>
  <c r="BA367" i="53"/>
  <c r="AZ367" i="53"/>
  <c r="AY367" i="53"/>
  <c r="AX367" i="53"/>
  <c r="AW367" i="53"/>
  <c r="AV367" i="53"/>
  <c r="AU367" i="53"/>
  <c r="AT367" i="53"/>
  <c r="AS367" i="53"/>
  <c r="AR367" i="53"/>
  <c r="AQ367" i="53"/>
  <c r="AP367" i="53"/>
  <c r="AO367" i="53"/>
  <c r="AN367" i="53"/>
  <c r="AM367" i="53"/>
  <c r="AL367" i="53"/>
  <c r="AK367" i="53"/>
  <c r="AJ367" i="53"/>
  <c r="AI367" i="53"/>
  <c r="AH367" i="53"/>
  <c r="AG367" i="53"/>
  <c r="AF367" i="53"/>
  <c r="AE367" i="53"/>
  <c r="AD367" i="53"/>
  <c r="BA366" i="53"/>
  <c r="AZ366" i="53"/>
  <c r="AY366" i="53"/>
  <c r="AX366" i="53"/>
  <c r="AW366" i="53"/>
  <c r="AV366" i="53"/>
  <c r="AU366" i="53"/>
  <c r="AT366" i="53"/>
  <c r="AS366" i="53"/>
  <c r="AR366" i="53"/>
  <c r="AQ366" i="53"/>
  <c r="AP366" i="53"/>
  <c r="AO366" i="53"/>
  <c r="AN366" i="53"/>
  <c r="AM366" i="53"/>
  <c r="AL366" i="53"/>
  <c r="AK366" i="53"/>
  <c r="AJ366" i="53"/>
  <c r="AI366" i="53"/>
  <c r="AH366" i="53"/>
  <c r="AG366" i="53"/>
  <c r="AF366" i="53"/>
  <c r="AE366" i="53"/>
  <c r="AD366" i="53"/>
  <c r="BA365" i="53"/>
  <c r="AZ365" i="53"/>
  <c r="AY365" i="53"/>
  <c r="AX365" i="53"/>
  <c r="AW365" i="53"/>
  <c r="AV365" i="53"/>
  <c r="AU365" i="53"/>
  <c r="AT365" i="53"/>
  <c r="AS365" i="53"/>
  <c r="AR365" i="53"/>
  <c r="AQ365" i="53"/>
  <c r="AP365" i="53"/>
  <c r="AO365" i="53"/>
  <c r="AN365" i="53"/>
  <c r="AM365" i="53"/>
  <c r="AL365" i="53"/>
  <c r="AK365" i="53"/>
  <c r="AJ365" i="53"/>
  <c r="AI365" i="53"/>
  <c r="AH365" i="53"/>
  <c r="AG365" i="53"/>
  <c r="AF365" i="53"/>
  <c r="AE365" i="53"/>
  <c r="AD365" i="53"/>
  <c r="BA364" i="53"/>
  <c r="AZ364" i="53"/>
  <c r="AY364" i="53"/>
  <c r="AX364" i="53"/>
  <c r="AW364" i="53"/>
  <c r="AV364" i="53"/>
  <c r="AU364" i="53"/>
  <c r="AT364" i="53"/>
  <c r="AS364" i="53"/>
  <c r="AR364" i="53"/>
  <c r="AQ364" i="53"/>
  <c r="AP364" i="53"/>
  <c r="AO364" i="53"/>
  <c r="AN364" i="53"/>
  <c r="AM364" i="53"/>
  <c r="AL364" i="53"/>
  <c r="AK364" i="53"/>
  <c r="AJ364" i="53"/>
  <c r="AI364" i="53"/>
  <c r="AH364" i="53"/>
  <c r="AG364" i="53"/>
  <c r="AF364" i="53"/>
  <c r="AE364" i="53"/>
  <c r="AD364" i="53"/>
  <c r="BA363" i="53"/>
  <c r="AZ363" i="53"/>
  <c r="AY363" i="53"/>
  <c r="AX363" i="53"/>
  <c r="AW363" i="53"/>
  <c r="AV363" i="53"/>
  <c r="AU363" i="53"/>
  <c r="AT363" i="53"/>
  <c r="AS363" i="53"/>
  <c r="AR363" i="53"/>
  <c r="AQ363" i="53"/>
  <c r="AP363" i="53"/>
  <c r="AO363" i="53"/>
  <c r="AN363" i="53"/>
  <c r="AM363" i="53"/>
  <c r="AL363" i="53"/>
  <c r="AK363" i="53"/>
  <c r="AJ363" i="53"/>
  <c r="AI363" i="53"/>
  <c r="AH363" i="53"/>
  <c r="AG363" i="53"/>
  <c r="AF363" i="53"/>
  <c r="AE363" i="53"/>
  <c r="AD363" i="53"/>
  <c r="BA362" i="53"/>
  <c r="AZ362" i="53"/>
  <c r="AY362" i="53"/>
  <c r="AX362" i="53"/>
  <c r="AW362" i="53"/>
  <c r="AV362" i="53"/>
  <c r="AU362" i="53"/>
  <c r="AT362" i="53"/>
  <c r="AS362" i="53"/>
  <c r="AR362" i="53"/>
  <c r="AQ362" i="53"/>
  <c r="AP362" i="53"/>
  <c r="AO362" i="53"/>
  <c r="AN362" i="53"/>
  <c r="AM362" i="53"/>
  <c r="AL362" i="53"/>
  <c r="AK362" i="53"/>
  <c r="AJ362" i="53"/>
  <c r="AI362" i="53"/>
  <c r="AH362" i="53"/>
  <c r="AG362" i="53"/>
  <c r="AF362" i="53"/>
  <c r="AE362" i="53"/>
  <c r="AD362" i="53"/>
  <c r="BA361" i="53"/>
  <c r="AZ361" i="53"/>
  <c r="AY361" i="53"/>
  <c r="AX361" i="53"/>
  <c r="AW361" i="53"/>
  <c r="AV361" i="53"/>
  <c r="AU361" i="53"/>
  <c r="AT361" i="53"/>
  <c r="AS361" i="53"/>
  <c r="AR361" i="53"/>
  <c r="AQ361" i="53"/>
  <c r="AP361" i="53"/>
  <c r="AO361" i="53"/>
  <c r="AN361" i="53"/>
  <c r="AM361" i="53"/>
  <c r="AL361" i="53"/>
  <c r="AK361" i="53"/>
  <c r="AJ361" i="53"/>
  <c r="AI361" i="53"/>
  <c r="AH361" i="53"/>
  <c r="AG361" i="53"/>
  <c r="AF361" i="53"/>
  <c r="AE361" i="53"/>
  <c r="AD361" i="53"/>
  <c r="BA360" i="53"/>
  <c r="AZ360" i="53"/>
  <c r="AY360" i="53"/>
  <c r="AX360" i="53"/>
  <c r="AW360" i="53"/>
  <c r="AV360" i="53"/>
  <c r="AU360" i="53"/>
  <c r="AT360" i="53"/>
  <c r="AS360" i="53"/>
  <c r="AR360" i="53"/>
  <c r="AQ360" i="53"/>
  <c r="AP360" i="53"/>
  <c r="AO360" i="53"/>
  <c r="AN360" i="53"/>
  <c r="AM360" i="53"/>
  <c r="AL360" i="53"/>
  <c r="AK360" i="53"/>
  <c r="AJ360" i="53"/>
  <c r="AI360" i="53"/>
  <c r="AH360" i="53"/>
  <c r="AG360" i="53"/>
  <c r="AF360" i="53"/>
  <c r="AE360" i="53"/>
  <c r="AD360" i="53"/>
  <c r="BA359" i="53"/>
  <c r="AZ359" i="53"/>
  <c r="AY359" i="53"/>
  <c r="AX359" i="53"/>
  <c r="AW359" i="53"/>
  <c r="AV359" i="53"/>
  <c r="AU359" i="53"/>
  <c r="AT359" i="53"/>
  <c r="AS359" i="53"/>
  <c r="AR359" i="53"/>
  <c r="AQ359" i="53"/>
  <c r="AP359" i="53"/>
  <c r="AO359" i="53"/>
  <c r="AN359" i="53"/>
  <c r="AM359" i="53"/>
  <c r="AL359" i="53"/>
  <c r="AK359" i="53"/>
  <c r="AJ359" i="53"/>
  <c r="AI359" i="53"/>
  <c r="AH359" i="53"/>
  <c r="AG359" i="53"/>
  <c r="AF359" i="53"/>
  <c r="AE359" i="53"/>
  <c r="AD359" i="53"/>
  <c r="BA358" i="53"/>
  <c r="AZ358" i="53"/>
  <c r="AY358" i="53"/>
  <c r="AX358" i="53"/>
  <c r="AW358" i="53"/>
  <c r="AV358" i="53"/>
  <c r="AU358" i="53"/>
  <c r="AT358" i="53"/>
  <c r="AS358" i="53"/>
  <c r="AR358" i="53"/>
  <c r="AQ358" i="53"/>
  <c r="AP358" i="53"/>
  <c r="AO358" i="53"/>
  <c r="AN358" i="53"/>
  <c r="AM358" i="53"/>
  <c r="AL358" i="53"/>
  <c r="AK358" i="53"/>
  <c r="AJ358" i="53"/>
  <c r="AI358" i="53"/>
  <c r="AH358" i="53"/>
  <c r="AG358" i="53"/>
  <c r="AF358" i="53"/>
  <c r="AE358" i="53"/>
  <c r="AD358" i="53"/>
  <c r="BA357" i="53"/>
  <c r="AZ357" i="53"/>
  <c r="AY357" i="53"/>
  <c r="AX357" i="53"/>
  <c r="AW357" i="53"/>
  <c r="AV357" i="53"/>
  <c r="AU357" i="53"/>
  <c r="AT357" i="53"/>
  <c r="AS357" i="53"/>
  <c r="AR357" i="53"/>
  <c r="AQ357" i="53"/>
  <c r="AP357" i="53"/>
  <c r="AO357" i="53"/>
  <c r="AN357" i="53"/>
  <c r="AM357" i="53"/>
  <c r="AL357" i="53"/>
  <c r="AK357" i="53"/>
  <c r="AJ357" i="53"/>
  <c r="AI357" i="53"/>
  <c r="AH357" i="53"/>
  <c r="AG357" i="53"/>
  <c r="AF357" i="53"/>
  <c r="AE357" i="53"/>
  <c r="AD357" i="53"/>
  <c r="BA356" i="53"/>
  <c r="AZ356" i="53"/>
  <c r="AY356" i="53"/>
  <c r="AX356" i="53"/>
  <c r="AW356" i="53"/>
  <c r="AV356" i="53"/>
  <c r="AU356" i="53"/>
  <c r="AT356" i="53"/>
  <c r="AS356" i="53"/>
  <c r="AR356" i="53"/>
  <c r="AQ356" i="53"/>
  <c r="AP356" i="53"/>
  <c r="AO356" i="53"/>
  <c r="AN356" i="53"/>
  <c r="AM356" i="53"/>
  <c r="AL356" i="53"/>
  <c r="AK356" i="53"/>
  <c r="AJ356" i="53"/>
  <c r="AI356" i="53"/>
  <c r="AH356" i="53"/>
  <c r="AG356" i="53"/>
  <c r="AF356" i="53"/>
  <c r="AE356" i="53"/>
  <c r="AD356" i="53"/>
  <c r="BA355" i="53"/>
  <c r="AZ355" i="53"/>
  <c r="AY355" i="53"/>
  <c r="AX355" i="53"/>
  <c r="AW355" i="53"/>
  <c r="AV355" i="53"/>
  <c r="AU355" i="53"/>
  <c r="AT355" i="53"/>
  <c r="AS355" i="53"/>
  <c r="AR355" i="53"/>
  <c r="AQ355" i="53"/>
  <c r="AP355" i="53"/>
  <c r="AO355" i="53"/>
  <c r="AN355" i="53"/>
  <c r="AM355" i="53"/>
  <c r="AL355" i="53"/>
  <c r="AK355" i="53"/>
  <c r="AJ355" i="53"/>
  <c r="AI355" i="53"/>
  <c r="AH355" i="53"/>
  <c r="AG355" i="53"/>
  <c r="AF355" i="53"/>
  <c r="AE355" i="53"/>
  <c r="AD355" i="53"/>
  <c r="BA354" i="53"/>
  <c r="AZ354" i="53"/>
  <c r="AY354" i="53"/>
  <c r="AX354" i="53"/>
  <c r="AW354" i="53"/>
  <c r="AV354" i="53"/>
  <c r="AU354" i="53"/>
  <c r="AT354" i="53"/>
  <c r="AS354" i="53"/>
  <c r="AR354" i="53"/>
  <c r="AQ354" i="53"/>
  <c r="AP354" i="53"/>
  <c r="AO354" i="53"/>
  <c r="AN354" i="53"/>
  <c r="AM354" i="53"/>
  <c r="AL354" i="53"/>
  <c r="AK354" i="53"/>
  <c r="AJ354" i="53"/>
  <c r="AI354" i="53"/>
  <c r="AH354" i="53"/>
  <c r="AG354" i="53"/>
  <c r="AF354" i="53"/>
  <c r="AE354" i="53"/>
  <c r="AD354" i="53"/>
  <c r="BA353" i="53"/>
  <c r="AZ353" i="53"/>
  <c r="AY353" i="53"/>
  <c r="AX353" i="53"/>
  <c r="AW353" i="53"/>
  <c r="AV353" i="53"/>
  <c r="AU353" i="53"/>
  <c r="AT353" i="53"/>
  <c r="AS353" i="53"/>
  <c r="AR353" i="53"/>
  <c r="AQ353" i="53"/>
  <c r="AP353" i="53"/>
  <c r="AO353" i="53"/>
  <c r="AN353" i="53"/>
  <c r="AM353" i="53"/>
  <c r="AL353" i="53"/>
  <c r="AK353" i="53"/>
  <c r="AJ353" i="53"/>
  <c r="AI353" i="53"/>
  <c r="AH353" i="53"/>
  <c r="AG353" i="53"/>
  <c r="AF353" i="53"/>
  <c r="AE353" i="53"/>
  <c r="AD353" i="53"/>
  <c r="BA352" i="53"/>
  <c r="AZ352" i="53"/>
  <c r="AY352" i="53"/>
  <c r="AX352" i="53"/>
  <c r="AW352" i="53"/>
  <c r="AV352" i="53"/>
  <c r="AU352" i="53"/>
  <c r="AT352" i="53"/>
  <c r="AS352" i="53"/>
  <c r="AR352" i="53"/>
  <c r="AQ352" i="53"/>
  <c r="AP352" i="53"/>
  <c r="AO352" i="53"/>
  <c r="AN352" i="53"/>
  <c r="AM352" i="53"/>
  <c r="AL352" i="53"/>
  <c r="AK352" i="53"/>
  <c r="AJ352" i="53"/>
  <c r="AI352" i="53"/>
  <c r="AH352" i="53"/>
  <c r="AG352" i="53"/>
  <c r="AF352" i="53"/>
  <c r="AE352" i="53"/>
  <c r="AD352" i="53"/>
  <c r="BA351" i="53"/>
  <c r="AZ351" i="53"/>
  <c r="AY351" i="53"/>
  <c r="AX351" i="53"/>
  <c r="AW351" i="53"/>
  <c r="AV351" i="53"/>
  <c r="AU351" i="53"/>
  <c r="AT351" i="53"/>
  <c r="AS351" i="53"/>
  <c r="AR351" i="53"/>
  <c r="AQ351" i="53"/>
  <c r="AP351" i="53"/>
  <c r="AO351" i="53"/>
  <c r="AN351" i="53"/>
  <c r="AM351" i="53"/>
  <c r="AL351" i="53"/>
  <c r="AK351" i="53"/>
  <c r="AJ351" i="53"/>
  <c r="AI351" i="53"/>
  <c r="AH351" i="53"/>
  <c r="AG351" i="53"/>
  <c r="AF351" i="53"/>
  <c r="AE351" i="53"/>
  <c r="AD351" i="53"/>
  <c r="BA350" i="53"/>
  <c r="AZ350" i="53"/>
  <c r="AY350" i="53"/>
  <c r="AX350" i="53"/>
  <c r="AW350" i="53"/>
  <c r="AV350" i="53"/>
  <c r="AU350" i="53"/>
  <c r="AT350" i="53"/>
  <c r="AS350" i="53"/>
  <c r="AR350" i="53"/>
  <c r="AQ350" i="53"/>
  <c r="AP350" i="53"/>
  <c r="AO350" i="53"/>
  <c r="AN350" i="53"/>
  <c r="AM350" i="53"/>
  <c r="AL350" i="53"/>
  <c r="AK350" i="53"/>
  <c r="AJ350" i="53"/>
  <c r="AI350" i="53"/>
  <c r="AH350" i="53"/>
  <c r="AG350" i="53"/>
  <c r="AF350" i="53"/>
  <c r="AE350" i="53"/>
  <c r="AD350" i="53"/>
  <c r="BA349" i="53"/>
  <c r="AZ349" i="53"/>
  <c r="AY349" i="53"/>
  <c r="AX349" i="53"/>
  <c r="AW349" i="53"/>
  <c r="AV349" i="53"/>
  <c r="AU349" i="53"/>
  <c r="AT349" i="53"/>
  <c r="AS349" i="53"/>
  <c r="AR349" i="53"/>
  <c r="AQ349" i="53"/>
  <c r="AP349" i="53"/>
  <c r="AO349" i="53"/>
  <c r="AN349" i="53"/>
  <c r="AM349" i="53"/>
  <c r="AL349" i="53"/>
  <c r="AK349" i="53"/>
  <c r="AJ349" i="53"/>
  <c r="AI349" i="53"/>
  <c r="AH349" i="53"/>
  <c r="AG349" i="53"/>
  <c r="AF349" i="53"/>
  <c r="AE349" i="53"/>
  <c r="AD349" i="53"/>
  <c r="BA348" i="53"/>
  <c r="AZ348" i="53"/>
  <c r="AY348" i="53"/>
  <c r="AX348" i="53"/>
  <c r="AW348" i="53"/>
  <c r="AV348" i="53"/>
  <c r="AU348" i="53"/>
  <c r="AT348" i="53"/>
  <c r="AS348" i="53"/>
  <c r="AR348" i="53"/>
  <c r="AQ348" i="53"/>
  <c r="AP348" i="53"/>
  <c r="AO348" i="53"/>
  <c r="AN348" i="53"/>
  <c r="AM348" i="53"/>
  <c r="AL348" i="53"/>
  <c r="AK348" i="53"/>
  <c r="AJ348" i="53"/>
  <c r="AI348" i="53"/>
  <c r="AH348" i="53"/>
  <c r="AG348" i="53"/>
  <c r="AF348" i="53"/>
  <c r="AE348" i="53"/>
  <c r="AD348" i="53"/>
  <c r="BA347" i="53"/>
  <c r="AZ347" i="53"/>
  <c r="AY347" i="53"/>
  <c r="AX347" i="53"/>
  <c r="AW347" i="53"/>
  <c r="AV347" i="53"/>
  <c r="AU347" i="53"/>
  <c r="AT347" i="53"/>
  <c r="AS347" i="53"/>
  <c r="AR347" i="53"/>
  <c r="AQ347" i="53"/>
  <c r="AP347" i="53"/>
  <c r="AO347" i="53"/>
  <c r="AN347" i="53"/>
  <c r="AM347" i="53"/>
  <c r="AL347" i="53"/>
  <c r="AK347" i="53"/>
  <c r="AJ347" i="53"/>
  <c r="AI347" i="53"/>
  <c r="AH347" i="53"/>
  <c r="AG347" i="53"/>
  <c r="AF347" i="53"/>
  <c r="AE347" i="53"/>
  <c r="AD347" i="53"/>
  <c r="AB347" i="53"/>
  <c r="BA346" i="53"/>
  <c r="AZ346" i="53"/>
  <c r="AY346" i="53"/>
  <c r="AX346" i="53"/>
  <c r="AW346" i="53"/>
  <c r="AV346" i="53"/>
  <c r="AU346" i="53"/>
  <c r="AT346" i="53"/>
  <c r="AS346" i="53"/>
  <c r="AR346" i="53"/>
  <c r="AQ346" i="53"/>
  <c r="AP346" i="53"/>
  <c r="AO346" i="53"/>
  <c r="AN346" i="53"/>
  <c r="AM346" i="53"/>
  <c r="AL346" i="53"/>
  <c r="AK346" i="53"/>
  <c r="AJ346" i="53"/>
  <c r="AI346" i="53"/>
  <c r="AH346" i="53"/>
  <c r="AG346" i="53"/>
  <c r="AF346" i="53"/>
  <c r="AE346" i="53"/>
  <c r="AD346" i="53"/>
  <c r="BA345" i="53"/>
  <c r="AZ345" i="53"/>
  <c r="AY345" i="53"/>
  <c r="AX345" i="53"/>
  <c r="AW345" i="53"/>
  <c r="AV345" i="53"/>
  <c r="AU345" i="53"/>
  <c r="AT345" i="53"/>
  <c r="AS345" i="53"/>
  <c r="AR345" i="53"/>
  <c r="AQ345" i="53"/>
  <c r="AP345" i="53"/>
  <c r="AO345" i="53"/>
  <c r="AN345" i="53"/>
  <c r="AM345" i="53"/>
  <c r="AL345" i="53"/>
  <c r="AK345" i="53"/>
  <c r="AJ345" i="53"/>
  <c r="AI345" i="53"/>
  <c r="AH345" i="53"/>
  <c r="AG345" i="53"/>
  <c r="AF345" i="53"/>
  <c r="AE345" i="53"/>
  <c r="AD345" i="53"/>
  <c r="BA344" i="53"/>
  <c r="AZ344" i="53"/>
  <c r="AY344" i="53"/>
  <c r="AX344" i="53"/>
  <c r="AW344" i="53"/>
  <c r="AV344" i="53"/>
  <c r="AU344" i="53"/>
  <c r="AT344" i="53"/>
  <c r="AS344" i="53"/>
  <c r="AR344" i="53"/>
  <c r="AQ344" i="53"/>
  <c r="AP344" i="53"/>
  <c r="AO344" i="53"/>
  <c r="AN344" i="53"/>
  <c r="AM344" i="53"/>
  <c r="AL344" i="53"/>
  <c r="AK344" i="53"/>
  <c r="AJ344" i="53"/>
  <c r="AI344" i="53"/>
  <c r="AH344" i="53"/>
  <c r="AG344" i="53"/>
  <c r="AF344" i="53"/>
  <c r="AE344" i="53"/>
  <c r="AD344" i="53"/>
  <c r="BA343" i="53"/>
  <c r="AZ343" i="53"/>
  <c r="AY343" i="53"/>
  <c r="AX343" i="53"/>
  <c r="AW343" i="53"/>
  <c r="AV343" i="53"/>
  <c r="AU343" i="53"/>
  <c r="AT343" i="53"/>
  <c r="AS343" i="53"/>
  <c r="AR343" i="53"/>
  <c r="AQ343" i="53"/>
  <c r="AP343" i="53"/>
  <c r="AO343" i="53"/>
  <c r="AN343" i="53"/>
  <c r="AM343" i="53"/>
  <c r="AL343" i="53"/>
  <c r="AK343" i="53"/>
  <c r="AJ343" i="53"/>
  <c r="AI343" i="53"/>
  <c r="AH343" i="53"/>
  <c r="AG343" i="53"/>
  <c r="AF343" i="53"/>
  <c r="AE343" i="53"/>
  <c r="AD343" i="53"/>
  <c r="BA342" i="53"/>
  <c r="AZ342" i="53"/>
  <c r="AY342" i="53"/>
  <c r="AX342" i="53"/>
  <c r="AW342" i="53"/>
  <c r="AV342" i="53"/>
  <c r="AU342" i="53"/>
  <c r="AT342" i="53"/>
  <c r="AS342" i="53"/>
  <c r="AR342" i="53"/>
  <c r="AQ342" i="53"/>
  <c r="AP342" i="53"/>
  <c r="AO342" i="53"/>
  <c r="AN342" i="53"/>
  <c r="AM342" i="53"/>
  <c r="AL342" i="53"/>
  <c r="AK342" i="53"/>
  <c r="AJ342" i="53"/>
  <c r="AI342" i="53"/>
  <c r="AH342" i="53"/>
  <c r="AG342" i="53"/>
  <c r="AF342" i="53"/>
  <c r="AE342" i="53"/>
  <c r="AD342" i="53"/>
  <c r="BA341" i="53"/>
  <c r="AZ341" i="53"/>
  <c r="AY341" i="53"/>
  <c r="AX341" i="53"/>
  <c r="AW341" i="53"/>
  <c r="AV341" i="53"/>
  <c r="AU341" i="53"/>
  <c r="AT341" i="53"/>
  <c r="AS341" i="53"/>
  <c r="AR341" i="53"/>
  <c r="AQ341" i="53"/>
  <c r="AP341" i="53"/>
  <c r="AO341" i="53"/>
  <c r="AN341" i="53"/>
  <c r="AM341" i="53"/>
  <c r="AL341" i="53"/>
  <c r="AK341" i="53"/>
  <c r="AJ341" i="53"/>
  <c r="AI341" i="53"/>
  <c r="AH341" i="53"/>
  <c r="AG341" i="53"/>
  <c r="AF341" i="53"/>
  <c r="AE341" i="53"/>
  <c r="AD341" i="53"/>
  <c r="BA340" i="53"/>
  <c r="AZ340" i="53"/>
  <c r="AY340" i="53"/>
  <c r="AX340" i="53"/>
  <c r="AW340" i="53"/>
  <c r="AV340" i="53"/>
  <c r="AU340" i="53"/>
  <c r="AT340" i="53"/>
  <c r="AS340" i="53"/>
  <c r="AR340" i="53"/>
  <c r="AQ340" i="53"/>
  <c r="AP340" i="53"/>
  <c r="AO340" i="53"/>
  <c r="AN340" i="53"/>
  <c r="AM340" i="53"/>
  <c r="AL340" i="53"/>
  <c r="AK340" i="53"/>
  <c r="AJ340" i="53"/>
  <c r="AI340" i="53"/>
  <c r="AH340" i="53"/>
  <c r="AG340" i="53"/>
  <c r="AF340" i="53"/>
  <c r="AE340" i="53"/>
  <c r="AD340" i="53"/>
  <c r="BA339" i="53"/>
  <c r="AZ339" i="53"/>
  <c r="AY339" i="53"/>
  <c r="AX339" i="53"/>
  <c r="AW339" i="53"/>
  <c r="AV339" i="53"/>
  <c r="AU339" i="53"/>
  <c r="AT339" i="53"/>
  <c r="AS339" i="53"/>
  <c r="AR339" i="53"/>
  <c r="AQ339" i="53"/>
  <c r="AP339" i="53"/>
  <c r="AO339" i="53"/>
  <c r="AN339" i="53"/>
  <c r="AM339" i="53"/>
  <c r="AL339" i="53"/>
  <c r="AK339" i="53"/>
  <c r="AJ339" i="53"/>
  <c r="AI339" i="53"/>
  <c r="AH339" i="53"/>
  <c r="AG339" i="53"/>
  <c r="AF339" i="53"/>
  <c r="AE339" i="53"/>
  <c r="AD339" i="53"/>
  <c r="BA338" i="53"/>
  <c r="AZ338" i="53"/>
  <c r="AY338" i="53"/>
  <c r="AX338" i="53"/>
  <c r="AW338" i="53"/>
  <c r="AV338" i="53"/>
  <c r="AU338" i="53"/>
  <c r="AT338" i="53"/>
  <c r="AS338" i="53"/>
  <c r="AR338" i="53"/>
  <c r="AQ338" i="53"/>
  <c r="AP338" i="53"/>
  <c r="AO338" i="53"/>
  <c r="AN338" i="53"/>
  <c r="AM338" i="53"/>
  <c r="AL338" i="53"/>
  <c r="AK338" i="53"/>
  <c r="AJ338" i="53"/>
  <c r="AI338" i="53"/>
  <c r="AH338" i="53"/>
  <c r="AG338" i="53"/>
  <c r="AF338" i="53"/>
  <c r="AE338" i="53"/>
  <c r="AD338" i="53"/>
  <c r="BA337" i="53"/>
  <c r="AZ337" i="53"/>
  <c r="AY337" i="53"/>
  <c r="AX337" i="53"/>
  <c r="AW337" i="53"/>
  <c r="AV337" i="53"/>
  <c r="AU337" i="53"/>
  <c r="AT337" i="53"/>
  <c r="AS337" i="53"/>
  <c r="AR337" i="53"/>
  <c r="AQ337" i="53"/>
  <c r="AP337" i="53"/>
  <c r="AO337" i="53"/>
  <c r="AN337" i="53"/>
  <c r="AM337" i="53"/>
  <c r="AL337" i="53"/>
  <c r="AK337" i="53"/>
  <c r="AJ337" i="53"/>
  <c r="AI337" i="53"/>
  <c r="AH337" i="53"/>
  <c r="AG337" i="53"/>
  <c r="AF337" i="53"/>
  <c r="AE337" i="53"/>
  <c r="AD337" i="53"/>
  <c r="BA336" i="53"/>
  <c r="AZ336" i="53"/>
  <c r="AY336" i="53"/>
  <c r="AX336" i="53"/>
  <c r="AW336" i="53"/>
  <c r="AV336" i="53"/>
  <c r="AU336" i="53"/>
  <c r="AT336" i="53"/>
  <c r="AS336" i="53"/>
  <c r="AR336" i="53"/>
  <c r="AQ336" i="53"/>
  <c r="AP336" i="53"/>
  <c r="AO336" i="53"/>
  <c r="AN336" i="53"/>
  <c r="AM336" i="53"/>
  <c r="AL336" i="53"/>
  <c r="AK336" i="53"/>
  <c r="AJ336" i="53"/>
  <c r="AI336" i="53"/>
  <c r="AH336" i="53"/>
  <c r="AG336" i="53"/>
  <c r="AF336" i="53"/>
  <c r="AE336" i="53"/>
  <c r="AD336" i="53"/>
  <c r="BA335" i="53"/>
  <c r="AZ335" i="53"/>
  <c r="AY335" i="53"/>
  <c r="AX335" i="53"/>
  <c r="AW335" i="53"/>
  <c r="AV335" i="53"/>
  <c r="AU335" i="53"/>
  <c r="AT335" i="53"/>
  <c r="AS335" i="53"/>
  <c r="AR335" i="53"/>
  <c r="AQ335" i="53"/>
  <c r="AP335" i="53"/>
  <c r="AO335" i="53"/>
  <c r="AN335" i="53"/>
  <c r="AM335" i="53"/>
  <c r="AL335" i="53"/>
  <c r="AK335" i="53"/>
  <c r="AJ335" i="53"/>
  <c r="AI335" i="53"/>
  <c r="AH335" i="53"/>
  <c r="AG335" i="53"/>
  <c r="AF335" i="53"/>
  <c r="AE335" i="53"/>
  <c r="AD335" i="53"/>
  <c r="BA334" i="53"/>
  <c r="AZ334" i="53"/>
  <c r="AY334" i="53"/>
  <c r="AX334" i="53"/>
  <c r="AW334" i="53"/>
  <c r="AV334" i="53"/>
  <c r="AU334" i="53"/>
  <c r="AT334" i="53"/>
  <c r="AS334" i="53"/>
  <c r="AR334" i="53"/>
  <c r="AQ334" i="53"/>
  <c r="AP334" i="53"/>
  <c r="AO334" i="53"/>
  <c r="AN334" i="53"/>
  <c r="AM334" i="53"/>
  <c r="AL334" i="53"/>
  <c r="AK334" i="53"/>
  <c r="AJ334" i="53"/>
  <c r="AI334" i="53"/>
  <c r="AH334" i="53"/>
  <c r="AG334" i="53"/>
  <c r="AF334" i="53"/>
  <c r="AE334" i="53"/>
  <c r="AD334" i="53"/>
  <c r="BA333" i="53"/>
  <c r="AZ333" i="53"/>
  <c r="AY333" i="53"/>
  <c r="AX333" i="53"/>
  <c r="AW333" i="53"/>
  <c r="AV333" i="53"/>
  <c r="AU333" i="53"/>
  <c r="AT333" i="53"/>
  <c r="AS333" i="53"/>
  <c r="AR333" i="53"/>
  <c r="AQ333" i="53"/>
  <c r="AP333" i="53"/>
  <c r="AO333" i="53"/>
  <c r="AN333" i="53"/>
  <c r="AM333" i="53"/>
  <c r="AL333" i="53"/>
  <c r="AK333" i="53"/>
  <c r="AJ333" i="53"/>
  <c r="AI333" i="53"/>
  <c r="AH333" i="53"/>
  <c r="AG333" i="53"/>
  <c r="AF333" i="53"/>
  <c r="AE333" i="53"/>
  <c r="AD333" i="53"/>
  <c r="BA332" i="53"/>
  <c r="AZ332" i="53"/>
  <c r="AY332" i="53"/>
  <c r="AX332" i="53"/>
  <c r="AW332" i="53"/>
  <c r="AV332" i="53"/>
  <c r="AU332" i="53"/>
  <c r="AT332" i="53"/>
  <c r="AS332" i="53"/>
  <c r="AR332" i="53"/>
  <c r="AQ332" i="53"/>
  <c r="AP332" i="53"/>
  <c r="AO332" i="53"/>
  <c r="AN332" i="53"/>
  <c r="AM332" i="53"/>
  <c r="AL332" i="53"/>
  <c r="AK332" i="53"/>
  <c r="AJ332" i="53"/>
  <c r="AI332" i="53"/>
  <c r="AH332" i="53"/>
  <c r="AG332" i="53"/>
  <c r="AF332" i="53"/>
  <c r="AE332" i="53"/>
  <c r="AD332" i="53"/>
  <c r="BA331" i="53"/>
  <c r="AZ331" i="53"/>
  <c r="AY331" i="53"/>
  <c r="AX331" i="53"/>
  <c r="AW331" i="53"/>
  <c r="AV331" i="53"/>
  <c r="AU331" i="53"/>
  <c r="AT331" i="53"/>
  <c r="AS331" i="53"/>
  <c r="AR331" i="53"/>
  <c r="AQ331" i="53"/>
  <c r="AP331" i="53"/>
  <c r="AO331" i="53"/>
  <c r="AN331" i="53"/>
  <c r="AM331" i="53"/>
  <c r="AL331" i="53"/>
  <c r="AK331" i="53"/>
  <c r="AJ331" i="53"/>
  <c r="AI331" i="53"/>
  <c r="AH331" i="53"/>
  <c r="AG331" i="53"/>
  <c r="AF331" i="53"/>
  <c r="AE331" i="53"/>
  <c r="AD331" i="53"/>
  <c r="BA330" i="53"/>
  <c r="AZ330" i="53"/>
  <c r="AY330" i="53"/>
  <c r="AX330" i="53"/>
  <c r="AW330" i="53"/>
  <c r="AV330" i="53"/>
  <c r="AU330" i="53"/>
  <c r="AT330" i="53"/>
  <c r="AS330" i="53"/>
  <c r="AR330" i="53"/>
  <c r="AQ330" i="53"/>
  <c r="AP330" i="53"/>
  <c r="AO330" i="53"/>
  <c r="AN330" i="53"/>
  <c r="AM330" i="53"/>
  <c r="AL330" i="53"/>
  <c r="AK330" i="53"/>
  <c r="AJ330" i="53"/>
  <c r="AI330" i="53"/>
  <c r="AH330" i="53"/>
  <c r="AG330" i="53"/>
  <c r="AF330" i="53"/>
  <c r="AE330" i="53"/>
  <c r="AD330" i="53"/>
  <c r="BA329" i="53"/>
  <c r="AZ329" i="53"/>
  <c r="AY329" i="53"/>
  <c r="AX329" i="53"/>
  <c r="AW329" i="53"/>
  <c r="AV329" i="53"/>
  <c r="AU329" i="53"/>
  <c r="AT329" i="53"/>
  <c r="AS329" i="53"/>
  <c r="AR329" i="53"/>
  <c r="AQ329" i="53"/>
  <c r="AP329" i="53"/>
  <c r="AO329" i="53"/>
  <c r="AN329" i="53"/>
  <c r="AM329" i="53"/>
  <c r="AL329" i="53"/>
  <c r="AK329" i="53"/>
  <c r="AJ329" i="53"/>
  <c r="AI329" i="53"/>
  <c r="AH329" i="53"/>
  <c r="AG329" i="53"/>
  <c r="AF329" i="53"/>
  <c r="AE329" i="53"/>
  <c r="AD329" i="53"/>
  <c r="BA328" i="53"/>
  <c r="AZ328" i="53"/>
  <c r="AY328" i="53"/>
  <c r="AX328" i="53"/>
  <c r="AW328" i="53"/>
  <c r="AV328" i="53"/>
  <c r="AU328" i="53"/>
  <c r="AT328" i="53"/>
  <c r="AS328" i="53"/>
  <c r="AR328" i="53"/>
  <c r="AQ328" i="53"/>
  <c r="AP328" i="53"/>
  <c r="AO328" i="53"/>
  <c r="AN328" i="53"/>
  <c r="AM328" i="53"/>
  <c r="AL328" i="53"/>
  <c r="AK328" i="53"/>
  <c r="AJ328" i="53"/>
  <c r="AI328" i="53"/>
  <c r="AH328" i="53"/>
  <c r="AG328" i="53"/>
  <c r="AF328" i="53"/>
  <c r="AE328" i="53"/>
  <c r="AD328" i="53"/>
  <c r="BA327" i="53"/>
  <c r="AZ327" i="53"/>
  <c r="AY327" i="53"/>
  <c r="AX327" i="53"/>
  <c r="AW327" i="53"/>
  <c r="AV327" i="53"/>
  <c r="AU327" i="53"/>
  <c r="AT327" i="53"/>
  <c r="AS327" i="53"/>
  <c r="AR327" i="53"/>
  <c r="AQ327" i="53"/>
  <c r="AP327" i="53"/>
  <c r="AO327" i="53"/>
  <c r="AN327" i="53"/>
  <c r="AM327" i="53"/>
  <c r="AL327" i="53"/>
  <c r="AK327" i="53"/>
  <c r="AJ327" i="53"/>
  <c r="AI327" i="53"/>
  <c r="AH327" i="53"/>
  <c r="AG327" i="53"/>
  <c r="AF327" i="53"/>
  <c r="AE327" i="53"/>
  <c r="AD327" i="53"/>
  <c r="BA326" i="53"/>
  <c r="AZ326" i="53"/>
  <c r="AY326" i="53"/>
  <c r="AX326" i="53"/>
  <c r="AW326" i="53"/>
  <c r="AV326" i="53"/>
  <c r="AU326" i="53"/>
  <c r="AT326" i="53"/>
  <c r="AS326" i="53"/>
  <c r="AR326" i="53"/>
  <c r="AQ326" i="53"/>
  <c r="AP326" i="53"/>
  <c r="AO326" i="53"/>
  <c r="AN326" i="53"/>
  <c r="AM326" i="53"/>
  <c r="AL326" i="53"/>
  <c r="AK326" i="53"/>
  <c r="AJ326" i="53"/>
  <c r="AI326" i="53"/>
  <c r="AH326" i="53"/>
  <c r="AG326" i="53"/>
  <c r="AF326" i="53"/>
  <c r="AE326" i="53"/>
  <c r="AD326" i="53"/>
  <c r="BA325" i="53"/>
  <c r="AZ325" i="53"/>
  <c r="AY325" i="53"/>
  <c r="AX325" i="53"/>
  <c r="AW325" i="53"/>
  <c r="AV325" i="53"/>
  <c r="AU325" i="53"/>
  <c r="AT325" i="53"/>
  <c r="AS325" i="53"/>
  <c r="AR325" i="53"/>
  <c r="AQ325" i="53"/>
  <c r="AP325" i="53"/>
  <c r="AO325" i="53"/>
  <c r="AN325" i="53"/>
  <c r="AM325" i="53"/>
  <c r="AL325" i="53"/>
  <c r="AK325" i="53"/>
  <c r="AJ325" i="53"/>
  <c r="AI325" i="53"/>
  <c r="AH325" i="53"/>
  <c r="AG325" i="53"/>
  <c r="AF325" i="53"/>
  <c r="AE325" i="53"/>
  <c r="AD325" i="53"/>
  <c r="BA324" i="53"/>
  <c r="AZ324" i="53"/>
  <c r="AY324" i="53"/>
  <c r="AX324" i="53"/>
  <c r="AW324" i="53"/>
  <c r="AV324" i="53"/>
  <c r="AU324" i="53"/>
  <c r="AT324" i="53"/>
  <c r="AS324" i="53"/>
  <c r="AR324" i="53"/>
  <c r="AQ324" i="53"/>
  <c r="AP324" i="53"/>
  <c r="AO324" i="53"/>
  <c r="AN324" i="53"/>
  <c r="AM324" i="53"/>
  <c r="AL324" i="53"/>
  <c r="AK324" i="53"/>
  <c r="AJ324" i="53"/>
  <c r="AI324" i="53"/>
  <c r="AH324" i="53"/>
  <c r="AG324" i="53"/>
  <c r="AF324" i="53"/>
  <c r="AE324" i="53"/>
  <c r="AD324" i="53"/>
  <c r="BA323" i="53"/>
  <c r="AZ323" i="53"/>
  <c r="AY323" i="53"/>
  <c r="AX323" i="53"/>
  <c r="AW323" i="53"/>
  <c r="AV323" i="53"/>
  <c r="AU323" i="53"/>
  <c r="AT323" i="53"/>
  <c r="AS323" i="53"/>
  <c r="AR323" i="53"/>
  <c r="AQ323" i="53"/>
  <c r="AP323" i="53"/>
  <c r="AO323" i="53"/>
  <c r="AN323" i="53"/>
  <c r="AM323" i="53"/>
  <c r="AL323" i="53"/>
  <c r="AK323" i="53"/>
  <c r="AJ323" i="53"/>
  <c r="AI323" i="53"/>
  <c r="AH323" i="53"/>
  <c r="AG323" i="53"/>
  <c r="AF323" i="53"/>
  <c r="AE323" i="53"/>
  <c r="AD323" i="53"/>
  <c r="BA322" i="53"/>
  <c r="AZ322" i="53"/>
  <c r="AY322" i="53"/>
  <c r="AX322" i="53"/>
  <c r="AW322" i="53"/>
  <c r="AV322" i="53"/>
  <c r="AU322" i="53"/>
  <c r="AT322" i="53"/>
  <c r="AS322" i="53"/>
  <c r="AR322" i="53"/>
  <c r="AQ322" i="53"/>
  <c r="AP322" i="53"/>
  <c r="AO322" i="53"/>
  <c r="AN322" i="53"/>
  <c r="AM322" i="53"/>
  <c r="AL322" i="53"/>
  <c r="AK322" i="53"/>
  <c r="AJ322" i="53"/>
  <c r="AI322" i="53"/>
  <c r="AH322" i="53"/>
  <c r="AG322" i="53"/>
  <c r="AF322" i="53"/>
  <c r="AE322" i="53"/>
  <c r="AD322" i="53"/>
  <c r="BA321" i="53"/>
  <c r="AZ321" i="53"/>
  <c r="AY321" i="53"/>
  <c r="AX321" i="53"/>
  <c r="AW321" i="53"/>
  <c r="AV321" i="53"/>
  <c r="AU321" i="53"/>
  <c r="AT321" i="53"/>
  <c r="AS321" i="53"/>
  <c r="AR321" i="53"/>
  <c r="AQ321" i="53"/>
  <c r="AP321" i="53"/>
  <c r="AO321" i="53"/>
  <c r="AN321" i="53"/>
  <c r="AM321" i="53"/>
  <c r="AL321" i="53"/>
  <c r="AK321" i="53"/>
  <c r="AJ321" i="53"/>
  <c r="AI321" i="53"/>
  <c r="AH321" i="53"/>
  <c r="AG321" i="53"/>
  <c r="AF321" i="53"/>
  <c r="AE321" i="53"/>
  <c r="AD321" i="53"/>
  <c r="BA320" i="53"/>
  <c r="AZ320" i="53"/>
  <c r="AY320" i="53"/>
  <c r="AX320" i="53"/>
  <c r="AW320" i="53"/>
  <c r="AV320" i="53"/>
  <c r="AU320" i="53"/>
  <c r="AT320" i="53"/>
  <c r="AS320" i="53"/>
  <c r="AR320" i="53"/>
  <c r="AQ320" i="53"/>
  <c r="AP320" i="53"/>
  <c r="AO320" i="53"/>
  <c r="AN320" i="53"/>
  <c r="AM320" i="53"/>
  <c r="AL320" i="53"/>
  <c r="AK320" i="53"/>
  <c r="AJ320" i="53"/>
  <c r="AI320" i="53"/>
  <c r="AH320" i="53"/>
  <c r="AG320" i="53"/>
  <c r="AF320" i="53"/>
  <c r="AE320" i="53"/>
  <c r="AD320" i="53"/>
  <c r="BA319" i="53"/>
  <c r="AZ319" i="53"/>
  <c r="AY319" i="53"/>
  <c r="AX319" i="53"/>
  <c r="AW319" i="53"/>
  <c r="AV319" i="53"/>
  <c r="AU319" i="53"/>
  <c r="AT319" i="53"/>
  <c r="AS319" i="53"/>
  <c r="AR319" i="53"/>
  <c r="AQ319" i="53"/>
  <c r="AP319" i="53"/>
  <c r="AO319" i="53"/>
  <c r="AN319" i="53"/>
  <c r="AM319" i="53"/>
  <c r="AL319" i="53"/>
  <c r="AK319" i="53"/>
  <c r="AJ319" i="53"/>
  <c r="AI319" i="53"/>
  <c r="AH319" i="53"/>
  <c r="AG319" i="53"/>
  <c r="AF319" i="53"/>
  <c r="AE319" i="53"/>
  <c r="AD319" i="53"/>
  <c r="BA318" i="53"/>
  <c r="AZ318" i="53"/>
  <c r="AY318" i="53"/>
  <c r="AX318" i="53"/>
  <c r="AW318" i="53"/>
  <c r="AV318" i="53"/>
  <c r="AU318" i="53"/>
  <c r="AT318" i="53"/>
  <c r="AS318" i="53"/>
  <c r="AR318" i="53"/>
  <c r="AQ318" i="53"/>
  <c r="AP318" i="53"/>
  <c r="AO318" i="53"/>
  <c r="AN318" i="53"/>
  <c r="AM318" i="53"/>
  <c r="AL318" i="53"/>
  <c r="AK318" i="53"/>
  <c r="AJ318" i="53"/>
  <c r="AI318" i="53"/>
  <c r="AH318" i="53"/>
  <c r="AG318" i="53"/>
  <c r="AF318" i="53"/>
  <c r="AE318" i="53"/>
  <c r="AD318" i="53"/>
  <c r="BA317" i="53"/>
  <c r="AZ317" i="53"/>
  <c r="AY317" i="53"/>
  <c r="AX317" i="53"/>
  <c r="AW317" i="53"/>
  <c r="AV317" i="53"/>
  <c r="AU317" i="53"/>
  <c r="AT317" i="53"/>
  <c r="AS317" i="53"/>
  <c r="AR317" i="53"/>
  <c r="AQ317" i="53"/>
  <c r="AP317" i="53"/>
  <c r="AO317" i="53"/>
  <c r="AN317" i="53"/>
  <c r="AM317" i="53"/>
  <c r="AL317" i="53"/>
  <c r="AK317" i="53"/>
  <c r="AJ317" i="53"/>
  <c r="AI317" i="53"/>
  <c r="AH317" i="53"/>
  <c r="AG317" i="53"/>
  <c r="AF317" i="53"/>
  <c r="AE317" i="53"/>
  <c r="AD317" i="53"/>
  <c r="AB317" i="53"/>
  <c r="BA316" i="53"/>
  <c r="AZ316" i="53"/>
  <c r="AY316" i="53"/>
  <c r="AX316" i="53"/>
  <c r="AW316" i="53"/>
  <c r="AV316" i="53"/>
  <c r="AU316" i="53"/>
  <c r="AT316" i="53"/>
  <c r="AS316" i="53"/>
  <c r="AR316" i="53"/>
  <c r="AQ316" i="53"/>
  <c r="AP316" i="53"/>
  <c r="AO316" i="53"/>
  <c r="AN316" i="53"/>
  <c r="AM316" i="53"/>
  <c r="AL316" i="53"/>
  <c r="AK316" i="53"/>
  <c r="AJ316" i="53"/>
  <c r="AI316" i="53"/>
  <c r="AH316" i="53"/>
  <c r="AG316" i="53"/>
  <c r="AF316" i="53"/>
  <c r="AE316" i="53"/>
  <c r="AD316" i="53"/>
  <c r="BA315" i="53"/>
  <c r="AZ315" i="53"/>
  <c r="AY315" i="53"/>
  <c r="AX315" i="53"/>
  <c r="AW315" i="53"/>
  <c r="AV315" i="53"/>
  <c r="AU315" i="53"/>
  <c r="AT315" i="53"/>
  <c r="AS315" i="53"/>
  <c r="AR315" i="53"/>
  <c r="AQ315" i="53"/>
  <c r="AP315" i="53"/>
  <c r="AO315" i="53"/>
  <c r="AN315" i="53"/>
  <c r="AM315" i="53"/>
  <c r="AL315" i="53"/>
  <c r="AK315" i="53"/>
  <c r="AJ315" i="53"/>
  <c r="AI315" i="53"/>
  <c r="AH315" i="53"/>
  <c r="AG315" i="53"/>
  <c r="AF315" i="53"/>
  <c r="AE315" i="53"/>
  <c r="AD315" i="53"/>
  <c r="BA314" i="53"/>
  <c r="AZ314" i="53"/>
  <c r="AY314" i="53"/>
  <c r="AX314" i="53"/>
  <c r="AW314" i="53"/>
  <c r="AV314" i="53"/>
  <c r="AU314" i="53"/>
  <c r="AT314" i="53"/>
  <c r="AS314" i="53"/>
  <c r="AR314" i="53"/>
  <c r="AQ314" i="53"/>
  <c r="AP314" i="53"/>
  <c r="AO314" i="53"/>
  <c r="AN314" i="53"/>
  <c r="AM314" i="53"/>
  <c r="AL314" i="53"/>
  <c r="AK314" i="53"/>
  <c r="AJ314" i="53"/>
  <c r="AI314" i="53"/>
  <c r="AH314" i="53"/>
  <c r="AG314" i="53"/>
  <c r="AF314" i="53"/>
  <c r="AE314" i="53"/>
  <c r="AD314" i="53"/>
  <c r="BA313" i="53"/>
  <c r="AZ313" i="53"/>
  <c r="AY313" i="53"/>
  <c r="AX313" i="53"/>
  <c r="AW313" i="53"/>
  <c r="AV313" i="53"/>
  <c r="AU313" i="53"/>
  <c r="AT313" i="53"/>
  <c r="AS313" i="53"/>
  <c r="AR313" i="53"/>
  <c r="AQ313" i="53"/>
  <c r="AP313" i="53"/>
  <c r="AO313" i="53"/>
  <c r="AN313" i="53"/>
  <c r="AM313" i="53"/>
  <c r="AL313" i="53"/>
  <c r="AK313" i="53"/>
  <c r="AJ313" i="53"/>
  <c r="AI313" i="53"/>
  <c r="AH313" i="53"/>
  <c r="AG313" i="53"/>
  <c r="AF313" i="53"/>
  <c r="AE313" i="53"/>
  <c r="AD313" i="53"/>
  <c r="BA312" i="53"/>
  <c r="AZ312" i="53"/>
  <c r="AY312" i="53"/>
  <c r="AX312" i="53"/>
  <c r="AW312" i="53"/>
  <c r="AV312" i="53"/>
  <c r="AU312" i="53"/>
  <c r="AT312" i="53"/>
  <c r="AS312" i="53"/>
  <c r="AR312" i="53"/>
  <c r="AQ312" i="53"/>
  <c r="AP312" i="53"/>
  <c r="AO312" i="53"/>
  <c r="AN312" i="53"/>
  <c r="AM312" i="53"/>
  <c r="AL312" i="53"/>
  <c r="AK312" i="53"/>
  <c r="AJ312" i="53"/>
  <c r="AI312" i="53"/>
  <c r="AH312" i="53"/>
  <c r="AG312" i="53"/>
  <c r="AF312" i="53"/>
  <c r="AE312" i="53"/>
  <c r="AD312" i="53"/>
  <c r="BA311" i="53"/>
  <c r="AZ311" i="53"/>
  <c r="AY311" i="53"/>
  <c r="AX311" i="53"/>
  <c r="AW311" i="53"/>
  <c r="AV311" i="53"/>
  <c r="AU311" i="53"/>
  <c r="AT311" i="53"/>
  <c r="AS311" i="53"/>
  <c r="AR311" i="53"/>
  <c r="AQ311" i="53"/>
  <c r="AP311" i="53"/>
  <c r="AO311" i="53"/>
  <c r="AN311" i="53"/>
  <c r="AM311" i="53"/>
  <c r="AL311" i="53"/>
  <c r="AK311" i="53"/>
  <c r="AJ311" i="53"/>
  <c r="AI311" i="53"/>
  <c r="AH311" i="53"/>
  <c r="AG311" i="53"/>
  <c r="AF311" i="53"/>
  <c r="AE311" i="53"/>
  <c r="AD311" i="53"/>
  <c r="BA310" i="53"/>
  <c r="AZ310" i="53"/>
  <c r="AY310" i="53"/>
  <c r="AX310" i="53"/>
  <c r="AW310" i="53"/>
  <c r="AV310" i="53"/>
  <c r="AU310" i="53"/>
  <c r="AT310" i="53"/>
  <c r="AS310" i="53"/>
  <c r="AR310" i="53"/>
  <c r="AQ310" i="53"/>
  <c r="AP310" i="53"/>
  <c r="AO310" i="53"/>
  <c r="AN310" i="53"/>
  <c r="AM310" i="53"/>
  <c r="AL310" i="53"/>
  <c r="AK310" i="53"/>
  <c r="AJ310" i="53"/>
  <c r="AI310" i="53"/>
  <c r="AH310" i="53"/>
  <c r="AG310" i="53"/>
  <c r="AF310" i="53"/>
  <c r="AE310" i="53"/>
  <c r="AD310" i="53"/>
  <c r="BA309" i="53"/>
  <c r="AZ309" i="53"/>
  <c r="AY309" i="53"/>
  <c r="AX309" i="53"/>
  <c r="AW309" i="53"/>
  <c r="AV309" i="53"/>
  <c r="AU309" i="53"/>
  <c r="AT309" i="53"/>
  <c r="AS309" i="53"/>
  <c r="AR309" i="53"/>
  <c r="AQ309" i="53"/>
  <c r="AP309" i="53"/>
  <c r="AO309" i="53"/>
  <c r="AN309" i="53"/>
  <c r="AM309" i="53"/>
  <c r="AL309" i="53"/>
  <c r="AK309" i="53"/>
  <c r="AJ309" i="53"/>
  <c r="AI309" i="53"/>
  <c r="AH309" i="53"/>
  <c r="AG309" i="53"/>
  <c r="AF309" i="53"/>
  <c r="AE309" i="53"/>
  <c r="AD309" i="53"/>
  <c r="BA308" i="53"/>
  <c r="AZ308" i="53"/>
  <c r="AY308" i="53"/>
  <c r="AX308" i="53"/>
  <c r="AW308" i="53"/>
  <c r="AV308" i="53"/>
  <c r="AU308" i="53"/>
  <c r="AT308" i="53"/>
  <c r="AS308" i="53"/>
  <c r="AR308" i="53"/>
  <c r="AQ308" i="53"/>
  <c r="AP308" i="53"/>
  <c r="AO308" i="53"/>
  <c r="AN308" i="53"/>
  <c r="AM308" i="53"/>
  <c r="AL308" i="53"/>
  <c r="AK308" i="53"/>
  <c r="AJ308" i="53"/>
  <c r="AI308" i="53"/>
  <c r="AH308" i="53"/>
  <c r="AG308" i="53"/>
  <c r="AF308" i="53"/>
  <c r="AE308" i="53"/>
  <c r="AD308" i="53"/>
  <c r="BA307" i="53"/>
  <c r="AZ307" i="53"/>
  <c r="AY307" i="53"/>
  <c r="AX307" i="53"/>
  <c r="AW307" i="53"/>
  <c r="AV307" i="53"/>
  <c r="AU307" i="53"/>
  <c r="AT307" i="53"/>
  <c r="AS307" i="53"/>
  <c r="AR307" i="53"/>
  <c r="AQ307" i="53"/>
  <c r="AP307" i="53"/>
  <c r="AO307" i="53"/>
  <c r="AN307" i="53"/>
  <c r="AM307" i="53"/>
  <c r="AL307" i="53"/>
  <c r="AK307" i="53"/>
  <c r="AJ307" i="53"/>
  <c r="AI307" i="53"/>
  <c r="AH307" i="53"/>
  <c r="AG307" i="53"/>
  <c r="AF307" i="53"/>
  <c r="AE307" i="53"/>
  <c r="AD307" i="53"/>
  <c r="BA306" i="53"/>
  <c r="AZ306" i="53"/>
  <c r="AY306" i="53"/>
  <c r="AX306" i="53"/>
  <c r="AW306" i="53"/>
  <c r="AV306" i="53"/>
  <c r="AU306" i="53"/>
  <c r="AT306" i="53"/>
  <c r="AS306" i="53"/>
  <c r="AR306" i="53"/>
  <c r="AQ306" i="53"/>
  <c r="AP306" i="53"/>
  <c r="AO306" i="53"/>
  <c r="AN306" i="53"/>
  <c r="AM306" i="53"/>
  <c r="AL306" i="53"/>
  <c r="AK306" i="53"/>
  <c r="AJ306" i="53"/>
  <c r="AI306" i="53"/>
  <c r="AH306" i="53"/>
  <c r="AG306" i="53"/>
  <c r="AF306" i="53"/>
  <c r="AE306" i="53"/>
  <c r="AD306" i="53"/>
  <c r="BA305" i="53"/>
  <c r="AZ305" i="53"/>
  <c r="AY305" i="53"/>
  <c r="AX305" i="53"/>
  <c r="AW305" i="53"/>
  <c r="AV305" i="53"/>
  <c r="AU305" i="53"/>
  <c r="AT305" i="53"/>
  <c r="AS305" i="53"/>
  <c r="AR305" i="53"/>
  <c r="AQ305" i="53"/>
  <c r="AP305" i="53"/>
  <c r="AO305" i="53"/>
  <c r="AN305" i="53"/>
  <c r="AM305" i="53"/>
  <c r="AL305" i="53"/>
  <c r="AK305" i="53"/>
  <c r="AJ305" i="53"/>
  <c r="AI305" i="53"/>
  <c r="AH305" i="53"/>
  <c r="AG305" i="53"/>
  <c r="AF305" i="53"/>
  <c r="AE305" i="53"/>
  <c r="AD305" i="53"/>
  <c r="BA304" i="53"/>
  <c r="AZ304" i="53"/>
  <c r="AY304" i="53"/>
  <c r="AX304" i="53"/>
  <c r="AW304" i="53"/>
  <c r="AV304" i="53"/>
  <c r="AU304" i="53"/>
  <c r="AT304" i="53"/>
  <c r="AS304" i="53"/>
  <c r="AR304" i="53"/>
  <c r="AQ304" i="53"/>
  <c r="AP304" i="53"/>
  <c r="AO304" i="53"/>
  <c r="AN304" i="53"/>
  <c r="AM304" i="53"/>
  <c r="AL304" i="53"/>
  <c r="AK304" i="53"/>
  <c r="AJ304" i="53"/>
  <c r="AI304" i="53"/>
  <c r="AH304" i="53"/>
  <c r="AG304" i="53"/>
  <c r="AF304" i="53"/>
  <c r="AE304" i="53"/>
  <c r="AD304" i="53"/>
  <c r="BA303" i="53"/>
  <c r="AZ303" i="53"/>
  <c r="AY303" i="53"/>
  <c r="AX303" i="53"/>
  <c r="AW303" i="53"/>
  <c r="AV303" i="53"/>
  <c r="AU303" i="53"/>
  <c r="AT303" i="53"/>
  <c r="AS303" i="53"/>
  <c r="AR303" i="53"/>
  <c r="AQ303" i="53"/>
  <c r="AP303" i="53"/>
  <c r="AO303" i="53"/>
  <c r="AN303" i="53"/>
  <c r="AM303" i="53"/>
  <c r="AL303" i="53"/>
  <c r="AK303" i="53"/>
  <c r="AJ303" i="53"/>
  <c r="AI303" i="53"/>
  <c r="AH303" i="53"/>
  <c r="AG303" i="53"/>
  <c r="AF303" i="53"/>
  <c r="AE303" i="53"/>
  <c r="AD303" i="53"/>
  <c r="BA302" i="53"/>
  <c r="AZ302" i="53"/>
  <c r="AY302" i="53"/>
  <c r="AX302" i="53"/>
  <c r="AW302" i="53"/>
  <c r="AV302" i="53"/>
  <c r="AU302" i="53"/>
  <c r="AT302" i="53"/>
  <c r="AS302" i="53"/>
  <c r="AR302" i="53"/>
  <c r="AQ302" i="53"/>
  <c r="AP302" i="53"/>
  <c r="AO302" i="53"/>
  <c r="AN302" i="53"/>
  <c r="AM302" i="53"/>
  <c r="AL302" i="53"/>
  <c r="AK302" i="53"/>
  <c r="AJ302" i="53"/>
  <c r="AI302" i="53"/>
  <c r="AH302" i="53"/>
  <c r="AG302" i="53"/>
  <c r="AF302" i="53"/>
  <c r="AE302" i="53"/>
  <c r="AD302" i="53"/>
  <c r="BA301" i="53"/>
  <c r="AZ301" i="53"/>
  <c r="AY301" i="53"/>
  <c r="AX301" i="53"/>
  <c r="AW301" i="53"/>
  <c r="AV301" i="53"/>
  <c r="AU301" i="53"/>
  <c r="AT301" i="53"/>
  <c r="AS301" i="53"/>
  <c r="AR301" i="53"/>
  <c r="AQ301" i="53"/>
  <c r="AP301" i="53"/>
  <c r="AO301" i="53"/>
  <c r="AN301" i="53"/>
  <c r="AM301" i="53"/>
  <c r="AL301" i="53"/>
  <c r="AK301" i="53"/>
  <c r="AJ301" i="53"/>
  <c r="AI301" i="53"/>
  <c r="AH301" i="53"/>
  <c r="AG301" i="53"/>
  <c r="AF301" i="53"/>
  <c r="AE301" i="53"/>
  <c r="AD301" i="53"/>
  <c r="BA300" i="53"/>
  <c r="AZ300" i="53"/>
  <c r="AY300" i="53"/>
  <c r="AX300" i="53"/>
  <c r="AW300" i="53"/>
  <c r="AV300" i="53"/>
  <c r="AU300" i="53"/>
  <c r="AT300" i="53"/>
  <c r="AS300" i="53"/>
  <c r="AR300" i="53"/>
  <c r="AQ300" i="53"/>
  <c r="AP300" i="53"/>
  <c r="AO300" i="53"/>
  <c r="AN300" i="53"/>
  <c r="AM300" i="53"/>
  <c r="AL300" i="53"/>
  <c r="AK300" i="53"/>
  <c r="AJ300" i="53"/>
  <c r="AI300" i="53"/>
  <c r="AH300" i="53"/>
  <c r="AG300" i="53"/>
  <c r="AF300" i="53"/>
  <c r="AE300" i="53"/>
  <c r="AD300" i="53"/>
  <c r="BA299" i="53"/>
  <c r="AZ299" i="53"/>
  <c r="AY299" i="53"/>
  <c r="AX299" i="53"/>
  <c r="AW299" i="53"/>
  <c r="AV299" i="53"/>
  <c r="AU299" i="53"/>
  <c r="AT299" i="53"/>
  <c r="AS299" i="53"/>
  <c r="AR299" i="53"/>
  <c r="AQ299" i="53"/>
  <c r="AP299" i="53"/>
  <c r="AO299" i="53"/>
  <c r="AN299" i="53"/>
  <c r="AM299" i="53"/>
  <c r="AL299" i="53"/>
  <c r="AK299" i="53"/>
  <c r="AJ299" i="53"/>
  <c r="AI299" i="53"/>
  <c r="AH299" i="53"/>
  <c r="AG299" i="53"/>
  <c r="AF299" i="53"/>
  <c r="AE299" i="53"/>
  <c r="AD299" i="53"/>
  <c r="BA298" i="53"/>
  <c r="AZ298" i="53"/>
  <c r="AY298" i="53"/>
  <c r="AX298" i="53"/>
  <c r="AW298" i="53"/>
  <c r="AV298" i="53"/>
  <c r="AU298" i="53"/>
  <c r="AT298" i="53"/>
  <c r="AS298" i="53"/>
  <c r="AR298" i="53"/>
  <c r="AQ298" i="53"/>
  <c r="AP298" i="53"/>
  <c r="AO298" i="53"/>
  <c r="AN298" i="53"/>
  <c r="AM298" i="53"/>
  <c r="AL298" i="53"/>
  <c r="AK298" i="53"/>
  <c r="AJ298" i="53"/>
  <c r="AI298" i="53"/>
  <c r="AH298" i="53"/>
  <c r="AG298" i="53"/>
  <c r="AF298" i="53"/>
  <c r="AE298" i="53"/>
  <c r="AD298" i="53"/>
  <c r="BA297" i="53"/>
  <c r="AZ297" i="53"/>
  <c r="AY297" i="53"/>
  <c r="AX297" i="53"/>
  <c r="AW297" i="53"/>
  <c r="AV297" i="53"/>
  <c r="AU297" i="53"/>
  <c r="AT297" i="53"/>
  <c r="AS297" i="53"/>
  <c r="AR297" i="53"/>
  <c r="AQ297" i="53"/>
  <c r="AP297" i="53"/>
  <c r="AO297" i="53"/>
  <c r="AN297" i="53"/>
  <c r="AM297" i="53"/>
  <c r="AL297" i="53"/>
  <c r="AK297" i="53"/>
  <c r="AJ297" i="53"/>
  <c r="AI297" i="53"/>
  <c r="AH297" i="53"/>
  <c r="AG297" i="53"/>
  <c r="AF297" i="53"/>
  <c r="AE297" i="53"/>
  <c r="AD297" i="53"/>
  <c r="BA296" i="53"/>
  <c r="AZ296" i="53"/>
  <c r="AY296" i="53"/>
  <c r="AX296" i="53"/>
  <c r="AW296" i="53"/>
  <c r="AV296" i="53"/>
  <c r="AU296" i="53"/>
  <c r="AT296" i="53"/>
  <c r="AS296" i="53"/>
  <c r="AR296" i="53"/>
  <c r="AQ296" i="53"/>
  <c r="AP296" i="53"/>
  <c r="AO296" i="53"/>
  <c r="AN296" i="53"/>
  <c r="AM296" i="53"/>
  <c r="AL296" i="53"/>
  <c r="AK296" i="53"/>
  <c r="AJ296" i="53"/>
  <c r="AI296" i="53"/>
  <c r="AH296" i="53"/>
  <c r="AG296" i="53"/>
  <c r="AF296" i="53"/>
  <c r="AE296" i="53"/>
  <c r="AD296" i="53"/>
  <c r="BA295" i="53"/>
  <c r="AZ295" i="53"/>
  <c r="AY295" i="53"/>
  <c r="AX295" i="53"/>
  <c r="AW295" i="53"/>
  <c r="AV295" i="53"/>
  <c r="AU295" i="53"/>
  <c r="AT295" i="53"/>
  <c r="AS295" i="53"/>
  <c r="AR295" i="53"/>
  <c r="AQ295" i="53"/>
  <c r="AP295" i="53"/>
  <c r="AO295" i="53"/>
  <c r="AN295" i="53"/>
  <c r="AM295" i="53"/>
  <c r="AL295" i="53"/>
  <c r="AK295" i="53"/>
  <c r="AJ295" i="53"/>
  <c r="AI295" i="53"/>
  <c r="AH295" i="53"/>
  <c r="AG295" i="53"/>
  <c r="AF295" i="53"/>
  <c r="AE295" i="53"/>
  <c r="AD295" i="53"/>
  <c r="BA294" i="53"/>
  <c r="AZ294" i="53"/>
  <c r="AY294" i="53"/>
  <c r="AX294" i="53"/>
  <c r="AW294" i="53"/>
  <c r="AV294" i="53"/>
  <c r="AU294" i="53"/>
  <c r="AT294" i="53"/>
  <c r="AS294" i="53"/>
  <c r="AR294" i="53"/>
  <c r="AQ294" i="53"/>
  <c r="AP294" i="53"/>
  <c r="AO294" i="53"/>
  <c r="AN294" i="53"/>
  <c r="AM294" i="53"/>
  <c r="AL294" i="53"/>
  <c r="AK294" i="53"/>
  <c r="AJ294" i="53"/>
  <c r="AI294" i="53"/>
  <c r="AH294" i="53"/>
  <c r="AG294" i="53"/>
  <c r="AF294" i="53"/>
  <c r="AE294" i="53"/>
  <c r="AD294" i="53"/>
  <c r="BA293" i="53"/>
  <c r="AZ293" i="53"/>
  <c r="AY293" i="53"/>
  <c r="AX293" i="53"/>
  <c r="AW293" i="53"/>
  <c r="AV293" i="53"/>
  <c r="AU293" i="53"/>
  <c r="AT293" i="53"/>
  <c r="AS293" i="53"/>
  <c r="AR293" i="53"/>
  <c r="AQ293" i="53"/>
  <c r="AP293" i="53"/>
  <c r="AO293" i="53"/>
  <c r="AN293" i="53"/>
  <c r="AM293" i="53"/>
  <c r="AL293" i="53"/>
  <c r="AK293" i="53"/>
  <c r="AJ293" i="53"/>
  <c r="AI293" i="53"/>
  <c r="AH293" i="53"/>
  <c r="AG293" i="53"/>
  <c r="AF293" i="53"/>
  <c r="AE293" i="53"/>
  <c r="AD293" i="53"/>
  <c r="BA292" i="53"/>
  <c r="AZ292" i="53"/>
  <c r="AY292" i="53"/>
  <c r="AX292" i="53"/>
  <c r="AW292" i="53"/>
  <c r="AV292" i="53"/>
  <c r="AU292" i="53"/>
  <c r="AT292" i="53"/>
  <c r="AS292" i="53"/>
  <c r="AR292" i="53"/>
  <c r="AQ292" i="53"/>
  <c r="AP292" i="53"/>
  <c r="AO292" i="53"/>
  <c r="AN292" i="53"/>
  <c r="AM292" i="53"/>
  <c r="AL292" i="53"/>
  <c r="AK292" i="53"/>
  <c r="AJ292" i="53"/>
  <c r="AI292" i="53"/>
  <c r="AH292" i="53"/>
  <c r="AG292" i="53"/>
  <c r="AF292" i="53"/>
  <c r="AE292" i="53"/>
  <c r="AD292" i="53"/>
  <c r="BA291" i="53"/>
  <c r="AZ291" i="53"/>
  <c r="AY291" i="53"/>
  <c r="AX291" i="53"/>
  <c r="AW291" i="53"/>
  <c r="AV291" i="53"/>
  <c r="AU291" i="53"/>
  <c r="AT291" i="53"/>
  <c r="AS291" i="53"/>
  <c r="AR291" i="53"/>
  <c r="AQ291" i="53"/>
  <c r="AP291" i="53"/>
  <c r="AO291" i="53"/>
  <c r="AN291" i="53"/>
  <c r="AM291" i="53"/>
  <c r="AL291" i="53"/>
  <c r="AK291" i="53"/>
  <c r="AJ291" i="53"/>
  <c r="AI291" i="53"/>
  <c r="AH291" i="53"/>
  <c r="AG291" i="53"/>
  <c r="AF291" i="53"/>
  <c r="AE291" i="53"/>
  <c r="AD291" i="53"/>
  <c r="BA290" i="53"/>
  <c r="AZ290" i="53"/>
  <c r="AY290" i="53"/>
  <c r="AX290" i="53"/>
  <c r="AW290" i="53"/>
  <c r="AV290" i="53"/>
  <c r="AU290" i="53"/>
  <c r="AT290" i="53"/>
  <c r="AS290" i="53"/>
  <c r="AR290" i="53"/>
  <c r="AQ290" i="53"/>
  <c r="AP290" i="53"/>
  <c r="AO290" i="53"/>
  <c r="AN290" i="53"/>
  <c r="AM290" i="53"/>
  <c r="AL290" i="53"/>
  <c r="AK290" i="53"/>
  <c r="AJ290" i="53"/>
  <c r="AI290" i="53"/>
  <c r="AH290" i="53"/>
  <c r="AG290" i="53"/>
  <c r="AF290" i="53"/>
  <c r="AE290" i="53"/>
  <c r="AD290" i="53"/>
  <c r="BA289" i="53"/>
  <c r="AZ289" i="53"/>
  <c r="AY289" i="53"/>
  <c r="AX289" i="53"/>
  <c r="AW289" i="53"/>
  <c r="AV289" i="53"/>
  <c r="AU289" i="53"/>
  <c r="AT289" i="53"/>
  <c r="AS289" i="53"/>
  <c r="AR289" i="53"/>
  <c r="AQ289" i="53"/>
  <c r="AP289" i="53"/>
  <c r="AO289" i="53"/>
  <c r="AN289" i="53"/>
  <c r="AM289" i="53"/>
  <c r="AL289" i="53"/>
  <c r="AK289" i="53"/>
  <c r="AJ289" i="53"/>
  <c r="AI289" i="53"/>
  <c r="AH289" i="53"/>
  <c r="AG289" i="53"/>
  <c r="AF289" i="53"/>
  <c r="AE289" i="53"/>
  <c r="AD289" i="53"/>
  <c r="BA288" i="53"/>
  <c r="AZ288" i="53"/>
  <c r="AY288" i="53"/>
  <c r="AX288" i="53"/>
  <c r="AW288" i="53"/>
  <c r="AV288" i="53"/>
  <c r="AU288" i="53"/>
  <c r="AT288" i="53"/>
  <c r="AS288" i="53"/>
  <c r="AR288" i="53"/>
  <c r="AQ288" i="53"/>
  <c r="AP288" i="53"/>
  <c r="AO288" i="53"/>
  <c r="AN288" i="53"/>
  <c r="AM288" i="53"/>
  <c r="AL288" i="53"/>
  <c r="AK288" i="53"/>
  <c r="AJ288" i="53"/>
  <c r="AI288" i="53"/>
  <c r="AH288" i="53"/>
  <c r="AG288" i="53"/>
  <c r="AF288" i="53"/>
  <c r="AE288" i="53"/>
  <c r="AD288" i="53"/>
  <c r="BA287" i="53"/>
  <c r="AZ287" i="53"/>
  <c r="AY287" i="53"/>
  <c r="AX287" i="53"/>
  <c r="AW287" i="53"/>
  <c r="AV287" i="53"/>
  <c r="AU287" i="53"/>
  <c r="AT287" i="53"/>
  <c r="AS287" i="53"/>
  <c r="AR287" i="53"/>
  <c r="AQ287" i="53"/>
  <c r="AP287" i="53"/>
  <c r="AO287" i="53"/>
  <c r="AN287" i="53"/>
  <c r="AM287" i="53"/>
  <c r="AL287" i="53"/>
  <c r="AK287" i="53"/>
  <c r="AJ287" i="53"/>
  <c r="AI287" i="53"/>
  <c r="AH287" i="53"/>
  <c r="AG287" i="53"/>
  <c r="AF287" i="53"/>
  <c r="AE287" i="53"/>
  <c r="AD287" i="53"/>
  <c r="BA286" i="53"/>
  <c r="AZ286" i="53"/>
  <c r="AY286" i="53"/>
  <c r="AX286" i="53"/>
  <c r="AW286" i="53"/>
  <c r="AV286" i="53"/>
  <c r="AU286" i="53"/>
  <c r="AT286" i="53"/>
  <c r="AS286" i="53"/>
  <c r="AR286" i="53"/>
  <c r="AQ286" i="53"/>
  <c r="AP286" i="53"/>
  <c r="AO286" i="53"/>
  <c r="AN286" i="53"/>
  <c r="AM286" i="53"/>
  <c r="AL286" i="53"/>
  <c r="AK286" i="53"/>
  <c r="AJ286" i="53"/>
  <c r="AI286" i="53"/>
  <c r="AH286" i="53"/>
  <c r="AG286" i="53"/>
  <c r="AF286" i="53"/>
  <c r="AE286" i="53"/>
  <c r="AD286" i="53"/>
  <c r="AB286" i="53"/>
  <c r="BA285" i="53"/>
  <c r="AZ285" i="53"/>
  <c r="AY285" i="53"/>
  <c r="AX285" i="53"/>
  <c r="AW285" i="53"/>
  <c r="AV285" i="53"/>
  <c r="AU285" i="53"/>
  <c r="AT285" i="53"/>
  <c r="AS285" i="53"/>
  <c r="AR285" i="53"/>
  <c r="AQ285" i="53"/>
  <c r="AP285" i="53"/>
  <c r="AO285" i="53"/>
  <c r="AN285" i="53"/>
  <c r="AM285" i="53"/>
  <c r="AL285" i="53"/>
  <c r="AK285" i="53"/>
  <c r="AJ285" i="53"/>
  <c r="AI285" i="53"/>
  <c r="AH285" i="53"/>
  <c r="AG285" i="53"/>
  <c r="AF285" i="53"/>
  <c r="AE285" i="53"/>
  <c r="AD285" i="53"/>
  <c r="BA284" i="53"/>
  <c r="AZ284" i="53"/>
  <c r="AY284" i="53"/>
  <c r="AX284" i="53"/>
  <c r="AW284" i="53"/>
  <c r="AV284" i="53"/>
  <c r="AU284" i="53"/>
  <c r="AT284" i="53"/>
  <c r="AS284" i="53"/>
  <c r="AR284" i="53"/>
  <c r="AQ284" i="53"/>
  <c r="AP284" i="53"/>
  <c r="AO284" i="53"/>
  <c r="AN284" i="53"/>
  <c r="AM284" i="53"/>
  <c r="AL284" i="53"/>
  <c r="AK284" i="53"/>
  <c r="AJ284" i="53"/>
  <c r="AI284" i="53"/>
  <c r="AH284" i="53"/>
  <c r="AG284" i="53"/>
  <c r="AF284" i="53"/>
  <c r="AE284" i="53"/>
  <c r="AD284" i="53"/>
  <c r="BA283" i="53"/>
  <c r="AZ283" i="53"/>
  <c r="AY283" i="53"/>
  <c r="AX283" i="53"/>
  <c r="AW283" i="53"/>
  <c r="AV283" i="53"/>
  <c r="AU283" i="53"/>
  <c r="AT283" i="53"/>
  <c r="AS283" i="53"/>
  <c r="AR283" i="53"/>
  <c r="AQ283" i="53"/>
  <c r="AP283" i="53"/>
  <c r="AO283" i="53"/>
  <c r="AN283" i="53"/>
  <c r="AM283" i="53"/>
  <c r="AL283" i="53"/>
  <c r="AK283" i="53"/>
  <c r="AJ283" i="53"/>
  <c r="AI283" i="53"/>
  <c r="AH283" i="53"/>
  <c r="AG283" i="53"/>
  <c r="AF283" i="53"/>
  <c r="AE283" i="53"/>
  <c r="AD283" i="53"/>
  <c r="BA282" i="53"/>
  <c r="AZ282" i="53"/>
  <c r="AY282" i="53"/>
  <c r="AX282" i="53"/>
  <c r="AW282" i="53"/>
  <c r="AV282" i="53"/>
  <c r="AU282" i="53"/>
  <c r="AT282" i="53"/>
  <c r="AS282" i="53"/>
  <c r="AR282" i="53"/>
  <c r="AQ282" i="53"/>
  <c r="AP282" i="53"/>
  <c r="AO282" i="53"/>
  <c r="AN282" i="53"/>
  <c r="AM282" i="53"/>
  <c r="AL282" i="53"/>
  <c r="AK282" i="53"/>
  <c r="AJ282" i="53"/>
  <c r="AI282" i="53"/>
  <c r="AH282" i="53"/>
  <c r="AG282" i="53"/>
  <c r="AF282" i="53"/>
  <c r="AE282" i="53"/>
  <c r="AD282" i="53"/>
  <c r="BA281" i="53"/>
  <c r="AZ281" i="53"/>
  <c r="AY281" i="53"/>
  <c r="AX281" i="53"/>
  <c r="AW281" i="53"/>
  <c r="AV281" i="53"/>
  <c r="AU281" i="53"/>
  <c r="AT281" i="53"/>
  <c r="AS281" i="53"/>
  <c r="AR281" i="53"/>
  <c r="AQ281" i="53"/>
  <c r="AP281" i="53"/>
  <c r="AO281" i="53"/>
  <c r="AN281" i="53"/>
  <c r="AM281" i="53"/>
  <c r="AL281" i="53"/>
  <c r="AK281" i="53"/>
  <c r="AJ281" i="53"/>
  <c r="AI281" i="53"/>
  <c r="AH281" i="53"/>
  <c r="AG281" i="53"/>
  <c r="AF281" i="53"/>
  <c r="AE281" i="53"/>
  <c r="AD281" i="53"/>
  <c r="BA280" i="53"/>
  <c r="AZ280" i="53"/>
  <c r="AY280" i="53"/>
  <c r="AX280" i="53"/>
  <c r="AW280" i="53"/>
  <c r="AV280" i="53"/>
  <c r="AU280" i="53"/>
  <c r="AT280" i="53"/>
  <c r="AS280" i="53"/>
  <c r="AR280" i="53"/>
  <c r="AQ280" i="53"/>
  <c r="AP280" i="53"/>
  <c r="AO280" i="53"/>
  <c r="AN280" i="53"/>
  <c r="AM280" i="53"/>
  <c r="AL280" i="53"/>
  <c r="AK280" i="53"/>
  <c r="AJ280" i="53"/>
  <c r="AI280" i="53"/>
  <c r="AH280" i="53"/>
  <c r="AG280" i="53"/>
  <c r="AF280" i="53"/>
  <c r="AE280" i="53"/>
  <c r="AD280" i="53"/>
  <c r="BA279" i="53"/>
  <c r="AZ279" i="53"/>
  <c r="AY279" i="53"/>
  <c r="AX279" i="53"/>
  <c r="AW279" i="53"/>
  <c r="AV279" i="53"/>
  <c r="AU279" i="53"/>
  <c r="AT279" i="53"/>
  <c r="AS279" i="53"/>
  <c r="AR279" i="53"/>
  <c r="AQ279" i="53"/>
  <c r="AP279" i="53"/>
  <c r="AO279" i="53"/>
  <c r="AN279" i="53"/>
  <c r="AM279" i="53"/>
  <c r="AL279" i="53"/>
  <c r="AK279" i="53"/>
  <c r="AJ279" i="53"/>
  <c r="AI279" i="53"/>
  <c r="AH279" i="53"/>
  <c r="AG279" i="53"/>
  <c r="AF279" i="53"/>
  <c r="AE279" i="53"/>
  <c r="AD279" i="53"/>
  <c r="BA278" i="53"/>
  <c r="AZ278" i="53"/>
  <c r="AY278" i="53"/>
  <c r="AX278" i="53"/>
  <c r="AW278" i="53"/>
  <c r="AV278" i="53"/>
  <c r="AU278" i="53"/>
  <c r="AT278" i="53"/>
  <c r="AS278" i="53"/>
  <c r="AR278" i="53"/>
  <c r="AQ278" i="53"/>
  <c r="AP278" i="53"/>
  <c r="AO278" i="53"/>
  <c r="AN278" i="53"/>
  <c r="AM278" i="53"/>
  <c r="AL278" i="53"/>
  <c r="AK278" i="53"/>
  <c r="AJ278" i="53"/>
  <c r="AI278" i="53"/>
  <c r="AH278" i="53"/>
  <c r="AG278" i="53"/>
  <c r="AF278" i="53"/>
  <c r="AE278" i="53"/>
  <c r="AD278" i="53"/>
  <c r="BA277" i="53"/>
  <c r="AZ277" i="53"/>
  <c r="AY277" i="53"/>
  <c r="AX277" i="53"/>
  <c r="AW277" i="53"/>
  <c r="AV277" i="53"/>
  <c r="AU277" i="53"/>
  <c r="AT277" i="53"/>
  <c r="AS277" i="53"/>
  <c r="AR277" i="53"/>
  <c r="AQ277" i="53"/>
  <c r="AP277" i="53"/>
  <c r="AO277" i="53"/>
  <c r="AN277" i="53"/>
  <c r="AM277" i="53"/>
  <c r="AL277" i="53"/>
  <c r="AK277" i="53"/>
  <c r="AJ277" i="53"/>
  <c r="AI277" i="53"/>
  <c r="AH277" i="53"/>
  <c r="AG277" i="53"/>
  <c r="AF277" i="53"/>
  <c r="AE277" i="53"/>
  <c r="AD277" i="53"/>
  <c r="BA276" i="53"/>
  <c r="AZ276" i="53"/>
  <c r="AY276" i="53"/>
  <c r="AX276" i="53"/>
  <c r="AW276" i="53"/>
  <c r="AV276" i="53"/>
  <c r="AU276" i="53"/>
  <c r="AT276" i="53"/>
  <c r="AS276" i="53"/>
  <c r="AR276" i="53"/>
  <c r="AQ276" i="53"/>
  <c r="AP276" i="53"/>
  <c r="AO276" i="53"/>
  <c r="AN276" i="53"/>
  <c r="AM276" i="53"/>
  <c r="AL276" i="53"/>
  <c r="AK276" i="53"/>
  <c r="AJ276" i="53"/>
  <c r="AI276" i="53"/>
  <c r="AH276" i="53"/>
  <c r="AG276" i="53"/>
  <c r="AF276" i="53"/>
  <c r="AE276" i="53"/>
  <c r="AD276" i="53"/>
  <c r="BA275" i="53"/>
  <c r="AZ275" i="53"/>
  <c r="AY275" i="53"/>
  <c r="AX275" i="53"/>
  <c r="AW275" i="53"/>
  <c r="AV275" i="53"/>
  <c r="AU275" i="53"/>
  <c r="AT275" i="53"/>
  <c r="AS275" i="53"/>
  <c r="AR275" i="53"/>
  <c r="AQ275" i="53"/>
  <c r="AP275" i="53"/>
  <c r="AO275" i="53"/>
  <c r="AN275" i="53"/>
  <c r="AM275" i="53"/>
  <c r="AL275" i="53"/>
  <c r="AK275" i="53"/>
  <c r="AJ275" i="53"/>
  <c r="AI275" i="53"/>
  <c r="AH275" i="53"/>
  <c r="AG275" i="53"/>
  <c r="AF275" i="53"/>
  <c r="AE275" i="53"/>
  <c r="AD275" i="53"/>
  <c r="BA274" i="53"/>
  <c r="AZ274" i="53"/>
  <c r="AY274" i="53"/>
  <c r="AX274" i="53"/>
  <c r="AW274" i="53"/>
  <c r="AV274" i="53"/>
  <c r="AU274" i="53"/>
  <c r="AT274" i="53"/>
  <c r="AS274" i="53"/>
  <c r="AR274" i="53"/>
  <c r="AQ274" i="53"/>
  <c r="AP274" i="53"/>
  <c r="AO274" i="53"/>
  <c r="AN274" i="53"/>
  <c r="AM274" i="53"/>
  <c r="AL274" i="53"/>
  <c r="AK274" i="53"/>
  <c r="AJ274" i="53"/>
  <c r="AI274" i="53"/>
  <c r="AH274" i="53"/>
  <c r="AG274" i="53"/>
  <c r="AF274" i="53"/>
  <c r="AE274" i="53"/>
  <c r="AD274" i="53"/>
  <c r="BA273" i="53"/>
  <c r="AZ273" i="53"/>
  <c r="AY273" i="53"/>
  <c r="AX273" i="53"/>
  <c r="AW273" i="53"/>
  <c r="AV273" i="53"/>
  <c r="AU273" i="53"/>
  <c r="AT273" i="53"/>
  <c r="AS273" i="53"/>
  <c r="AR273" i="53"/>
  <c r="AQ273" i="53"/>
  <c r="AP273" i="53"/>
  <c r="AO273" i="53"/>
  <c r="AN273" i="53"/>
  <c r="AM273" i="53"/>
  <c r="AL273" i="53"/>
  <c r="AK273" i="53"/>
  <c r="AJ273" i="53"/>
  <c r="AI273" i="53"/>
  <c r="AH273" i="53"/>
  <c r="AG273" i="53"/>
  <c r="AF273" i="53"/>
  <c r="AE273" i="53"/>
  <c r="AD273" i="53"/>
  <c r="BA272" i="53"/>
  <c r="AZ272" i="53"/>
  <c r="AY272" i="53"/>
  <c r="AX272" i="53"/>
  <c r="AW272" i="53"/>
  <c r="AV272" i="53"/>
  <c r="AU272" i="53"/>
  <c r="AT272" i="53"/>
  <c r="AS272" i="53"/>
  <c r="AR272" i="53"/>
  <c r="AQ272" i="53"/>
  <c r="AP272" i="53"/>
  <c r="AO272" i="53"/>
  <c r="AN272" i="53"/>
  <c r="AM272" i="53"/>
  <c r="AL272" i="53"/>
  <c r="AK272" i="53"/>
  <c r="AJ272" i="53"/>
  <c r="AI272" i="53"/>
  <c r="AH272" i="53"/>
  <c r="AG272" i="53"/>
  <c r="AF272" i="53"/>
  <c r="AE272" i="53"/>
  <c r="AD272" i="53"/>
  <c r="BA271" i="53"/>
  <c r="AZ271" i="53"/>
  <c r="AY271" i="53"/>
  <c r="AX271" i="53"/>
  <c r="AW271" i="53"/>
  <c r="AV271" i="53"/>
  <c r="AU271" i="53"/>
  <c r="AT271" i="53"/>
  <c r="AS271" i="53"/>
  <c r="AR271" i="53"/>
  <c r="AQ271" i="53"/>
  <c r="AP271" i="53"/>
  <c r="AO271" i="53"/>
  <c r="AN271" i="53"/>
  <c r="AM271" i="53"/>
  <c r="AL271" i="53"/>
  <c r="AK271" i="53"/>
  <c r="AJ271" i="53"/>
  <c r="AI271" i="53"/>
  <c r="AH271" i="53"/>
  <c r="AG271" i="53"/>
  <c r="AF271" i="53"/>
  <c r="AE271" i="53"/>
  <c r="AD271" i="53"/>
  <c r="BA270" i="53"/>
  <c r="AZ270" i="53"/>
  <c r="AY270" i="53"/>
  <c r="AX270" i="53"/>
  <c r="AW270" i="53"/>
  <c r="AV270" i="53"/>
  <c r="AU270" i="53"/>
  <c r="AT270" i="53"/>
  <c r="AS270" i="53"/>
  <c r="AR270" i="53"/>
  <c r="AQ270" i="53"/>
  <c r="AP270" i="53"/>
  <c r="AO270" i="53"/>
  <c r="AN270" i="53"/>
  <c r="AM270" i="53"/>
  <c r="AL270" i="53"/>
  <c r="AK270" i="53"/>
  <c r="AJ270" i="53"/>
  <c r="AI270" i="53"/>
  <c r="AH270" i="53"/>
  <c r="AG270" i="53"/>
  <c r="AF270" i="53"/>
  <c r="AE270" i="53"/>
  <c r="AD270" i="53"/>
  <c r="BA269" i="53"/>
  <c r="AZ269" i="53"/>
  <c r="AY269" i="53"/>
  <c r="AX269" i="53"/>
  <c r="AW269" i="53"/>
  <c r="AV269" i="53"/>
  <c r="AU269" i="53"/>
  <c r="AT269" i="53"/>
  <c r="AS269" i="53"/>
  <c r="AR269" i="53"/>
  <c r="AQ269" i="53"/>
  <c r="AP269" i="53"/>
  <c r="AO269" i="53"/>
  <c r="AN269" i="53"/>
  <c r="AM269" i="53"/>
  <c r="AL269" i="53"/>
  <c r="AK269" i="53"/>
  <c r="AJ269" i="53"/>
  <c r="AI269" i="53"/>
  <c r="AH269" i="53"/>
  <c r="AG269" i="53"/>
  <c r="AF269" i="53"/>
  <c r="AE269" i="53"/>
  <c r="AD269" i="53"/>
  <c r="BA268" i="53"/>
  <c r="AZ268" i="53"/>
  <c r="AY268" i="53"/>
  <c r="AX268" i="53"/>
  <c r="AW268" i="53"/>
  <c r="AV268" i="53"/>
  <c r="AU268" i="53"/>
  <c r="AT268" i="53"/>
  <c r="AS268" i="53"/>
  <c r="AR268" i="53"/>
  <c r="AQ268" i="53"/>
  <c r="AP268" i="53"/>
  <c r="AO268" i="53"/>
  <c r="AN268" i="53"/>
  <c r="AM268" i="53"/>
  <c r="AL268" i="53"/>
  <c r="AK268" i="53"/>
  <c r="AJ268" i="53"/>
  <c r="AI268" i="53"/>
  <c r="AH268" i="53"/>
  <c r="AG268" i="53"/>
  <c r="AF268" i="53"/>
  <c r="AE268" i="53"/>
  <c r="AD268" i="53"/>
  <c r="BA267" i="53"/>
  <c r="AZ267" i="53"/>
  <c r="AY267" i="53"/>
  <c r="AX267" i="53"/>
  <c r="AW267" i="53"/>
  <c r="AV267" i="53"/>
  <c r="AU267" i="53"/>
  <c r="AT267" i="53"/>
  <c r="AS267" i="53"/>
  <c r="AR267" i="53"/>
  <c r="AQ267" i="53"/>
  <c r="AP267" i="53"/>
  <c r="AO267" i="53"/>
  <c r="AN267" i="53"/>
  <c r="AM267" i="53"/>
  <c r="AL267" i="53"/>
  <c r="AK267" i="53"/>
  <c r="AJ267" i="53"/>
  <c r="AI267" i="53"/>
  <c r="AH267" i="53"/>
  <c r="AG267" i="53"/>
  <c r="AF267" i="53"/>
  <c r="AE267" i="53"/>
  <c r="AD267" i="53"/>
  <c r="BA266" i="53"/>
  <c r="AZ266" i="53"/>
  <c r="AY266" i="53"/>
  <c r="AX266" i="53"/>
  <c r="AW266" i="53"/>
  <c r="AV266" i="53"/>
  <c r="AU266" i="53"/>
  <c r="AT266" i="53"/>
  <c r="AS266" i="53"/>
  <c r="AR266" i="53"/>
  <c r="AQ266" i="53"/>
  <c r="AP266" i="53"/>
  <c r="AO266" i="53"/>
  <c r="AN266" i="53"/>
  <c r="AM266" i="53"/>
  <c r="AL266" i="53"/>
  <c r="AK266" i="53"/>
  <c r="AJ266" i="53"/>
  <c r="AI266" i="53"/>
  <c r="AH266" i="53"/>
  <c r="AG266" i="53"/>
  <c r="AF266" i="53"/>
  <c r="AE266" i="53"/>
  <c r="AD266" i="53"/>
  <c r="BA265" i="53"/>
  <c r="AZ265" i="53"/>
  <c r="AY265" i="53"/>
  <c r="AX265" i="53"/>
  <c r="AW265" i="53"/>
  <c r="AV265" i="53"/>
  <c r="AU265" i="53"/>
  <c r="AT265" i="53"/>
  <c r="AS265" i="53"/>
  <c r="AR265" i="53"/>
  <c r="AQ265" i="53"/>
  <c r="AP265" i="53"/>
  <c r="AO265" i="53"/>
  <c r="AN265" i="53"/>
  <c r="AM265" i="53"/>
  <c r="AL265" i="53"/>
  <c r="AK265" i="53"/>
  <c r="AJ265" i="53"/>
  <c r="AI265" i="53"/>
  <c r="AH265" i="53"/>
  <c r="AG265" i="53"/>
  <c r="AF265" i="53"/>
  <c r="AE265" i="53"/>
  <c r="AD265" i="53"/>
  <c r="BA264" i="53"/>
  <c r="AZ264" i="53"/>
  <c r="AY264" i="53"/>
  <c r="AX264" i="53"/>
  <c r="AW264" i="53"/>
  <c r="AV264" i="53"/>
  <c r="AU264" i="53"/>
  <c r="AT264" i="53"/>
  <c r="AS264" i="53"/>
  <c r="AR264" i="53"/>
  <c r="AQ264" i="53"/>
  <c r="AP264" i="53"/>
  <c r="AO264" i="53"/>
  <c r="AN264" i="53"/>
  <c r="AM264" i="53"/>
  <c r="AL264" i="53"/>
  <c r="AK264" i="53"/>
  <c r="AJ264" i="53"/>
  <c r="AI264" i="53"/>
  <c r="AH264" i="53"/>
  <c r="AG264" i="53"/>
  <c r="AF264" i="53"/>
  <c r="AE264" i="53"/>
  <c r="AD264" i="53"/>
  <c r="BA263" i="53"/>
  <c r="AZ263" i="53"/>
  <c r="AY263" i="53"/>
  <c r="AX263" i="53"/>
  <c r="AW263" i="53"/>
  <c r="AV263" i="53"/>
  <c r="AU263" i="53"/>
  <c r="AT263" i="53"/>
  <c r="AS263" i="53"/>
  <c r="AR263" i="53"/>
  <c r="AQ263" i="53"/>
  <c r="AP263" i="53"/>
  <c r="AO263" i="53"/>
  <c r="AN263" i="53"/>
  <c r="AM263" i="53"/>
  <c r="AL263" i="53"/>
  <c r="AK263" i="53"/>
  <c r="AJ263" i="53"/>
  <c r="AI263" i="53"/>
  <c r="AH263" i="53"/>
  <c r="AG263" i="53"/>
  <c r="AF263" i="53"/>
  <c r="AE263" i="53"/>
  <c r="AD263" i="53"/>
  <c r="BA262" i="53"/>
  <c r="AZ262" i="53"/>
  <c r="AY262" i="53"/>
  <c r="AX262" i="53"/>
  <c r="AW262" i="53"/>
  <c r="AV262" i="53"/>
  <c r="AU262" i="53"/>
  <c r="AT262" i="53"/>
  <c r="AS262" i="53"/>
  <c r="AR262" i="53"/>
  <c r="AQ262" i="53"/>
  <c r="AP262" i="53"/>
  <c r="AO262" i="53"/>
  <c r="AN262" i="53"/>
  <c r="AM262" i="53"/>
  <c r="AL262" i="53"/>
  <c r="AK262" i="53"/>
  <c r="AJ262" i="53"/>
  <c r="AI262" i="53"/>
  <c r="AH262" i="53"/>
  <c r="AG262" i="53"/>
  <c r="AF262" i="53"/>
  <c r="AE262" i="53"/>
  <c r="AD262" i="53"/>
  <c r="BA261" i="53"/>
  <c r="AZ261" i="53"/>
  <c r="AY261" i="53"/>
  <c r="AX261" i="53"/>
  <c r="AW261" i="53"/>
  <c r="AV261" i="53"/>
  <c r="AU261" i="53"/>
  <c r="AT261" i="53"/>
  <c r="AS261" i="53"/>
  <c r="AR261" i="53"/>
  <c r="AQ261" i="53"/>
  <c r="AP261" i="53"/>
  <c r="AO261" i="53"/>
  <c r="AN261" i="53"/>
  <c r="AM261" i="53"/>
  <c r="AL261" i="53"/>
  <c r="AK261" i="53"/>
  <c r="AJ261" i="53"/>
  <c r="AI261" i="53"/>
  <c r="AH261" i="53"/>
  <c r="AG261" i="53"/>
  <c r="AF261" i="53"/>
  <c r="AE261" i="53"/>
  <c r="AD261" i="53"/>
  <c r="BA260" i="53"/>
  <c r="AZ260" i="53"/>
  <c r="AY260" i="53"/>
  <c r="AX260" i="53"/>
  <c r="AW260" i="53"/>
  <c r="AV260" i="53"/>
  <c r="AU260" i="53"/>
  <c r="AT260" i="53"/>
  <c r="AS260" i="53"/>
  <c r="AR260" i="53"/>
  <c r="AQ260" i="53"/>
  <c r="AP260" i="53"/>
  <c r="AO260" i="53"/>
  <c r="AN260" i="53"/>
  <c r="AM260" i="53"/>
  <c r="AL260" i="53"/>
  <c r="AK260" i="53"/>
  <c r="AJ260" i="53"/>
  <c r="AI260" i="53"/>
  <c r="AH260" i="53"/>
  <c r="AG260" i="53"/>
  <c r="AF260" i="53"/>
  <c r="AE260" i="53"/>
  <c r="AD260" i="53"/>
  <c r="BA259" i="53"/>
  <c r="AZ259" i="53"/>
  <c r="AY259" i="53"/>
  <c r="AX259" i="53"/>
  <c r="AW259" i="53"/>
  <c r="AV259" i="53"/>
  <c r="AU259" i="53"/>
  <c r="AT259" i="53"/>
  <c r="AS259" i="53"/>
  <c r="AR259" i="53"/>
  <c r="AQ259" i="53"/>
  <c r="AP259" i="53"/>
  <c r="AO259" i="53"/>
  <c r="AN259" i="53"/>
  <c r="AM259" i="53"/>
  <c r="AL259" i="53"/>
  <c r="AK259" i="53"/>
  <c r="AJ259" i="53"/>
  <c r="AI259" i="53"/>
  <c r="AH259" i="53"/>
  <c r="AG259" i="53"/>
  <c r="AF259" i="53"/>
  <c r="AE259" i="53"/>
  <c r="AD259" i="53"/>
  <c r="BA258" i="53"/>
  <c r="AZ258" i="53"/>
  <c r="AY258" i="53"/>
  <c r="AX258" i="53"/>
  <c r="AW258" i="53"/>
  <c r="AV258" i="53"/>
  <c r="AU258" i="53"/>
  <c r="AT258" i="53"/>
  <c r="AS258" i="53"/>
  <c r="AR258" i="53"/>
  <c r="AQ258" i="53"/>
  <c r="AP258" i="53"/>
  <c r="AO258" i="53"/>
  <c r="AN258" i="53"/>
  <c r="AM258" i="53"/>
  <c r="AL258" i="53"/>
  <c r="AK258" i="53"/>
  <c r="AJ258" i="53"/>
  <c r="AI258" i="53"/>
  <c r="AH258" i="53"/>
  <c r="AG258" i="53"/>
  <c r="AF258" i="53"/>
  <c r="AE258" i="53"/>
  <c r="AD258" i="53"/>
  <c r="BA257" i="53"/>
  <c r="AZ257" i="53"/>
  <c r="AY257" i="53"/>
  <c r="AX257" i="53"/>
  <c r="AW257" i="53"/>
  <c r="AV257" i="53"/>
  <c r="AU257" i="53"/>
  <c r="AT257" i="53"/>
  <c r="AS257" i="53"/>
  <c r="AR257" i="53"/>
  <c r="AQ257" i="53"/>
  <c r="AP257" i="53"/>
  <c r="AO257" i="53"/>
  <c r="AN257" i="53"/>
  <c r="AM257" i="53"/>
  <c r="AL257" i="53"/>
  <c r="AK257" i="53"/>
  <c r="AJ257" i="53"/>
  <c r="AI257" i="53"/>
  <c r="AH257" i="53"/>
  <c r="AG257" i="53"/>
  <c r="AF257" i="53"/>
  <c r="AE257" i="53"/>
  <c r="AD257" i="53"/>
  <c r="BA256" i="53"/>
  <c r="AZ256" i="53"/>
  <c r="AY256" i="53"/>
  <c r="AX256" i="53"/>
  <c r="AW256" i="53"/>
  <c r="AV256" i="53"/>
  <c r="AU256" i="53"/>
  <c r="AT256" i="53"/>
  <c r="AS256" i="53"/>
  <c r="AR256" i="53"/>
  <c r="AQ256" i="53"/>
  <c r="AP256" i="53"/>
  <c r="AO256" i="53"/>
  <c r="AN256" i="53"/>
  <c r="AM256" i="53"/>
  <c r="AL256" i="53"/>
  <c r="AK256" i="53"/>
  <c r="AJ256" i="53"/>
  <c r="AI256" i="53"/>
  <c r="AH256" i="53"/>
  <c r="AG256" i="53"/>
  <c r="AF256" i="53"/>
  <c r="AE256" i="53"/>
  <c r="AD256" i="53"/>
  <c r="AB256" i="53"/>
  <c r="BA255" i="53"/>
  <c r="AZ255" i="53"/>
  <c r="AY255" i="53"/>
  <c r="AX255" i="53"/>
  <c r="AW255" i="53"/>
  <c r="AV255" i="53"/>
  <c r="AU255" i="53"/>
  <c r="AT255" i="53"/>
  <c r="AS255" i="53"/>
  <c r="AR255" i="53"/>
  <c r="AQ255" i="53"/>
  <c r="AP255" i="53"/>
  <c r="AO255" i="53"/>
  <c r="AN255" i="53"/>
  <c r="AM255" i="53"/>
  <c r="AL255" i="53"/>
  <c r="AK255" i="53"/>
  <c r="AJ255" i="53"/>
  <c r="AI255" i="53"/>
  <c r="AH255" i="53"/>
  <c r="AG255" i="53"/>
  <c r="AF255" i="53"/>
  <c r="AE255" i="53"/>
  <c r="AD255" i="53"/>
  <c r="BA254" i="53"/>
  <c r="AZ254" i="53"/>
  <c r="AY254" i="53"/>
  <c r="AX254" i="53"/>
  <c r="AW254" i="53"/>
  <c r="AV254" i="53"/>
  <c r="AU254" i="53"/>
  <c r="AT254" i="53"/>
  <c r="AS254" i="53"/>
  <c r="AR254" i="53"/>
  <c r="AQ254" i="53"/>
  <c r="AP254" i="53"/>
  <c r="AO254" i="53"/>
  <c r="AN254" i="53"/>
  <c r="AM254" i="53"/>
  <c r="AL254" i="53"/>
  <c r="AK254" i="53"/>
  <c r="AJ254" i="53"/>
  <c r="AI254" i="53"/>
  <c r="AH254" i="53"/>
  <c r="AG254" i="53"/>
  <c r="AF254" i="53"/>
  <c r="AE254" i="53"/>
  <c r="AD254" i="53"/>
  <c r="BA253" i="53"/>
  <c r="AZ253" i="53"/>
  <c r="AY253" i="53"/>
  <c r="AX253" i="53"/>
  <c r="AW253" i="53"/>
  <c r="AV253" i="53"/>
  <c r="AU253" i="53"/>
  <c r="AT253" i="53"/>
  <c r="AS253" i="53"/>
  <c r="AR253" i="53"/>
  <c r="AQ253" i="53"/>
  <c r="AP253" i="53"/>
  <c r="AO253" i="53"/>
  <c r="AN253" i="53"/>
  <c r="AM253" i="53"/>
  <c r="AL253" i="53"/>
  <c r="AK253" i="53"/>
  <c r="AJ253" i="53"/>
  <c r="AI253" i="53"/>
  <c r="AH253" i="53"/>
  <c r="AG253" i="53"/>
  <c r="AF253" i="53"/>
  <c r="AE253" i="53"/>
  <c r="AD253" i="53"/>
  <c r="BA252" i="53"/>
  <c r="AZ252" i="53"/>
  <c r="AY252" i="53"/>
  <c r="AX252" i="53"/>
  <c r="AW252" i="53"/>
  <c r="AV252" i="53"/>
  <c r="AU252" i="53"/>
  <c r="AT252" i="53"/>
  <c r="AS252" i="53"/>
  <c r="AR252" i="53"/>
  <c r="AQ252" i="53"/>
  <c r="AP252" i="53"/>
  <c r="AO252" i="53"/>
  <c r="AN252" i="53"/>
  <c r="AM252" i="53"/>
  <c r="AL252" i="53"/>
  <c r="AK252" i="53"/>
  <c r="AJ252" i="53"/>
  <c r="AI252" i="53"/>
  <c r="AH252" i="53"/>
  <c r="AG252" i="53"/>
  <c r="AF252" i="53"/>
  <c r="AE252" i="53"/>
  <c r="AD252" i="53"/>
  <c r="BA251" i="53"/>
  <c r="AZ251" i="53"/>
  <c r="AY251" i="53"/>
  <c r="AX251" i="53"/>
  <c r="AW251" i="53"/>
  <c r="AV251" i="53"/>
  <c r="AU251" i="53"/>
  <c r="AT251" i="53"/>
  <c r="AS251" i="53"/>
  <c r="AR251" i="53"/>
  <c r="AQ251" i="53"/>
  <c r="AP251" i="53"/>
  <c r="AO251" i="53"/>
  <c r="AN251" i="53"/>
  <c r="AM251" i="53"/>
  <c r="AL251" i="53"/>
  <c r="AK251" i="53"/>
  <c r="AJ251" i="53"/>
  <c r="AI251" i="53"/>
  <c r="AH251" i="53"/>
  <c r="AG251" i="53"/>
  <c r="AF251" i="53"/>
  <c r="AE251" i="53"/>
  <c r="AD251" i="53"/>
  <c r="BA250" i="53"/>
  <c r="AZ250" i="53"/>
  <c r="AY250" i="53"/>
  <c r="AX250" i="53"/>
  <c r="AW250" i="53"/>
  <c r="AV250" i="53"/>
  <c r="AU250" i="53"/>
  <c r="AT250" i="53"/>
  <c r="AS250" i="53"/>
  <c r="AR250" i="53"/>
  <c r="AQ250" i="53"/>
  <c r="AP250" i="53"/>
  <c r="AO250" i="53"/>
  <c r="AN250" i="53"/>
  <c r="AM250" i="53"/>
  <c r="AL250" i="53"/>
  <c r="AK250" i="53"/>
  <c r="AJ250" i="53"/>
  <c r="AI250" i="53"/>
  <c r="AH250" i="53"/>
  <c r="AG250" i="53"/>
  <c r="AF250" i="53"/>
  <c r="AE250" i="53"/>
  <c r="AD250" i="53"/>
  <c r="BA249" i="53"/>
  <c r="AZ249" i="53"/>
  <c r="AY249" i="53"/>
  <c r="AX249" i="53"/>
  <c r="AW249" i="53"/>
  <c r="AV249" i="53"/>
  <c r="AU249" i="53"/>
  <c r="AT249" i="53"/>
  <c r="AS249" i="53"/>
  <c r="AR249" i="53"/>
  <c r="AQ249" i="53"/>
  <c r="AP249" i="53"/>
  <c r="AO249" i="53"/>
  <c r="AN249" i="53"/>
  <c r="AM249" i="53"/>
  <c r="AL249" i="53"/>
  <c r="AK249" i="53"/>
  <c r="AJ249" i="53"/>
  <c r="AI249" i="53"/>
  <c r="AH249" i="53"/>
  <c r="AG249" i="53"/>
  <c r="AF249" i="53"/>
  <c r="AE249" i="53"/>
  <c r="AD249" i="53"/>
  <c r="BA248" i="53"/>
  <c r="AZ248" i="53"/>
  <c r="AY248" i="53"/>
  <c r="AX248" i="53"/>
  <c r="AW248" i="53"/>
  <c r="AV248" i="53"/>
  <c r="AU248" i="53"/>
  <c r="AT248" i="53"/>
  <c r="AS248" i="53"/>
  <c r="AR248" i="53"/>
  <c r="AQ248" i="53"/>
  <c r="AP248" i="53"/>
  <c r="AO248" i="53"/>
  <c r="AN248" i="53"/>
  <c r="AM248" i="53"/>
  <c r="AL248" i="53"/>
  <c r="AK248" i="53"/>
  <c r="AJ248" i="53"/>
  <c r="AI248" i="53"/>
  <c r="AH248" i="53"/>
  <c r="AG248" i="53"/>
  <c r="AF248" i="53"/>
  <c r="AE248" i="53"/>
  <c r="AD248" i="53"/>
  <c r="BA247" i="53"/>
  <c r="AZ247" i="53"/>
  <c r="AY247" i="53"/>
  <c r="AX247" i="53"/>
  <c r="AW247" i="53"/>
  <c r="AV247" i="53"/>
  <c r="AU247" i="53"/>
  <c r="AT247" i="53"/>
  <c r="AS247" i="53"/>
  <c r="AR247" i="53"/>
  <c r="AQ247" i="53"/>
  <c r="AP247" i="53"/>
  <c r="AO247" i="53"/>
  <c r="AN247" i="53"/>
  <c r="AM247" i="53"/>
  <c r="AL247" i="53"/>
  <c r="AK247" i="53"/>
  <c r="AJ247" i="53"/>
  <c r="AI247" i="53"/>
  <c r="AH247" i="53"/>
  <c r="AG247" i="53"/>
  <c r="AF247" i="53"/>
  <c r="AE247" i="53"/>
  <c r="AD247" i="53"/>
  <c r="BA246" i="53"/>
  <c r="AZ246" i="53"/>
  <c r="AY246" i="53"/>
  <c r="AX246" i="53"/>
  <c r="AW246" i="53"/>
  <c r="AV246" i="53"/>
  <c r="AU246" i="53"/>
  <c r="AT246" i="53"/>
  <c r="AS246" i="53"/>
  <c r="AR246" i="53"/>
  <c r="AQ246" i="53"/>
  <c r="AP246" i="53"/>
  <c r="AO246" i="53"/>
  <c r="AN246" i="53"/>
  <c r="AM246" i="53"/>
  <c r="AL246" i="53"/>
  <c r="AK246" i="53"/>
  <c r="AJ246" i="53"/>
  <c r="AI246" i="53"/>
  <c r="AH246" i="53"/>
  <c r="AG246" i="53"/>
  <c r="AF246" i="53"/>
  <c r="AE246" i="53"/>
  <c r="AD246" i="53"/>
  <c r="BA245" i="53"/>
  <c r="AZ245" i="53"/>
  <c r="AY245" i="53"/>
  <c r="AX245" i="53"/>
  <c r="AW245" i="53"/>
  <c r="AV245" i="53"/>
  <c r="AU245" i="53"/>
  <c r="AT245" i="53"/>
  <c r="AS245" i="53"/>
  <c r="AR245" i="53"/>
  <c r="AQ245" i="53"/>
  <c r="AP245" i="53"/>
  <c r="AO245" i="53"/>
  <c r="AN245" i="53"/>
  <c r="AM245" i="53"/>
  <c r="AL245" i="53"/>
  <c r="AK245" i="53"/>
  <c r="AJ245" i="53"/>
  <c r="AI245" i="53"/>
  <c r="AH245" i="53"/>
  <c r="AG245" i="53"/>
  <c r="AF245" i="53"/>
  <c r="AE245" i="53"/>
  <c r="AD245" i="53"/>
  <c r="BA244" i="53"/>
  <c r="AZ244" i="53"/>
  <c r="AY244" i="53"/>
  <c r="AX244" i="53"/>
  <c r="AW244" i="53"/>
  <c r="AV244" i="53"/>
  <c r="AU244" i="53"/>
  <c r="AT244" i="53"/>
  <c r="AS244" i="53"/>
  <c r="AR244" i="53"/>
  <c r="AQ244" i="53"/>
  <c r="AP244" i="53"/>
  <c r="AO244" i="53"/>
  <c r="AN244" i="53"/>
  <c r="AM244" i="53"/>
  <c r="AL244" i="53"/>
  <c r="AK244" i="53"/>
  <c r="AJ244" i="53"/>
  <c r="AI244" i="53"/>
  <c r="AH244" i="53"/>
  <c r="AG244" i="53"/>
  <c r="AF244" i="53"/>
  <c r="AE244" i="53"/>
  <c r="AD244" i="53"/>
  <c r="BA243" i="53"/>
  <c r="AZ243" i="53"/>
  <c r="AY243" i="53"/>
  <c r="AX243" i="53"/>
  <c r="AW243" i="53"/>
  <c r="AV243" i="53"/>
  <c r="AU243" i="53"/>
  <c r="AT243" i="53"/>
  <c r="AS243" i="53"/>
  <c r="AR243" i="53"/>
  <c r="AQ243" i="53"/>
  <c r="AP243" i="53"/>
  <c r="AO243" i="53"/>
  <c r="AN243" i="53"/>
  <c r="AM243" i="53"/>
  <c r="AL243" i="53"/>
  <c r="AK243" i="53"/>
  <c r="AJ243" i="53"/>
  <c r="AI243" i="53"/>
  <c r="AH243" i="53"/>
  <c r="AG243" i="53"/>
  <c r="AF243" i="53"/>
  <c r="AE243" i="53"/>
  <c r="AD243" i="53"/>
  <c r="BA242" i="53"/>
  <c r="AZ242" i="53"/>
  <c r="AY242" i="53"/>
  <c r="AX242" i="53"/>
  <c r="AW242" i="53"/>
  <c r="AV242" i="53"/>
  <c r="AU242" i="53"/>
  <c r="AT242" i="53"/>
  <c r="AS242" i="53"/>
  <c r="AR242" i="53"/>
  <c r="AQ242" i="53"/>
  <c r="AP242" i="53"/>
  <c r="AO242" i="53"/>
  <c r="AN242" i="53"/>
  <c r="AM242" i="53"/>
  <c r="AL242" i="53"/>
  <c r="AK242" i="53"/>
  <c r="AJ242" i="53"/>
  <c r="AI242" i="53"/>
  <c r="AH242" i="53"/>
  <c r="AG242" i="53"/>
  <c r="AF242" i="53"/>
  <c r="AE242" i="53"/>
  <c r="AD242" i="53"/>
  <c r="BA241" i="53"/>
  <c r="AZ241" i="53"/>
  <c r="AY241" i="53"/>
  <c r="AX241" i="53"/>
  <c r="AW241" i="53"/>
  <c r="AV241" i="53"/>
  <c r="AU241" i="53"/>
  <c r="AT241" i="53"/>
  <c r="AS241" i="53"/>
  <c r="AR241" i="53"/>
  <c r="AQ241" i="53"/>
  <c r="AP241" i="53"/>
  <c r="AO241" i="53"/>
  <c r="AN241" i="53"/>
  <c r="AM241" i="53"/>
  <c r="AL241" i="53"/>
  <c r="AK241" i="53"/>
  <c r="AJ241" i="53"/>
  <c r="AI241" i="53"/>
  <c r="AH241" i="53"/>
  <c r="AG241" i="53"/>
  <c r="AF241" i="53"/>
  <c r="AE241" i="53"/>
  <c r="AD241" i="53"/>
  <c r="BA240" i="53"/>
  <c r="AZ240" i="53"/>
  <c r="AY240" i="53"/>
  <c r="AX240" i="53"/>
  <c r="AW240" i="53"/>
  <c r="AV240" i="53"/>
  <c r="AU240" i="53"/>
  <c r="AT240" i="53"/>
  <c r="AS240" i="53"/>
  <c r="AR240" i="53"/>
  <c r="AQ240" i="53"/>
  <c r="AP240" i="53"/>
  <c r="AO240" i="53"/>
  <c r="AN240" i="53"/>
  <c r="AM240" i="53"/>
  <c r="AL240" i="53"/>
  <c r="AK240" i="53"/>
  <c r="AJ240" i="53"/>
  <c r="AI240" i="53"/>
  <c r="AH240" i="53"/>
  <c r="AG240" i="53"/>
  <c r="AF240" i="53"/>
  <c r="AE240" i="53"/>
  <c r="AD240" i="53"/>
  <c r="BA239" i="53"/>
  <c r="AZ239" i="53"/>
  <c r="AY239" i="53"/>
  <c r="AX239" i="53"/>
  <c r="AW239" i="53"/>
  <c r="AV239" i="53"/>
  <c r="AU239" i="53"/>
  <c r="AT239" i="53"/>
  <c r="AS239" i="53"/>
  <c r="AR239" i="53"/>
  <c r="AQ239" i="53"/>
  <c r="AP239" i="53"/>
  <c r="AO239" i="53"/>
  <c r="AN239" i="53"/>
  <c r="AM239" i="53"/>
  <c r="AL239" i="53"/>
  <c r="AK239" i="53"/>
  <c r="AJ239" i="53"/>
  <c r="AI239" i="53"/>
  <c r="AH239" i="53"/>
  <c r="AG239" i="53"/>
  <c r="AF239" i="53"/>
  <c r="AE239" i="53"/>
  <c r="AD239" i="53"/>
  <c r="BA238" i="53"/>
  <c r="AZ238" i="53"/>
  <c r="AY238" i="53"/>
  <c r="AX238" i="53"/>
  <c r="AW238" i="53"/>
  <c r="AV238" i="53"/>
  <c r="AU238" i="53"/>
  <c r="AT238" i="53"/>
  <c r="AS238" i="53"/>
  <c r="AR238" i="53"/>
  <c r="AQ238" i="53"/>
  <c r="AP238" i="53"/>
  <c r="AO238" i="53"/>
  <c r="AN238" i="53"/>
  <c r="AM238" i="53"/>
  <c r="AL238" i="53"/>
  <c r="AK238" i="53"/>
  <c r="AJ238" i="53"/>
  <c r="AI238" i="53"/>
  <c r="AH238" i="53"/>
  <c r="AG238" i="53"/>
  <c r="AF238" i="53"/>
  <c r="AE238" i="53"/>
  <c r="AD238" i="53"/>
  <c r="BA237" i="53"/>
  <c r="AZ237" i="53"/>
  <c r="AY237" i="53"/>
  <c r="AX237" i="53"/>
  <c r="AW237" i="53"/>
  <c r="AV237" i="53"/>
  <c r="AU237" i="53"/>
  <c r="AT237" i="53"/>
  <c r="AS237" i="53"/>
  <c r="AR237" i="53"/>
  <c r="AQ237" i="53"/>
  <c r="AP237" i="53"/>
  <c r="AO237" i="53"/>
  <c r="AN237" i="53"/>
  <c r="AM237" i="53"/>
  <c r="AL237" i="53"/>
  <c r="AK237" i="53"/>
  <c r="AJ237" i="53"/>
  <c r="AI237" i="53"/>
  <c r="AH237" i="53"/>
  <c r="AG237" i="53"/>
  <c r="AF237" i="53"/>
  <c r="AE237" i="53"/>
  <c r="AD237" i="53"/>
  <c r="BA236" i="53"/>
  <c r="AZ236" i="53"/>
  <c r="AY236" i="53"/>
  <c r="AX236" i="53"/>
  <c r="AW236" i="53"/>
  <c r="AV236" i="53"/>
  <c r="AU236" i="53"/>
  <c r="AT236" i="53"/>
  <c r="AS236" i="53"/>
  <c r="AR236" i="53"/>
  <c r="AQ236" i="53"/>
  <c r="AP236" i="53"/>
  <c r="AO236" i="53"/>
  <c r="AN236" i="53"/>
  <c r="AM236" i="53"/>
  <c r="AL236" i="53"/>
  <c r="AK236" i="53"/>
  <c r="AJ236" i="53"/>
  <c r="AI236" i="53"/>
  <c r="AH236" i="53"/>
  <c r="AG236" i="53"/>
  <c r="AF236" i="53"/>
  <c r="AE236" i="53"/>
  <c r="AD236" i="53"/>
  <c r="BA235" i="53"/>
  <c r="AZ235" i="53"/>
  <c r="AY235" i="53"/>
  <c r="AX235" i="53"/>
  <c r="AW235" i="53"/>
  <c r="AV235" i="53"/>
  <c r="AU235" i="53"/>
  <c r="AT235" i="53"/>
  <c r="AS235" i="53"/>
  <c r="AR235" i="53"/>
  <c r="AQ235" i="53"/>
  <c r="AP235" i="53"/>
  <c r="AO235" i="53"/>
  <c r="AN235" i="53"/>
  <c r="AM235" i="53"/>
  <c r="AL235" i="53"/>
  <c r="AK235" i="53"/>
  <c r="AJ235" i="53"/>
  <c r="AI235" i="53"/>
  <c r="AH235" i="53"/>
  <c r="AG235" i="53"/>
  <c r="AF235" i="53"/>
  <c r="AE235" i="53"/>
  <c r="AD235" i="53"/>
  <c r="BA234" i="53"/>
  <c r="AZ234" i="53"/>
  <c r="AY234" i="53"/>
  <c r="AX234" i="53"/>
  <c r="AW234" i="53"/>
  <c r="AV234" i="53"/>
  <c r="AU234" i="53"/>
  <c r="AT234" i="53"/>
  <c r="AS234" i="53"/>
  <c r="AR234" i="53"/>
  <c r="AQ234" i="53"/>
  <c r="AP234" i="53"/>
  <c r="AO234" i="53"/>
  <c r="AN234" i="53"/>
  <c r="AM234" i="53"/>
  <c r="AL234" i="53"/>
  <c r="AK234" i="53"/>
  <c r="AJ234" i="53"/>
  <c r="AI234" i="53"/>
  <c r="AH234" i="53"/>
  <c r="AG234" i="53"/>
  <c r="AF234" i="53"/>
  <c r="AE234" i="53"/>
  <c r="AD234" i="53"/>
  <c r="BA233" i="53"/>
  <c r="AZ233" i="53"/>
  <c r="AY233" i="53"/>
  <c r="AX233" i="53"/>
  <c r="AW233" i="53"/>
  <c r="AV233" i="53"/>
  <c r="AU233" i="53"/>
  <c r="AT233" i="53"/>
  <c r="AS233" i="53"/>
  <c r="AR233" i="53"/>
  <c r="AQ233" i="53"/>
  <c r="AP233" i="53"/>
  <c r="AO233" i="53"/>
  <c r="AN233" i="53"/>
  <c r="AM233" i="53"/>
  <c r="AL233" i="53"/>
  <c r="AK233" i="53"/>
  <c r="AJ233" i="53"/>
  <c r="AI233" i="53"/>
  <c r="AH233" i="53"/>
  <c r="AG233" i="53"/>
  <c r="AF233" i="53"/>
  <c r="AE233" i="53"/>
  <c r="AD233" i="53"/>
  <c r="BA232" i="53"/>
  <c r="AZ232" i="53"/>
  <c r="AY232" i="53"/>
  <c r="AX232" i="53"/>
  <c r="AW232" i="53"/>
  <c r="AV232" i="53"/>
  <c r="AU232" i="53"/>
  <c r="AT232" i="53"/>
  <c r="AS232" i="53"/>
  <c r="AR232" i="53"/>
  <c r="AQ232" i="53"/>
  <c r="AP232" i="53"/>
  <c r="AO232" i="53"/>
  <c r="AN232" i="53"/>
  <c r="AM232" i="53"/>
  <c r="AL232" i="53"/>
  <c r="AK232" i="53"/>
  <c r="AJ232" i="53"/>
  <c r="AI232" i="53"/>
  <c r="AH232" i="53"/>
  <c r="AG232" i="53"/>
  <c r="AF232" i="53"/>
  <c r="AE232" i="53"/>
  <c r="AD232" i="53"/>
  <c r="BA231" i="53"/>
  <c r="AZ231" i="53"/>
  <c r="AY231" i="53"/>
  <c r="AX231" i="53"/>
  <c r="AW231" i="53"/>
  <c r="AV231" i="53"/>
  <c r="AU231" i="53"/>
  <c r="AT231" i="53"/>
  <c r="AS231" i="53"/>
  <c r="AR231" i="53"/>
  <c r="AQ231" i="53"/>
  <c r="AP231" i="53"/>
  <c r="AO231" i="53"/>
  <c r="AN231" i="53"/>
  <c r="AM231" i="53"/>
  <c r="AL231" i="53"/>
  <c r="AK231" i="53"/>
  <c r="AJ231" i="53"/>
  <c r="AI231" i="53"/>
  <c r="AH231" i="53"/>
  <c r="AG231" i="53"/>
  <c r="AF231" i="53"/>
  <c r="AE231" i="53"/>
  <c r="AD231" i="53"/>
  <c r="BA230" i="53"/>
  <c r="AZ230" i="53"/>
  <c r="AY230" i="53"/>
  <c r="AX230" i="53"/>
  <c r="AW230" i="53"/>
  <c r="AV230" i="53"/>
  <c r="AU230" i="53"/>
  <c r="AT230" i="53"/>
  <c r="AS230" i="53"/>
  <c r="AR230" i="53"/>
  <c r="AQ230" i="53"/>
  <c r="AP230" i="53"/>
  <c r="AO230" i="53"/>
  <c r="AN230" i="53"/>
  <c r="AM230" i="53"/>
  <c r="AL230" i="53"/>
  <c r="AK230" i="53"/>
  <c r="AJ230" i="53"/>
  <c r="AI230" i="53"/>
  <c r="AH230" i="53"/>
  <c r="AG230" i="53"/>
  <c r="AF230" i="53"/>
  <c r="AE230" i="53"/>
  <c r="AD230" i="53"/>
  <c r="BA229" i="53"/>
  <c r="AZ229" i="53"/>
  <c r="AY229" i="53"/>
  <c r="AX229" i="53"/>
  <c r="AW229" i="53"/>
  <c r="AV229" i="53"/>
  <c r="AU229" i="53"/>
  <c r="AT229" i="53"/>
  <c r="AS229" i="53"/>
  <c r="AR229" i="53"/>
  <c r="AQ229" i="53"/>
  <c r="AP229" i="53"/>
  <c r="AO229" i="53"/>
  <c r="AN229" i="53"/>
  <c r="AM229" i="53"/>
  <c r="AL229" i="53"/>
  <c r="AK229" i="53"/>
  <c r="AJ229" i="53"/>
  <c r="AI229" i="53"/>
  <c r="AH229" i="53"/>
  <c r="AG229" i="53"/>
  <c r="AF229" i="53"/>
  <c r="AE229" i="53"/>
  <c r="AD229" i="53"/>
  <c r="BA228" i="53"/>
  <c r="AZ228" i="53"/>
  <c r="AY228" i="53"/>
  <c r="AX228" i="53"/>
  <c r="AW228" i="53"/>
  <c r="AV228" i="53"/>
  <c r="AU228" i="53"/>
  <c r="AT228" i="53"/>
  <c r="AS228" i="53"/>
  <c r="AR228" i="53"/>
  <c r="AQ228" i="53"/>
  <c r="AP228" i="53"/>
  <c r="AO228" i="53"/>
  <c r="AN228" i="53"/>
  <c r="AM228" i="53"/>
  <c r="AL228" i="53"/>
  <c r="AK228" i="53"/>
  <c r="AJ228" i="53"/>
  <c r="AI228" i="53"/>
  <c r="AH228" i="53"/>
  <c r="AG228" i="53"/>
  <c r="AF228" i="53"/>
  <c r="AE228" i="53"/>
  <c r="AD228" i="53"/>
  <c r="BA227" i="53"/>
  <c r="AZ227" i="53"/>
  <c r="AY227" i="53"/>
  <c r="AX227" i="53"/>
  <c r="AW227" i="53"/>
  <c r="AV227" i="53"/>
  <c r="AU227" i="53"/>
  <c r="AT227" i="53"/>
  <c r="AS227" i="53"/>
  <c r="AR227" i="53"/>
  <c r="AQ227" i="53"/>
  <c r="AP227" i="53"/>
  <c r="AO227" i="53"/>
  <c r="AN227" i="53"/>
  <c r="AM227" i="53"/>
  <c r="AL227" i="53"/>
  <c r="AK227" i="53"/>
  <c r="AJ227" i="53"/>
  <c r="AI227" i="53"/>
  <c r="AH227" i="53"/>
  <c r="AG227" i="53"/>
  <c r="AF227" i="53"/>
  <c r="AE227" i="53"/>
  <c r="AD227" i="53"/>
  <c r="BA226" i="53"/>
  <c r="AZ226" i="53"/>
  <c r="AY226" i="53"/>
  <c r="AX226" i="53"/>
  <c r="AW226" i="53"/>
  <c r="AV226" i="53"/>
  <c r="AU226" i="53"/>
  <c r="AT226" i="53"/>
  <c r="AS226" i="53"/>
  <c r="AR226" i="53"/>
  <c r="AQ226" i="53"/>
  <c r="AP226" i="53"/>
  <c r="AO226" i="53"/>
  <c r="AN226" i="53"/>
  <c r="AM226" i="53"/>
  <c r="AL226" i="53"/>
  <c r="AK226" i="53"/>
  <c r="AJ226" i="53"/>
  <c r="AI226" i="53"/>
  <c r="AH226" i="53"/>
  <c r="AG226" i="53"/>
  <c r="AF226" i="53"/>
  <c r="AE226" i="53"/>
  <c r="AD226" i="53"/>
  <c r="BA225" i="53"/>
  <c r="AZ225" i="53"/>
  <c r="AY225" i="53"/>
  <c r="AX225" i="53"/>
  <c r="AW225" i="53"/>
  <c r="AV225" i="53"/>
  <c r="AU225" i="53"/>
  <c r="AT225" i="53"/>
  <c r="AS225" i="53"/>
  <c r="AR225" i="53"/>
  <c r="AQ225" i="53"/>
  <c r="AP225" i="53"/>
  <c r="AO225" i="53"/>
  <c r="AN225" i="53"/>
  <c r="AM225" i="53"/>
  <c r="AL225" i="53"/>
  <c r="AK225" i="53"/>
  <c r="AJ225" i="53"/>
  <c r="AI225" i="53"/>
  <c r="AH225" i="53"/>
  <c r="AG225" i="53"/>
  <c r="AF225" i="53"/>
  <c r="AE225" i="53"/>
  <c r="AD225" i="53"/>
  <c r="AB225" i="53"/>
  <c r="BA224" i="53"/>
  <c r="AZ224" i="53"/>
  <c r="AY224" i="53"/>
  <c r="AX224" i="53"/>
  <c r="AW224" i="53"/>
  <c r="AV224" i="53"/>
  <c r="AU224" i="53"/>
  <c r="AT224" i="53"/>
  <c r="AS224" i="53"/>
  <c r="AR224" i="53"/>
  <c r="AQ224" i="53"/>
  <c r="AP224" i="53"/>
  <c r="AO224" i="53"/>
  <c r="AN224" i="53"/>
  <c r="AM224" i="53"/>
  <c r="AL224" i="53"/>
  <c r="AK224" i="53"/>
  <c r="AJ224" i="53"/>
  <c r="AI224" i="53"/>
  <c r="AH224" i="53"/>
  <c r="AG224" i="53"/>
  <c r="AF224" i="53"/>
  <c r="AE224" i="53"/>
  <c r="AD224" i="53"/>
  <c r="BA223" i="53"/>
  <c r="AZ223" i="53"/>
  <c r="AY223" i="53"/>
  <c r="AX223" i="53"/>
  <c r="AW223" i="53"/>
  <c r="AV223" i="53"/>
  <c r="AU223" i="53"/>
  <c r="AT223" i="53"/>
  <c r="AS223" i="53"/>
  <c r="AR223" i="53"/>
  <c r="AQ223" i="53"/>
  <c r="AP223" i="53"/>
  <c r="AO223" i="53"/>
  <c r="AN223" i="53"/>
  <c r="AM223" i="53"/>
  <c r="AL223" i="53"/>
  <c r="AK223" i="53"/>
  <c r="AJ223" i="53"/>
  <c r="AI223" i="53"/>
  <c r="AH223" i="53"/>
  <c r="AG223" i="53"/>
  <c r="AF223" i="53"/>
  <c r="AE223" i="53"/>
  <c r="AD223" i="53"/>
  <c r="BA222" i="53"/>
  <c r="AZ222" i="53"/>
  <c r="AY222" i="53"/>
  <c r="AX222" i="53"/>
  <c r="AW222" i="53"/>
  <c r="AV222" i="53"/>
  <c r="AU222" i="53"/>
  <c r="AT222" i="53"/>
  <c r="AS222" i="53"/>
  <c r="AR222" i="53"/>
  <c r="AQ222" i="53"/>
  <c r="AP222" i="53"/>
  <c r="AO222" i="53"/>
  <c r="AN222" i="53"/>
  <c r="AM222" i="53"/>
  <c r="AL222" i="53"/>
  <c r="AK222" i="53"/>
  <c r="AJ222" i="53"/>
  <c r="AI222" i="53"/>
  <c r="AH222" i="53"/>
  <c r="AG222" i="53"/>
  <c r="AF222" i="53"/>
  <c r="AE222" i="53"/>
  <c r="AD222" i="53"/>
  <c r="BA221" i="53"/>
  <c r="AZ221" i="53"/>
  <c r="AY221" i="53"/>
  <c r="AX221" i="53"/>
  <c r="AW221" i="53"/>
  <c r="AV221" i="53"/>
  <c r="AU221" i="53"/>
  <c r="AT221" i="53"/>
  <c r="AS221" i="53"/>
  <c r="AR221" i="53"/>
  <c r="AQ221" i="53"/>
  <c r="AP221" i="53"/>
  <c r="AO221" i="53"/>
  <c r="AN221" i="53"/>
  <c r="AM221" i="53"/>
  <c r="AL221" i="53"/>
  <c r="AK221" i="53"/>
  <c r="AJ221" i="53"/>
  <c r="AI221" i="53"/>
  <c r="AH221" i="53"/>
  <c r="AG221" i="53"/>
  <c r="AF221" i="53"/>
  <c r="AE221" i="53"/>
  <c r="AD221" i="53"/>
  <c r="BA220" i="53"/>
  <c r="AZ220" i="53"/>
  <c r="AY220" i="53"/>
  <c r="AX220" i="53"/>
  <c r="AW220" i="53"/>
  <c r="AV220" i="53"/>
  <c r="AU220" i="53"/>
  <c r="AT220" i="53"/>
  <c r="AS220" i="53"/>
  <c r="AR220" i="53"/>
  <c r="AQ220" i="53"/>
  <c r="AP220" i="53"/>
  <c r="AO220" i="53"/>
  <c r="AN220" i="53"/>
  <c r="AM220" i="53"/>
  <c r="AL220" i="53"/>
  <c r="AK220" i="53"/>
  <c r="AJ220" i="53"/>
  <c r="AI220" i="53"/>
  <c r="AH220" i="53"/>
  <c r="AG220" i="53"/>
  <c r="AF220" i="53"/>
  <c r="AE220" i="53"/>
  <c r="AD220" i="53"/>
  <c r="BA219" i="53"/>
  <c r="AZ219" i="53"/>
  <c r="AY219" i="53"/>
  <c r="AX219" i="53"/>
  <c r="AW219" i="53"/>
  <c r="AV219" i="53"/>
  <c r="AU219" i="53"/>
  <c r="AT219" i="53"/>
  <c r="AS219" i="53"/>
  <c r="AR219" i="53"/>
  <c r="AQ219" i="53"/>
  <c r="AP219" i="53"/>
  <c r="AO219" i="53"/>
  <c r="AN219" i="53"/>
  <c r="AM219" i="53"/>
  <c r="AL219" i="53"/>
  <c r="AK219" i="53"/>
  <c r="AJ219" i="53"/>
  <c r="AI219" i="53"/>
  <c r="AH219" i="53"/>
  <c r="AG219" i="53"/>
  <c r="AF219" i="53"/>
  <c r="AE219" i="53"/>
  <c r="AD219" i="53"/>
  <c r="BA218" i="53"/>
  <c r="AZ218" i="53"/>
  <c r="AY218" i="53"/>
  <c r="AX218" i="53"/>
  <c r="AW218" i="53"/>
  <c r="AV218" i="53"/>
  <c r="AU218" i="53"/>
  <c r="AT218" i="53"/>
  <c r="AS218" i="53"/>
  <c r="AR218" i="53"/>
  <c r="AQ218" i="53"/>
  <c r="AP218" i="53"/>
  <c r="AO218" i="53"/>
  <c r="AN218" i="53"/>
  <c r="AM218" i="53"/>
  <c r="AL218" i="53"/>
  <c r="AK218" i="53"/>
  <c r="AJ218" i="53"/>
  <c r="AI218" i="53"/>
  <c r="AH218" i="53"/>
  <c r="AG218" i="53"/>
  <c r="AF218" i="53"/>
  <c r="AE218" i="53"/>
  <c r="AD218" i="53"/>
  <c r="BA217" i="53"/>
  <c r="AZ217" i="53"/>
  <c r="AY217" i="53"/>
  <c r="AX217" i="53"/>
  <c r="AW217" i="53"/>
  <c r="AV217" i="53"/>
  <c r="AU217" i="53"/>
  <c r="AT217" i="53"/>
  <c r="AS217" i="53"/>
  <c r="AR217" i="53"/>
  <c r="AQ217" i="53"/>
  <c r="AP217" i="53"/>
  <c r="AO217" i="53"/>
  <c r="AN217" i="53"/>
  <c r="AM217" i="53"/>
  <c r="AL217" i="53"/>
  <c r="AK217" i="53"/>
  <c r="AJ217" i="53"/>
  <c r="AI217" i="53"/>
  <c r="AH217" i="53"/>
  <c r="AG217" i="53"/>
  <c r="AF217" i="53"/>
  <c r="AE217" i="53"/>
  <c r="AD217" i="53"/>
  <c r="BA216" i="53"/>
  <c r="AZ216" i="53"/>
  <c r="AY216" i="53"/>
  <c r="AX216" i="53"/>
  <c r="AW216" i="53"/>
  <c r="AV216" i="53"/>
  <c r="AU216" i="53"/>
  <c r="AT216" i="53"/>
  <c r="AS216" i="53"/>
  <c r="AR216" i="53"/>
  <c r="AQ216" i="53"/>
  <c r="AP216" i="53"/>
  <c r="AO216" i="53"/>
  <c r="AN216" i="53"/>
  <c r="AM216" i="53"/>
  <c r="AL216" i="53"/>
  <c r="AK216" i="53"/>
  <c r="AJ216" i="53"/>
  <c r="AI216" i="53"/>
  <c r="AH216" i="53"/>
  <c r="AG216" i="53"/>
  <c r="AF216" i="53"/>
  <c r="AE216" i="53"/>
  <c r="AD216" i="53"/>
  <c r="BA215" i="53"/>
  <c r="AZ215" i="53"/>
  <c r="AY215" i="53"/>
  <c r="AX215" i="53"/>
  <c r="AW215" i="53"/>
  <c r="AV215" i="53"/>
  <c r="AU215" i="53"/>
  <c r="AT215" i="53"/>
  <c r="AS215" i="53"/>
  <c r="AR215" i="53"/>
  <c r="AQ215" i="53"/>
  <c r="AP215" i="53"/>
  <c r="AO215" i="53"/>
  <c r="AN215" i="53"/>
  <c r="AM215" i="53"/>
  <c r="AL215" i="53"/>
  <c r="AK215" i="53"/>
  <c r="AJ215" i="53"/>
  <c r="AI215" i="53"/>
  <c r="AH215" i="53"/>
  <c r="AG215" i="53"/>
  <c r="AF215" i="53"/>
  <c r="AE215" i="53"/>
  <c r="AD215" i="53"/>
  <c r="BA214" i="53"/>
  <c r="AZ214" i="53"/>
  <c r="AY214" i="53"/>
  <c r="AX214" i="53"/>
  <c r="AW214" i="53"/>
  <c r="AV214" i="53"/>
  <c r="AU214" i="53"/>
  <c r="AT214" i="53"/>
  <c r="AS214" i="53"/>
  <c r="AR214" i="53"/>
  <c r="AQ214" i="53"/>
  <c r="AP214" i="53"/>
  <c r="AO214" i="53"/>
  <c r="AN214" i="53"/>
  <c r="AM214" i="53"/>
  <c r="AL214" i="53"/>
  <c r="AK214" i="53"/>
  <c r="AJ214" i="53"/>
  <c r="AI214" i="53"/>
  <c r="AH214" i="53"/>
  <c r="AG214" i="53"/>
  <c r="AF214" i="53"/>
  <c r="AE214" i="53"/>
  <c r="AD214" i="53"/>
  <c r="BA213" i="53"/>
  <c r="AZ213" i="53"/>
  <c r="AY213" i="53"/>
  <c r="AX213" i="53"/>
  <c r="AW213" i="53"/>
  <c r="AV213" i="53"/>
  <c r="AU213" i="53"/>
  <c r="AT213" i="53"/>
  <c r="AS213" i="53"/>
  <c r="AR213" i="53"/>
  <c r="AQ213" i="53"/>
  <c r="AP213" i="53"/>
  <c r="AO213" i="53"/>
  <c r="AN213" i="53"/>
  <c r="AM213" i="53"/>
  <c r="AL213" i="53"/>
  <c r="AK213" i="53"/>
  <c r="AJ213" i="53"/>
  <c r="AI213" i="53"/>
  <c r="AH213" i="53"/>
  <c r="AG213" i="53"/>
  <c r="AF213" i="53"/>
  <c r="AE213" i="53"/>
  <c r="AD213" i="53"/>
  <c r="BA212" i="53"/>
  <c r="AZ212" i="53"/>
  <c r="AY212" i="53"/>
  <c r="AX212" i="53"/>
  <c r="AW212" i="53"/>
  <c r="AV212" i="53"/>
  <c r="AU212" i="53"/>
  <c r="AT212" i="53"/>
  <c r="AS212" i="53"/>
  <c r="AR212" i="53"/>
  <c r="AQ212" i="53"/>
  <c r="AP212" i="53"/>
  <c r="AO212" i="53"/>
  <c r="AN212" i="53"/>
  <c r="AM212" i="53"/>
  <c r="AL212" i="53"/>
  <c r="AK212" i="53"/>
  <c r="AJ212" i="53"/>
  <c r="AI212" i="53"/>
  <c r="AH212" i="53"/>
  <c r="AG212" i="53"/>
  <c r="AF212" i="53"/>
  <c r="AE212" i="53"/>
  <c r="AD212" i="53"/>
  <c r="BA211" i="53"/>
  <c r="AZ211" i="53"/>
  <c r="AY211" i="53"/>
  <c r="AX211" i="53"/>
  <c r="AW211" i="53"/>
  <c r="AV211" i="53"/>
  <c r="AU211" i="53"/>
  <c r="AT211" i="53"/>
  <c r="AS211" i="53"/>
  <c r="AR211" i="53"/>
  <c r="AQ211" i="53"/>
  <c r="AP211" i="53"/>
  <c r="AO211" i="53"/>
  <c r="AN211" i="53"/>
  <c r="AM211" i="53"/>
  <c r="AL211" i="53"/>
  <c r="AK211" i="53"/>
  <c r="AJ211" i="53"/>
  <c r="AI211" i="53"/>
  <c r="AH211" i="53"/>
  <c r="AG211" i="53"/>
  <c r="AF211" i="53"/>
  <c r="AE211" i="53"/>
  <c r="AD211" i="53"/>
  <c r="BA210" i="53"/>
  <c r="AZ210" i="53"/>
  <c r="AY210" i="53"/>
  <c r="AX210" i="53"/>
  <c r="AW210" i="53"/>
  <c r="AV210" i="53"/>
  <c r="AU210" i="53"/>
  <c r="AT210" i="53"/>
  <c r="AS210" i="53"/>
  <c r="AR210" i="53"/>
  <c r="AQ210" i="53"/>
  <c r="AP210" i="53"/>
  <c r="AO210" i="53"/>
  <c r="AN210" i="53"/>
  <c r="AM210" i="53"/>
  <c r="AL210" i="53"/>
  <c r="AK210" i="53"/>
  <c r="AJ210" i="53"/>
  <c r="AI210" i="53"/>
  <c r="AH210" i="53"/>
  <c r="AG210" i="53"/>
  <c r="AF210" i="53"/>
  <c r="AE210" i="53"/>
  <c r="AD210" i="53"/>
  <c r="BA209" i="53"/>
  <c r="AZ209" i="53"/>
  <c r="AY209" i="53"/>
  <c r="AX209" i="53"/>
  <c r="AW209" i="53"/>
  <c r="AV209" i="53"/>
  <c r="AU209" i="53"/>
  <c r="AT209" i="53"/>
  <c r="AS209" i="53"/>
  <c r="AR209" i="53"/>
  <c r="AQ209" i="53"/>
  <c r="AP209" i="53"/>
  <c r="AO209" i="53"/>
  <c r="AN209" i="53"/>
  <c r="AM209" i="53"/>
  <c r="AL209" i="53"/>
  <c r="AK209" i="53"/>
  <c r="AJ209" i="53"/>
  <c r="AI209" i="53"/>
  <c r="AH209" i="53"/>
  <c r="AG209" i="53"/>
  <c r="AF209" i="53"/>
  <c r="AE209" i="53"/>
  <c r="AD209" i="53"/>
  <c r="BA208" i="53"/>
  <c r="AZ208" i="53"/>
  <c r="AY208" i="53"/>
  <c r="AX208" i="53"/>
  <c r="AW208" i="53"/>
  <c r="AV208" i="53"/>
  <c r="AU208" i="53"/>
  <c r="AT208" i="53"/>
  <c r="AS208" i="53"/>
  <c r="AR208" i="53"/>
  <c r="AQ208" i="53"/>
  <c r="AP208" i="53"/>
  <c r="AO208" i="53"/>
  <c r="AN208" i="53"/>
  <c r="AM208" i="53"/>
  <c r="AL208" i="53"/>
  <c r="AK208" i="53"/>
  <c r="AJ208" i="53"/>
  <c r="AI208" i="53"/>
  <c r="AH208" i="53"/>
  <c r="AG208" i="53"/>
  <c r="AF208" i="53"/>
  <c r="AE208" i="53"/>
  <c r="AD208" i="53"/>
  <c r="BA207" i="53"/>
  <c r="AZ207" i="53"/>
  <c r="AY207" i="53"/>
  <c r="AX207" i="53"/>
  <c r="AW207" i="53"/>
  <c r="AV207" i="53"/>
  <c r="AU207" i="53"/>
  <c r="AT207" i="53"/>
  <c r="AS207" i="53"/>
  <c r="AR207" i="53"/>
  <c r="AQ207" i="53"/>
  <c r="AP207" i="53"/>
  <c r="AO207" i="53"/>
  <c r="AN207" i="53"/>
  <c r="AM207" i="53"/>
  <c r="AL207" i="53"/>
  <c r="AK207" i="53"/>
  <c r="AJ207" i="53"/>
  <c r="AI207" i="53"/>
  <c r="AH207" i="53"/>
  <c r="AG207" i="53"/>
  <c r="AF207" i="53"/>
  <c r="AE207" i="53"/>
  <c r="AD207" i="53"/>
  <c r="BA206" i="53"/>
  <c r="AZ206" i="53"/>
  <c r="AY206" i="53"/>
  <c r="AX206" i="53"/>
  <c r="AW206" i="53"/>
  <c r="AV206" i="53"/>
  <c r="AU206" i="53"/>
  <c r="AT206" i="53"/>
  <c r="AS206" i="53"/>
  <c r="AR206" i="53"/>
  <c r="AQ206" i="53"/>
  <c r="AP206" i="53"/>
  <c r="AO206" i="53"/>
  <c r="AN206" i="53"/>
  <c r="AM206" i="53"/>
  <c r="AL206" i="53"/>
  <c r="AK206" i="53"/>
  <c r="AJ206" i="53"/>
  <c r="AI206" i="53"/>
  <c r="AH206" i="53"/>
  <c r="AG206" i="53"/>
  <c r="AF206" i="53"/>
  <c r="AE206" i="53"/>
  <c r="AD206" i="53"/>
  <c r="BA205" i="53"/>
  <c r="AZ205" i="53"/>
  <c r="AY205" i="53"/>
  <c r="AX205" i="53"/>
  <c r="AW205" i="53"/>
  <c r="AV205" i="53"/>
  <c r="AU205" i="53"/>
  <c r="AT205" i="53"/>
  <c r="AS205" i="53"/>
  <c r="AR205" i="53"/>
  <c r="AQ205" i="53"/>
  <c r="AP205" i="53"/>
  <c r="AO205" i="53"/>
  <c r="AN205" i="53"/>
  <c r="AM205" i="53"/>
  <c r="AL205" i="53"/>
  <c r="AK205" i="53"/>
  <c r="AJ205" i="53"/>
  <c r="AI205" i="53"/>
  <c r="AH205" i="53"/>
  <c r="AG205" i="53"/>
  <c r="AF205" i="53"/>
  <c r="AE205" i="53"/>
  <c r="AD205" i="53"/>
  <c r="BA204" i="53"/>
  <c r="AZ204" i="53"/>
  <c r="AY204" i="53"/>
  <c r="AX204" i="53"/>
  <c r="AW204" i="53"/>
  <c r="AV204" i="53"/>
  <c r="AU204" i="53"/>
  <c r="AT204" i="53"/>
  <c r="AS204" i="53"/>
  <c r="AR204" i="53"/>
  <c r="AQ204" i="53"/>
  <c r="AP204" i="53"/>
  <c r="AO204" i="53"/>
  <c r="AN204" i="53"/>
  <c r="AM204" i="53"/>
  <c r="AL204" i="53"/>
  <c r="AK204" i="53"/>
  <c r="AJ204" i="53"/>
  <c r="AI204" i="53"/>
  <c r="AH204" i="53"/>
  <c r="AG204" i="53"/>
  <c r="AF204" i="53"/>
  <c r="AE204" i="53"/>
  <c r="AD204" i="53"/>
  <c r="BA203" i="53"/>
  <c r="AZ203" i="53"/>
  <c r="AY203" i="53"/>
  <c r="AX203" i="53"/>
  <c r="AW203" i="53"/>
  <c r="AV203" i="53"/>
  <c r="AU203" i="53"/>
  <c r="AT203" i="53"/>
  <c r="AS203" i="53"/>
  <c r="AR203" i="53"/>
  <c r="AQ203" i="53"/>
  <c r="AP203" i="53"/>
  <c r="AO203" i="53"/>
  <c r="AN203" i="53"/>
  <c r="AM203" i="53"/>
  <c r="AL203" i="53"/>
  <c r="AK203" i="53"/>
  <c r="AJ203" i="53"/>
  <c r="AI203" i="53"/>
  <c r="AH203" i="53"/>
  <c r="AG203" i="53"/>
  <c r="AF203" i="53"/>
  <c r="AE203" i="53"/>
  <c r="AD203" i="53"/>
  <c r="BA202" i="53"/>
  <c r="AZ202" i="53"/>
  <c r="AY202" i="53"/>
  <c r="AX202" i="53"/>
  <c r="AW202" i="53"/>
  <c r="AV202" i="53"/>
  <c r="AU202" i="53"/>
  <c r="AT202" i="53"/>
  <c r="AS202" i="53"/>
  <c r="AR202" i="53"/>
  <c r="AQ202" i="53"/>
  <c r="AP202" i="53"/>
  <c r="AO202" i="53"/>
  <c r="AN202" i="53"/>
  <c r="AM202" i="53"/>
  <c r="AL202" i="53"/>
  <c r="AK202" i="53"/>
  <c r="AJ202" i="53"/>
  <c r="AI202" i="53"/>
  <c r="AH202" i="53"/>
  <c r="AG202" i="53"/>
  <c r="AF202" i="53"/>
  <c r="AE202" i="53"/>
  <c r="AD202" i="53"/>
  <c r="BA201" i="53"/>
  <c r="AZ201" i="53"/>
  <c r="AY201" i="53"/>
  <c r="AX201" i="53"/>
  <c r="AW201" i="53"/>
  <c r="AV201" i="53"/>
  <c r="AU201" i="53"/>
  <c r="AT201" i="53"/>
  <c r="AS201" i="53"/>
  <c r="AR201" i="53"/>
  <c r="AQ201" i="53"/>
  <c r="AP201" i="53"/>
  <c r="AO201" i="53"/>
  <c r="AN201" i="53"/>
  <c r="AM201" i="53"/>
  <c r="AL201" i="53"/>
  <c r="AK201" i="53"/>
  <c r="AJ201" i="53"/>
  <c r="AI201" i="53"/>
  <c r="AH201" i="53"/>
  <c r="AG201" i="53"/>
  <c r="AF201" i="53"/>
  <c r="AE201" i="53"/>
  <c r="AD201" i="53"/>
  <c r="BA200" i="53"/>
  <c r="AZ200" i="53"/>
  <c r="AY200" i="53"/>
  <c r="AX200" i="53"/>
  <c r="AW200" i="53"/>
  <c r="AV200" i="53"/>
  <c r="AU200" i="53"/>
  <c r="AT200" i="53"/>
  <c r="AS200" i="53"/>
  <c r="AR200" i="53"/>
  <c r="AQ200" i="53"/>
  <c r="AP200" i="53"/>
  <c r="AO200" i="53"/>
  <c r="AN200" i="53"/>
  <c r="AM200" i="53"/>
  <c r="AL200" i="53"/>
  <c r="AK200" i="53"/>
  <c r="AJ200" i="53"/>
  <c r="AI200" i="53"/>
  <c r="AH200" i="53"/>
  <c r="AG200" i="53"/>
  <c r="AF200" i="53"/>
  <c r="AE200" i="53"/>
  <c r="AD200" i="53"/>
  <c r="BA199" i="53"/>
  <c r="AZ199" i="53"/>
  <c r="AY199" i="53"/>
  <c r="AX199" i="53"/>
  <c r="AW199" i="53"/>
  <c r="AV199" i="53"/>
  <c r="AU199" i="53"/>
  <c r="AT199" i="53"/>
  <c r="AS199" i="53"/>
  <c r="AR199" i="53"/>
  <c r="AQ199" i="53"/>
  <c r="AP199" i="53"/>
  <c r="AO199" i="53"/>
  <c r="AN199" i="53"/>
  <c r="AM199" i="53"/>
  <c r="AL199" i="53"/>
  <c r="AK199" i="53"/>
  <c r="AJ199" i="53"/>
  <c r="AI199" i="53"/>
  <c r="AH199" i="53"/>
  <c r="AG199" i="53"/>
  <c r="AF199" i="53"/>
  <c r="AE199" i="53"/>
  <c r="AD199" i="53"/>
  <c r="BA198" i="53"/>
  <c r="AZ198" i="53"/>
  <c r="AY198" i="53"/>
  <c r="AX198" i="53"/>
  <c r="AW198" i="53"/>
  <c r="AV198" i="53"/>
  <c r="AU198" i="53"/>
  <c r="AT198" i="53"/>
  <c r="AS198" i="53"/>
  <c r="AR198" i="53"/>
  <c r="AQ198" i="53"/>
  <c r="AP198" i="53"/>
  <c r="AO198" i="53"/>
  <c r="AN198" i="53"/>
  <c r="AM198" i="53"/>
  <c r="AL198" i="53"/>
  <c r="AK198" i="53"/>
  <c r="AJ198" i="53"/>
  <c r="AI198" i="53"/>
  <c r="AH198" i="53"/>
  <c r="AG198" i="53"/>
  <c r="AF198" i="53"/>
  <c r="AE198" i="53"/>
  <c r="AD198" i="53"/>
  <c r="BA197" i="53"/>
  <c r="AZ197" i="53"/>
  <c r="AY197" i="53"/>
  <c r="AX197" i="53"/>
  <c r="AW197" i="53"/>
  <c r="AV197" i="53"/>
  <c r="AU197" i="53"/>
  <c r="AT197" i="53"/>
  <c r="AS197" i="53"/>
  <c r="AR197" i="53"/>
  <c r="AQ197" i="53"/>
  <c r="AP197" i="53"/>
  <c r="AO197" i="53"/>
  <c r="AN197" i="53"/>
  <c r="AM197" i="53"/>
  <c r="AL197" i="53"/>
  <c r="AK197" i="53"/>
  <c r="AJ197" i="53"/>
  <c r="AI197" i="53"/>
  <c r="AH197" i="53"/>
  <c r="AG197" i="53"/>
  <c r="AF197" i="53"/>
  <c r="AE197" i="53"/>
  <c r="AD197" i="53"/>
  <c r="BA196" i="53"/>
  <c r="AZ196" i="53"/>
  <c r="AY196" i="53"/>
  <c r="AX196" i="53"/>
  <c r="AW196" i="53"/>
  <c r="AV196" i="53"/>
  <c r="AU196" i="53"/>
  <c r="AT196" i="53"/>
  <c r="AS196" i="53"/>
  <c r="AR196" i="53"/>
  <c r="AQ196" i="53"/>
  <c r="AP196" i="53"/>
  <c r="AO196" i="53"/>
  <c r="AN196" i="53"/>
  <c r="AM196" i="53"/>
  <c r="AL196" i="53"/>
  <c r="AK196" i="53"/>
  <c r="AJ196" i="53"/>
  <c r="AI196" i="53"/>
  <c r="AH196" i="53"/>
  <c r="AG196" i="53"/>
  <c r="AF196" i="53"/>
  <c r="AE196" i="53"/>
  <c r="AD196" i="53"/>
  <c r="BA195" i="53"/>
  <c r="AZ195" i="53"/>
  <c r="AY195" i="53"/>
  <c r="AX195" i="53"/>
  <c r="AW195" i="53"/>
  <c r="AV195" i="53"/>
  <c r="AU195" i="53"/>
  <c r="AT195" i="53"/>
  <c r="AS195" i="53"/>
  <c r="AR195" i="53"/>
  <c r="AQ195" i="53"/>
  <c r="AP195" i="53"/>
  <c r="AO195" i="53"/>
  <c r="AN195" i="53"/>
  <c r="AM195" i="53"/>
  <c r="AL195" i="53"/>
  <c r="AK195" i="53"/>
  <c r="AJ195" i="53"/>
  <c r="AI195" i="53"/>
  <c r="AH195" i="53"/>
  <c r="AG195" i="53"/>
  <c r="AF195" i="53"/>
  <c r="AE195" i="53"/>
  <c r="AD195" i="53"/>
  <c r="BA194" i="53"/>
  <c r="AZ194" i="53"/>
  <c r="AY194" i="53"/>
  <c r="AX194" i="53"/>
  <c r="AW194" i="53"/>
  <c r="AV194" i="53"/>
  <c r="AU194" i="53"/>
  <c r="AT194" i="53"/>
  <c r="AS194" i="53"/>
  <c r="AR194" i="53"/>
  <c r="AQ194" i="53"/>
  <c r="AP194" i="53"/>
  <c r="AO194" i="53"/>
  <c r="AN194" i="53"/>
  <c r="AM194" i="53"/>
  <c r="AL194" i="53"/>
  <c r="AK194" i="53"/>
  <c r="AJ194" i="53"/>
  <c r="AI194" i="53"/>
  <c r="AH194" i="53"/>
  <c r="AG194" i="53"/>
  <c r="AF194" i="53"/>
  <c r="AE194" i="53"/>
  <c r="AD194" i="53"/>
  <c r="AB194" i="53"/>
  <c r="BA193" i="53"/>
  <c r="AZ193" i="53"/>
  <c r="AY193" i="53"/>
  <c r="AX193" i="53"/>
  <c r="AW193" i="53"/>
  <c r="AV193" i="53"/>
  <c r="AU193" i="53"/>
  <c r="AT193" i="53"/>
  <c r="AS193" i="53"/>
  <c r="AR193" i="53"/>
  <c r="AQ193" i="53"/>
  <c r="AP193" i="53"/>
  <c r="AO193" i="53"/>
  <c r="AN193" i="53"/>
  <c r="AM193" i="53"/>
  <c r="AL193" i="53"/>
  <c r="AK193" i="53"/>
  <c r="AJ193" i="53"/>
  <c r="AI193" i="53"/>
  <c r="AH193" i="53"/>
  <c r="AG193" i="53"/>
  <c r="AF193" i="53"/>
  <c r="AE193" i="53"/>
  <c r="AD193" i="53"/>
  <c r="BA192" i="53"/>
  <c r="AZ192" i="53"/>
  <c r="AY192" i="53"/>
  <c r="AX192" i="53"/>
  <c r="AW192" i="53"/>
  <c r="AV192" i="53"/>
  <c r="AU192" i="53"/>
  <c r="AT192" i="53"/>
  <c r="AS192" i="53"/>
  <c r="AR192" i="53"/>
  <c r="AQ192" i="53"/>
  <c r="AP192" i="53"/>
  <c r="AO192" i="53"/>
  <c r="AN192" i="53"/>
  <c r="AM192" i="53"/>
  <c r="AL192" i="53"/>
  <c r="AK192" i="53"/>
  <c r="AJ192" i="53"/>
  <c r="AI192" i="53"/>
  <c r="AH192" i="53"/>
  <c r="AG192" i="53"/>
  <c r="AF192" i="53"/>
  <c r="AE192" i="53"/>
  <c r="AD192" i="53"/>
  <c r="BA191" i="53"/>
  <c r="AZ191" i="53"/>
  <c r="AY191" i="53"/>
  <c r="AX191" i="53"/>
  <c r="AW191" i="53"/>
  <c r="AV191" i="53"/>
  <c r="AU191" i="53"/>
  <c r="AT191" i="53"/>
  <c r="AS191" i="53"/>
  <c r="AR191" i="53"/>
  <c r="AQ191" i="53"/>
  <c r="AP191" i="53"/>
  <c r="AO191" i="53"/>
  <c r="AN191" i="53"/>
  <c r="AM191" i="53"/>
  <c r="AL191" i="53"/>
  <c r="AK191" i="53"/>
  <c r="AJ191" i="53"/>
  <c r="AI191" i="53"/>
  <c r="AH191" i="53"/>
  <c r="AG191" i="53"/>
  <c r="AF191" i="53"/>
  <c r="AE191" i="53"/>
  <c r="AD191" i="53"/>
  <c r="BA190" i="53"/>
  <c r="AZ190" i="53"/>
  <c r="AY190" i="53"/>
  <c r="AX190" i="53"/>
  <c r="AW190" i="53"/>
  <c r="AV190" i="53"/>
  <c r="AU190" i="53"/>
  <c r="AT190" i="53"/>
  <c r="AS190" i="53"/>
  <c r="AR190" i="53"/>
  <c r="AQ190" i="53"/>
  <c r="AP190" i="53"/>
  <c r="AO190" i="53"/>
  <c r="AN190" i="53"/>
  <c r="AM190" i="53"/>
  <c r="AL190" i="53"/>
  <c r="AK190" i="53"/>
  <c r="AJ190" i="53"/>
  <c r="AI190" i="53"/>
  <c r="AH190" i="53"/>
  <c r="AG190" i="53"/>
  <c r="AF190" i="53"/>
  <c r="AE190" i="53"/>
  <c r="AD190" i="53"/>
  <c r="BA189" i="53"/>
  <c r="AZ189" i="53"/>
  <c r="AY189" i="53"/>
  <c r="AX189" i="53"/>
  <c r="AW189" i="53"/>
  <c r="AV189" i="53"/>
  <c r="AU189" i="53"/>
  <c r="AT189" i="53"/>
  <c r="AS189" i="53"/>
  <c r="AR189" i="53"/>
  <c r="AQ189" i="53"/>
  <c r="AP189" i="53"/>
  <c r="AO189" i="53"/>
  <c r="AN189" i="53"/>
  <c r="AM189" i="53"/>
  <c r="AL189" i="53"/>
  <c r="AK189" i="53"/>
  <c r="AJ189" i="53"/>
  <c r="AI189" i="53"/>
  <c r="AH189" i="53"/>
  <c r="AG189" i="53"/>
  <c r="AF189" i="53"/>
  <c r="AE189" i="53"/>
  <c r="AD189" i="53"/>
  <c r="BA188" i="53"/>
  <c r="AZ188" i="53"/>
  <c r="AY188" i="53"/>
  <c r="AX188" i="53"/>
  <c r="AW188" i="53"/>
  <c r="AV188" i="53"/>
  <c r="AU188" i="53"/>
  <c r="AT188" i="53"/>
  <c r="AS188" i="53"/>
  <c r="AR188" i="53"/>
  <c r="AQ188" i="53"/>
  <c r="AP188" i="53"/>
  <c r="AO188" i="53"/>
  <c r="AN188" i="53"/>
  <c r="AM188" i="53"/>
  <c r="AL188" i="53"/>
  <c r="AK188" i="53"/>
  <c r="AJ188" i="53"/>
  <c r="AI188" i="53"/>
  <c r="AH188" i="53"/>
  <c r="AG188" i="53"/>
  <c r="AF188" i="53"/>
  <c r="AE188" i="53"/>
  <c r="AD188" i="53"/>
  <c r="BA187" i="53"/>
  <c r="AZ187" i="53"/>
  <c r="AY187" i="53"/>
  <c r="AX187" i="53"/>
  <c r="AW187" i="53"/>
  <c r="AV187" i="53"/>
  <c r="AU187" i="53"/>
  <c r="AT187" i="53"/>
  <c r="AS187" i="53"/>
  <c r="AR187" i="53"/>
  <c r="AQ187" i="53"/>
  <c r="AP187" i="53"/>
  <c r="AO187" i="53"/>
  <c r="AN187" i="53"/>
  <c r="AM187" i="53"/>
  <c r="AL187" i="53"/>
  <c r="AK187" i="53"/>
  <c r="AJ187" i="53"/>
  <c r="AI187" i="53"/>
  <c r="AH187" i="53"/>
  <c r="AG187" i="53"/>
  <c r="AF187" i="53"/>
  <c r="AE187" i="53"/>
  <c r="AD187" i="53"/>
  <c r="BA186" i="53"/>
  <c r="AZ186" i="53"/>
  <c r="AY186" i="53"/>
  <c r="AX186" i="53"/>
  <c r="AW186" i="53"/>
  <c r="AV186" i="53"/>
  <c r="AU186" i="53"/>
  <c r="AT186" i="53"/>
  <c r="AS186" i="53"/>
  <c r="AR186" i="53"/>
  <c r="AQ186" i="53"/>
  <c r="AP186" i="53"/>
  <c r="AO186" i="53"/>
  <c r="AN186" i="53"/>
  <c r="AM186" i="53"/>
  <c r="AL186" i="53"/>
  <c r="AK186" i="53"/>
  <c r="AJ186" i="53"/>
  <c r="AI186" i="53"/>
  <c r="AH186" i="53"/>
  <c r="AG186" i="53"/>
  <c r="AF186" i="53"/>
  <c r="AE186" i="53"/>
  <c r="AD186" i="53"/>
  <c r="BA185" i="53"/>
  <c r="AZ185" i="53"/>
  <c r="AY185" i="53"/>
  <c r="AX185" i="53"/>
  <c r="AW185" i="53"/>
  <c r="AV185" i="53"/>
  <c r="AU185" i="53"/>
  <c r="AT185" i="53"/>
  <c r="AS185" i="53"/>
  <c r="AR185" i="53"/>
  <c r="AQ185" i="53"/>
  <c r="AP185" i="53"/>
  <c r="AO185" i="53"/>
  <c r="AN185" i="53"/>
  <c r="AM185" i="53"/>
  <c r="AL185" i="53"/>
  <c r="AK185" i="53"/>
  <c r="AJ185" i="53"/>
  <c r="AI185" i="53"/>
  <c r="AH185" i="53"/>
  <c r="AG185" i="53"/>
  <c r="AF185" i="53"/>
  <c r="AE185" i="53"/>
  <c r="AD185" i="53"/>
  <c r="BA184" i="53"/>
  <c r="AZ184" i="53"/>
  <c r="AY184" i="53"/>
  <c r="AX184" i="53"/>
  <c r="AW184" i="53"/>
  <c r="AV184" i="53"/>
  <c r="AU184" i="53"/>
  <c r="AT184" i="53"/>
  <c r="AS184" i="53"/>
  <c r="AR184" i="53"/>
  <c r="AQ184" i="53"/>
  <c r="AP184" i="53"/>
  <c r="AO184" i="53"/>
  <c r="AN184" i="53"/>
  <c r="AM184" i="53"/>
  <c r="AL184" i="53"/>
  <c r="AK184" i="53"/>
  <c r="AJ184" i="53"/>
  <c r="AI184" i="53"/>
  <c r="AH184" i="53"/>
  <c r="AG184" i="53"/>
  <c r="AF184" i="53"/>
  <c r="AE184" i="53"/>
  <c r="AD184" i="53"/>
  <c r="BA183" i="53"/>
  <c r="AZ183" i="53"/>
  <c r="AY183" i="53"/>
  <c r="AX183" i="53"/>
  <c r="AW183" i="53"/>
  <c r="AV183" i="53"/>
  <c r="AU183" i="53"/>
  <c r="AT183" i="53"/>
  <c r="AS183" i="53"/>
  <c r="AR183" i="53"/>
  <c r="AQ183" i="53"/>
  <c r="AP183" i="53"/>
  <c r="AO183" i="53"/>
  <c r="AN183" i="53"/>
  <c r="AM183" i="53"/>
  <c r="AL183" i="53"/>
  <c r="AK183" i="53"/>
  <c r="AJ183" i="53"/>
  <c r="AI183" i="53"/>
  <c r="AH183" i="53"/>
  <c r="AG183" i="53"/>
  <c r="AF183" i="53"/>
  <c r="AE183" i="53"/>
  <c r="AD183" i="53"/>
  <c r="BA182" i="53"/>
  <c r="AZ182" i="53"/>
  <c r="AY182" i="53"/>
  <c r="AX182" i="53"/>
  <c r="AW182" i="53"/>
  <c r="AV182" i="53"/>
  <c r="AU182" i="53"/>
  <c r="AT182" i="53"/>
  <c r="AS182" i="53"/>
  <c r="AR182" i="53"/>
  <c r="AQ182" i="53"/>
  <c r="AP182" i="53"/>
  <c r="AO182" i="53"/>
  <c r="AN182" i="53"/>
  <c r="AM182" i="53"/>
  <c r="AL182" i="53"/>
  <c r="AK182" i="53"/>
  <c r="AJ182" i="53"/>
  <c r="AI182" i="53"/>
  <c r="AH182" i="53"/>
  <c r="AG182" i="53"/>
  <c r="AF182" i="53"/>
  <c r="AE182" i="53"/>
  <c r="AD182" i="53"/>
  <c r="BA181" i="53"/>
  <c r="AZ181" i="53"/>
  <c r="AY181" i="53"/>
  <c r="AX181" i="53"/>
  <c r="AW181" i="53"/>
  <c r="AV181" i="53"/>
  <c r="AU181" i="53"/>
  <c r="AT181" i="53"/>
  <c r="AS181" i="53"/>
  <c r="AR181" i="53"/>
  <c r="AQ181" i="53"/>
  <c r="AP181" i="53"/>
  <c r="AO181" i="53"/>
  <c r="AN181" i="53"/>
  <c r="AM181" i="53"/>
  <c r="AL181" i="53"/>
  <c r="AK181" i="53"/>
  <c r="AJ181" i="53"/>
  <c r="AI181" i="53"/>
  <c r="AH181" i="53"/>
  <c r="AG181" i="53"/>
  <c r="AF181" i="53"/>
  <c r="AE181" i="53"/>
  <c r="AD181" i="53"/>
  <c r="BA180" i="53"/>
  <c r="AZ180" i="53"/>
  <c r="AY180" i="53"/>
  <c r="AX180" i="53"/>
  <c r="AW180" i="53"/>
  <c r="AV180" i="53"/>
  <c r="AU180" i="53"/>
  <c r="AT180" i="53"/>
  <c r="AS180" i="53"/>
  <c r="AR180" i="53"/>
  <c r="AQ180" i="53"/>
  <c r="AP180" i="53"/>
  <c r="AO180" i="53"/>
  <c r="AN180" i="53"/>
  <c r="AM180" i="53"/>
  <c r="AL180" i="53"/>
  <c r="AK180" i="53"/>
  <c r="AJ180" i="53"/>
  <c r="AI180" i="53"/>
  <c r="AH180" i="53"/>
  <c r="AG180" i="53"/>
  <c r="AF180" i="53"/>
  <c r="AE180" i="53"/>
  <c r="AD180" i="53"/>
  <c r="BA179" i="53"/>
  <c r="AZ179" i="53"/>
  <c r="AY179" i="53"/>
  <c r="AX179" i="53"/>
  <c r="AW179" i="53"/>
  <c r="AV179" i="53"/>
  <c r="AU179" i="53"/>
  <c r="AT179" i="53"/>
  <c r="AS179" i="53"/>
  <c r="AR179" i="53"/>
  <c r="AQ179" i="53"/>
  <c r="AP179" i="53"/>
  <c r="AO179" i="53"/>
  <c r="AN179" i="53"/>
  <c r="AM179" i="53"/>
  <c r="AL179" i="53"/>
  <c r="AK179" i="53"/>
  <c r="AJ179" i="53"/>
  <c r="AI179" i="53"/>
  <c r="AH179" i="53"/>
  <c r="AG179" i="53"/>
  <c r="AF179" i="53"/>
  <c r="AE179" i="53"/>
  <c r="AD179" i="53"/>
  <c r="BA178" i="53"/>
  <c r="AZ178" i="53"/>
  <c r="AY178" i="53"/>
  <c r="AX178" i="53"/>
  <c r="AW178" i="53"/>
  <c r="AV178" i="53"/>
  <c r="AU178" i="53"/>
  <c r="AT178" i="53"/>
  <c r="AS178" i="53"/>
  <c r="AR178" i="53"/>
  <c r="AQ178" i="53"/>
  <c r="AP178" i="53"/>
  <c r="AO178" i="53"/>
  <c r="AN178" i="53"/>
  <c r="AM178" i="53"/>
  <c r="AL178" i="53"/>
  <c r="AK178" i="53"/>
  <c r="AJ178" i="53"/>
  <c r="AI178" i="53"/>
  <c r="AH178" i="53"/>
  <c r="AG178" i="53"/>
  <c r="AF178" i="53"/>
  <c r="AE178" i="53"/>
  <c r="AD178" i="53"/>
  <c r="BA177" i="53"/>
  <c r="AZ177" i="53"/>
  <c r="AY177" i="53"/>
  <c r="AX177" i="53"/>
  <c r="AW177" i="53"/>
  <c r="AV177" i="53"/>
  <c r="AU177" i="53"/>
  <c r="AT177" i="53"/>
  <c r="AS177" i="53"/>
  <c r="AR177" i="53"/>
  <c r="AQ177" i="53"/>
  <c r="AP177" i="53"/>
  <c r="AO177" i="53"/>
  <c r="AN177" i="53"/>
  <c r="AM177" i="53"/>
  <c r="AL177" i="53"/>
  <c r="AK177" i="53"/>
  <c r="AJ177" i="53"/>
  <c r="AI177" i="53"/>
  <c r="AH177" i="53"/>
  <c r="AG177" i="53"/>
  <c r="AF177" i="53"/>
  <c r="AE177" i="53"/>
  <c r="AD177" i="53"/>
  <c r="BA176" i="53"/>
  <c r="AZ176" i="53"/>
  <c r="AY176" i="53"/>
  <c r="AX176" i="53"/>
  <c r="AW176" i="53"/>
  <c r="AV176" i="53"/>
  <c r="AU176" i="53"/>
  <c r="AT176" i="53"/>
  <c r="AS176" i="53"/>
  <c r="AR176" i="53"/>
  <c r="AQ176" i="53"/>
  <c r="AP176" i="53"/>
  <c r="AO176" i="53"/>
  <c r="AN176" i="53"/>
  <c r="AM176" i="53"/>
  <c r="AL176" i="53"/>
  <c r="AK176" i="53"/>
  <c r="AJ176" i="53"/>
  <c r="AI176" i="53"/>
  <c r="AH176" i="53"/>
  <c r="AG176" i="53"/>
  <c r="AF176" i="53"/>
  <c r="AE176" i="53"/>
  <c r="AD176" i="53"/>
  <c r="BA175" i="53"/>
  <c r="AZ175" i="53"/>
  <c r="AY175" i="53"/>
  <c r="AX175" i="53"/>
  <c r="AW175" i="53"/>
  <c r="AV175" i="53"/>
  <c r="AU175" i="53"/>
  <c r="AT175" i="53"/>
  <c r="AS175" i="53"/>
  <c r="AR175" i="53"/>
  <c r="AQ175" i="53"/>
  <c r="AP175" i="53"/>
  <c r="AO175" i="53"/>
  <c r="AN175" i="53"/>
  <c r="AM175" i="53"/>
  <c r="AL175" i="53"/>
  <c r="AK175" i="53"/>
  <c r="AJ175" i="53"/>
  <c r="AI175" i="53"/>
  <c r="AH175" i="53"/>
  <c r="AG175" i="53"/>
  <c r="AF175" i="53"/>
  <c r="AE175" i="53"/>
  <c r="AD175" i="53"/>
  <c r="BA174" i="53"/>
  <c r="AZ174" i="53"/>
  <c r="AY174" i="53"/>
  <c r="AX174" i="53"/>
  <c r="AW174" i="53"/>
  <c r="AV174" i="53"/>
  <c r="AU174" i="53"/>
  <c r="AT174" i="53"/>
  <c r="AS174" i="53"/>
  <c r="AR174" i="53"/>
  <c r="AQ174" i="53"/>
  <c r="AP174" i="53"/>
  <c r="AO174" i="53"/>
  <c r="AN174" i="53"/>
  <c r="AM174" i="53"/>
  <c r="AL174" i="53"/>
  <c r="AK174" i="53"/>
  <c r="AJ174" i="53"/>
  <c r="AI174" i="53"/>
  <c r="AH174" i="53"/>
  <c r="AG174" i="53"/>
  <c r="AF174" i="53"/>
  <c r="AE174" i="53"/>
  <c r="AD174" i="53"/>
  <c r="BA173" i="53"/>
  <c r="AZ173" i="53"/>
  <c r="AY173" i="53"/>
  <c r="AX173" i="53"/>
  <c r="AW173" i="53"/>
  <c r="AV173" i="53"/>
  <c r="AU173" i="53"/>
  <c r="AT173" i="53"/>
  <c r="AS173" i="53"/>
  <c r="AR173" i="53"/>
  <c r="AQ173" i="53"/>
  <c r="AP173" i="53"/>
  <c r="AO173" i="53"/>
  <c r="AN173" i="53"/>
  <c r="AM173" i="53"/>
  <c r="AL173" i="53"/>
  <c r="AK173" i="53"/>
  <c r="AJ173" i="53"/>
  <c r="AI173" i="53"/>
  <c r="AH173" i="53"/>
  <c r="AG173" i="53"/>
  <c r="AF173" i="53"/>
  <c r="AE173" i="53"/>
  <c r="AD173" i="53"/>
  <c r="BA172" i="53"/>
  <c r="AZ172" i="53"/>
  <c r="AY172" i="53"/>
  <c r="AX172" i="53"/>
  <c r="AW172" i="53"/>
  <c r="AV172" i="53"/>
  <c r="AU172" i="53"/>
  <c r="AT172" i="53"/>
  <c r="AS172" i="53"/>
  <c r="AR172" i="53"/>
  <c r="AQ172" i="53"/>
  <c r="AP172" i="53"/>
  <c r="AO172" i="53"/>
  <c r="AN172" i="53"/>
  <c r="AM172" i="53"/>
  <c r="AL172" i="53"/>
  <c r="AK172" i="53"/>
  <c r="AJ172" i="53"/>
  <c r="AI172" i="53"/>
  <c r="AH172" i="53"/>
  <c r="AG172" i="53"/>
  <c r="AF172" i="53"/>
  <c r="AE172" i="53"/>
  <c r="AD172" i="53"/>
  <c r="BA171" i="53"/>
  <c r="AZ171" i="53"/>
  <c r="AY171" i="53"/>
  <c r="AX171" i="53"/>
  <c r="AW171" i="53"/>
  <c r="AV171" i="53"/>
  <c r="AU171" i="53"/>
  <c r="AT171" i="53"/>
  <c r="AS171" i="53"/>
  <c r="AR171" i="53"/>
  <c r="AQ171" i="53"/>
  <c r="AP171" i="53"/>
  <c r="AO171" i="53"/>
  <c r="AN171" i="53"/>
  <c r="AM171" i="53"/>
  <c r="AL171" i="53"/>
  <c r="AK171" i="53"/>
  <c r="AJ171" i="53"/>
  <c r="AI171" i="53"/>
  <c r="AH171" i="53"/>
  <c r="AG171" i="53"/>
  <c r="AF171" i="53"/>
  <c r="AE171" i="53"/>
  <c r="AD171" i="53"/>
  <c r="BA170" i="53"/>
  <c r="AZ170" i="53"/>
  <c r="AY170" i="53"/>
  <c r="AX170" i="53"/>
  <c r="AW170" i="53"/>
  <c r="AV170" i="53"/>
  <c r="AU170" i="53"/>
  <c r="AT170" i="53"/>
  <c r="AS170" i="53"/>
  <c r="AR170" i="53"/>
  <c r="AQ170" i="53"/>
  <c r="AP170" i="53"/>
  <c r="AO170" i="53"/>
  <c r="AN170" i="53"/>
  <c r="AM170" i="53"/>
  <c r="AL170" i="53"/>
  <c r="AK170" i="53"/>
  <c r="AJ170" i="53"/>
  <c r="AI170" i="53"/>
  <c r="AH170" i="53"/>
  <c r="AG170" i="53"/>
  <c r="AF170" i="53"/>
  <c r="AE170" i="53"/>
  <c r="AD170" i="53"/>
  <c r="BA169" i="53"/>
  <c r="AZ169" i="53"/>
  <c r="AY169" i="53"/>
  <c r="AX169" i="53"/>
  <c r="AW169" i="53"/>
  <c r="AV169" i="53"/>
  <c r="AU169" i="53"/>
  <c r="AT169" i="53"/>
  <c r="AS169" i="53"/>
  <c r="AR169" i="53"/>
  <c r="AQ169" i="53"/>
  <c r="AP169" i="53"/>
  <c r="AO169" i="53"/>
  <c r="AN169" i="53"/>
  <c r="AM169" i="53"/>
  <c r="AL169" i="53"/>
  <c r="AK169" i="53"/>
  <c r="AJ169" i="53"/>
  <c r="AI169" i="53"/>
  <c r="AH169" i="53"/>
  <c r="AG169" i="53"/>
  <c r="AF169" i="53"/>
  <c r="AE169" i="53"/>
  <c r="AD169" i="53"/>
  <c r="BA168" i="53"/>
  <c r="AZ168" i="53"/>
  <c r="AY168" i="53"/>
  <c r="AX168" i="53"/>
  <c r="AW168" i="53"/>
  <c r="AV168" i="53"/>
  <c r="AU168" i="53"/>
  <c r="AT168" i="53"/>
  <c r="AS168" i="53"/>
  <c r="AR168" i="53"/>
  <c r="AQ168" i="53"/>
  <c r="AP168" i="53"/>
  <c r="AO168" i="53"/>
  <c r="AN168" i="53"/>
  <c r="AM168" i="53"/>
  <c r="AL168" i="53"/>
  <c r="AK168" i="53"/>
  <c r="AJ168" i="53"/>
  <c r="AI168" i="53"/>
  <c r="AH168" i="53"/>
  <c r="AG168" i="53"/>
  <c r="AF168" i="53"/>
  <c r="AE168" i="53"/>
  <c r="AD168" i="53"/>
  <c r="BA167" i="53"/>
  <c r="AZ167" i="53"/>
  <c r="AY167" i="53"/>
  <c r="AX167" i="53"/>
  <c r="AW167" i="53"/>
  <c r="AV167" i="53"/>
  <c r="AU167" i="53"/>
  <c r="AT167" i="53"/>
  <c r="AS167" i="53"/>
  <c r="AR167" i="53"/>
  <c r="AQ167" i="53"/>
  <c r="AP167" i="53"/>
  <c r="AO167" i="53"/>
  <c r="AN167" i="53"/>
  <c r="AM167" i="53"/>
  <c r="AL167" i="53"/>
  <c r="AK167" i="53"/>
  <c r="AJ167" i="53"/>
  <c r="AI167" i="53"/>
  <c r="AH167" i="53"/>
  <c r="AG167" i="53"/>
  <c r="AF167" i="53"/>
  <c r="AE167" i="53"/>
  <c r="AD167" i="53"/>
  <c r="BA166" i="53"/>
  <c r="AZ166" i="53"/>
  <c r="AY166" i="53"/>
  <c r="AX166" i="53"/>
  <c r="AW166" i="53"/>
  <c r="AV166" i="53"/>
  <c r="AU166" i="53"/>
  <c r="AT166" i="53"/>
  <c r="AS166" i="53"/>
  <c r="AR166" i="53"/>
  <c r="AQ166" i="53"/>
  <c r="AP166" i="53"/>
  <c r="AO166" i="53"/>
  <c r="AN166" i="53"/>
  <c r="AM166" i="53"/>
  <c r="AL166" i="53"/>
  <c r="AK166" i="53"/>
  <c r="AJ166" i="53"/>
  <c r="AI166" i="53"/>
  <c r="AH166" i="53"/>
  <c r="AG166" i="53"/>
  <c r="AF166" i="53"/>
  <c r="AE166" i="53"/>
  <c r="AD166" i="53"/>
  <c r="BA165" i="53"/>
  <c r="AZ165" i="53"/>
  <c r="AY165" i="53"/>
  <c r="AX165" i="53"/>
  <c r="AW165" i="53"/>
  <c r="AV165" i="53"/>
  <c r="AU165" i="53"/>
  <c r="AT165" i="53"/>
  <c r="AS165" i="53"/>
  <c r="AR165" i="53"/>
  <c r="AQ165" i="53"/>
  <c r="AP165" i="53"/>
  <c r="AO165" i="53"/>
  <c r="AN165" i="53"/>
  <c r="AM165" i="53"/>
  <c r="AL165" i="53"/>
  <c r="AK165" i="53"/>
  <c r="AJ165" i="53"/>
  <c r="AI165" i="53"/>
  <c r="AH165" i="53"/>
  <c r="AG165" i="53"/>
  <c r="AF165" i="53"/>
  <c r="AE165" i="53"/>
  <c r="AD165" i="53"/>
  <c r="BA164" i="53"/>
  <c r="AZ164" i="53"/>
  <c r="AY164" i="53"/>
  <c r="AX164" i="53"/>
  <c r="AW164" i="53"/>
  <c r="AV164" i="53"/>
  <c r="AU164" i="53"/>
  <c r="AT164" i="53"/>
  <c r="AS164" i="53"/>
  <c r="AR164" i="53"/>
  <c r="AQ164" i="53"/>
  <c r="AP164" i="53"/>
  <c r="AO164" i="53"/>
  <c r="AN164" i="53"/>
  <c r="AM164" i="53"/>
  <c r="AL164" i="53"/>
  <c r="AK164" i="53"/>
  <c r="AJ164" i="53"/>
  <c r="AI164" i="53"/>
  <c r="AH164" i="53"/>
  <c r="AG164" i="53"/>
  <c r="AF164" i="53"/>
  <c r="AE164" i="53"/>
  <c r="AD164" i="53"/>
  <c r="AB164" i="53"/>
  <c r="BA163" i="53"/>
  <c r="AZ163" i="53"/>
  <c r="AY163" i="53"/>
  <c r="AX163" i="53"/>
  <c r="AW163" i="53"/>
  <c r="AV163" i="53"/>
  <c r="AU163" i="53"/>
  <c r="AT163" i="53"/>
  <c r="AS163" i="53"/>
  <c r="AR163" i="53"/>
  <c r="AQ163" i="53"/>
  <c r="AP163" i="53"/>
  <c r="AO163" i="53"/>
  <c r="AN163" i="53"/>
  <c r="AM163" i="53"/>
  <c r="AL163" i="53"/>
  <c r="AK163" i="53"/>
  <c r="AJ163" i="53"/>
  <c r="AI163" i="53"/>
  <c r="AH163" i="53"/>
  <c r="AG163" i="53"/>
  <c r="AF163" i="53"/>
  <c r="AE163" i="53"/>
  <c r="AD163" i="53"/>
  <c r="BA162" i="53"/>
  <c r="AZ162" i="53"/>
  <c r="AY162" i="53"/>
  <c r="AX162" i="53"/>
  <c r="AW162" i="53"/>
  <c r="AV162" i="53"/>
  <c r="AU162" i="53"/>
  <c r="AT162" i="53"/>
  <c r="AS162" i="53"/>
  <c r="AR162" i="53"/>
  <c r="AQ162" i="53"/>
  <c r="AP162" i="53"/>
  <c r="AO162" i="53"/>
  <c r="AN162" i="53"/>
  <c r="AM162" i="53"/>
  <c r="AL162" i="53"/>
  <c r="AK162" i="53"/>
  <c r="AJ162" i="53"/>
  <c r="AI162" i="53"/>
  <c r="AH162" i="53"/>
  <c r="AG162" i="53"/>
  <c r="AF162" i="53"/>
  <c r="AE162" i="53"/>
  <c r="AD162" i="53"/>
  <c r="BA161" i="53"/>
  <c r="AZ161" i="53"/>
  <c r="AY161" i="53"/>
  <c r="AX161" i="53"/>
  <c r="AW161" i="53"/>
  <c r="AV161" i="53"/>
  <c r="AU161" i="53"/>
  <c r="AT161" i="53"/>
  <c r="AS161" i="53"/>
  <c r="AR161" i="53"/>
  <c r="AQ161" i="53"/>
  <c r="AP161" i="53"/>
  <c r="AO161" i="53"/>
  <c r="AN161" i="53"/>
  <c r="AM161" i="53"/>
  <c r="AL161" i="53"/>
  <c r="AK161" i="53"/>
  <c r="AJ161" i="53"/>
  <c r="AI161" i="53"/>
  <c r="AH161" i="53"/>
  <c r="AG161" i="53"/>
  <c r="AF161" i="53"/>
  <c r="AE161" i="53"/>
  <c r="AD161" i="53"/>
  <c r="BA160" i="53"/>
  <c r="AZ160" i="53"/>
  <c r="AY160" i="53"/>
  <c r="AX160" i="53"/>
  <c r="AW160" i="53"/>
  <c r="AV160" i="53"/>
  <c r="AU160" i="53"/>
  <c r="AT160" i="53"/>
  <c r="AS160" i="53"/>
  <c r="AR160" i="53"/>
  <c r="AQ160" i="53"/>
  <c r="AP160" i="53"/>
  <c r="AO160" i="53"/>
  <c r="AN160" i="53"/>
  <c r="AM160" i="53"/>
  <c r="AL160" i="53"/>
  <c r="AK160" i="53"/>
  <c r="AJ160" i="53"/>
  <c r="AI160" i="53"/>
  <c r="AH160" i="53"/>
  <c r="AG160" i="53"/>
  <c r="AF160" i="53"/>
  <c r="AE160" i="53"/>
  <c r="AD160" i="53"/>
  <c r="BA159" i="53"/>
  <c r="AZ159" i="53"/>
  <c r="AY159" i="53"/>
  <c r="AX159" i="53"/>
  <c r="AW159" i="53"/>
  <c r="AV159" i="53"/>
  <c r="AU159" i="53"/>
  <c r="AT159" i="53"/>
  <c r="AS159" i="53"/>
  <c r="AR159" i="53"/>
  <c r="AQ159" i="53"/>
  <c r="AP159" i="53"/>
  <c r="AO159" i="53"/>
  <c r="AN159" i="53"/>
  <c r="AM159" i="53"/>
  <c r="AL159" i="53"/>
  <c r="AK159" i="53"/>
  <c r="AJ159" i="53"/>
  <c r="AI159" i="53"/>
  <c r="AH159" i="53"/>
  <c r="AG159" i="53"/>
  <c r="AF159" i="53"/>
  <c r="AE159" i="53"/>
  <c r="AD159" i="53"/>
  <c r="BA158" i="53"/>
  <c r="AZ158" i="53"/>
  <c r="AY158" i="53"/>
  <c r="AX158" i="53"/>
  <c r="AW158" i="53"/>
  <c r="AV158" i="53"/>
  <c r="AU158" i="53"/>
  <c r="AT158" i="53"/>
  <c r="AS158" i="53"/>
  <c r="AR158" i="53"/>
  <c r="AQ158" i="53"/>
  <c r="AP158" i="53"/>
  <c r="AO158" i="53"/>
  <c r="AN158" i="53"/>
  <c r="AM158" i="53"/>
  <c r="AL158" i="53"/>
  <c r="AK158" i="53"/>
  <c r="AJ158" i="53"/>
  <c r="AI158" i="53"/>
  <c r="AH158" i="53"/>
  <c r="AG158" i="53"/>
  <c r="AF158" i="53"/>
  <c r="AE158" i="53"/>
  <c r="AD158" i="53"/>
  <c r="BA157" i="53"/>
  <c r="AZ157" i="53"/>
  <c r="AY157" i="53"/>
  <c r="AX157" i="53"/>
  <c r="AW157" i="53"/>
  <c r="AV157" i="53"/>
  <c r="AU157" i="53"/>
  <c r="AT157" i="53"/>
  <c r="AS157" i="53"/>
  <c r="AR157" i="53"/>
  <c r="AQ157" i="53"/>
  <c r="AP157" i="53"/>
  <c r="AO157" i="53"/>
  <c r="AN157" i="53"/>
  <c r="AM157" i="53"/>
  <c r="AL157" i="53"/>
  <c r="AK157" i="53"/>
  <c r="AJ157" i="53"/>
  <c r="AI157" i="53"/>
  <c r="AH157" i="53"/>
  <c r="AG157" i="53"/>
  <c r="AF157" i="53"/>
  <c r="AE157" i="53"/>
  <c r="AD157" i="53"/>
  <c r="BA156" i="53"/>
  <c r="AZ156" i="53"/>
  <c r="AY156" i="53"/>
  <c r="AX156" i="53"/>
  <c r="AW156" i="53"/>
  <c r="AV156" i="53"/>
  <c r="AU156" i="53"/>
  <c r="AT156" i="53"/>
  <c r="AS156" i="53"/>
  <c r="AR156" i="53"/>
  <c r="AQ156" i="53"/>
  <c r="AP156" i="53"/>
  <c r="AO156" i="53"/>
  <c r="AN156" i="53"/>
  <c r="AM156" i="53"/>
  <c r="AL156" i="53"/>
  <c r="AK156" i="53"/>
  <c r="AJ156" i="53"/>
  <c r="AI156" i="53"/>
  <c r="AH156" i="53"/>
  <c r="AG156" i="53"/>
  <c r="AF156" i="53"/>
  <c r="AE156" i="53"/>
  <c r="AD156" i="53"/>
  <c r="BA155" i="53"/>
  <c r="AZ155" i="53"/>
  <c r="AY155" i="53"/>
  <c r="AX155" i="53"/>
  <c r="AW155" i="53"/>
  <c r="AV155" i="53"/>
  <c r="AU155" i="53"/>
  <c r="AT155" i="53"/>
  <c r="AS155" i="53"/>
  <c r="AR155" i="53"/>
  <c r="AQ155" i="53"/>
  <c r="AP155" i="53"/>
  <c r="AO155" i="53"/>
  <c r="AN155" i="53"/>
  <c r="AM155" i="53"/>
  <c r="AL155" i="53"/>
  <c r="AK155" i="53"/>
  <c r="AJ155" i="53"/>
  <c r="AI155" i="53"/>
  <c r="AH155" i="53"/>
  <c r="AG155" i="53"/>
  <c r="AF155" i="53"/>
  <c r="AE155" i="53"/>
  <c r="AD155" i="53"/>
  <c r="BA154" i="53"/>
  <c r="AZ154" i="53"/>
  <c r="AY154" i="53"/>
  <c r="AX154" i="53"/>
  <c r="AW154" i="53"/>
  <c r="AV154" i="53"/>
  <c r="AU154" i="53"/>
  <c r="AT154" i="53"/>
  <c r="AS154" i="53"/>
  <c r="AR154" i="53"/>
  <c r="AQ154" i="53"/>
  <c r="AP154" i="53"/>
  <c r="AO154" i="53"/>
  <c r="AN154" i="53"/>
  <c r="AM154" i="53"/>
  <c r="AL154" i="53"/>
  <c r="AK154" i="53"/>
  <c r="AJ154" i="53"/>
  <c r="AI154" i="53"/>
  <c r="AH154" i="53"/>
  <c r="AG154" i="53"/>
  <c r="AF154" i="53"/>
  <c r="AE154" i="53"/>
  <c r="AD154" i="53"/>
  <c r="BA153" i="53"/>
  <c r="AZ153" i="53"/>
  <c r="AY153" i="53"/>
  <c r="AX153" i="53"/>
  <c r="AW153" i="53"/>
  <c r="AV153" i="53"/>
  <c r="AU153" i="53"/>
  <c r="AT153" i="53"/>
  <c r="AS153" i="53"/>
  <c r="AR153" i="53"/>
  <c r="AQ153" i="53"/>
  <c r="AP153" i="53"/>
  <c r="AO153" i="53"/>
  <c r="AN153" i="53"/>
  <c r="AM153" i="53"/>
  <c r="AL153" i="53"/>
  <c r="AK153" i="53"/>
  <c r="AJ153" i="53"/>
  <c r="AI153" i="53"/>
  <c r="AH153" i="53"/>
  <c r="AG153" i="53"/>
  <c r="AF153" i="53"/>
  <c r="AE153" i="53"/>
  <c r="AD153" i="53"/>
  <c r="BA152" i="53"/>
  <c r="AZ152" i="53"/>
  <c r="AY152" i="53"/>
  <c r="AX152" i="53"/>
  <c r="AW152" i="53"/>
  <c r="AV152" i="53"/>
  <c r="AU152" i="53"/>
  <c r="AT152" i="53"/>
  <c r="AS152" i="53"/>
  <c r="AR152" i="53"/>
  <c r="AQ152" i="53"/>
  <c r="AP152" i="53"/>
  <c r="AO152" i="53"/>
  <c r="AN152" i="53"/>
  <c r="AM152" i="53"/>
  <c r="AL152" i="53"/>
  <c r="AK152" i="53"/>
  <c r="AJ152" i="53"/>
  <c r="AI152" i="53"/>
  <c r="AH152" i="53"/>
  <c r="AG152" i="53"/>
  <c r="AF152" i="53"/>
  <c r="AE152" i="53"/>
  <c r="AD152" i="53"/>
  <c r="BA151" i="53"/>
  <c r="AZ151" i="53"/>
  <c r="AY151" i="53"/>
  <c r="AX151" i="53"/>
  <c r="AW151" i="53"/>
  <c r="AV151" i="53"/>
  <c r="AU151" i="53"/>
  <c r="AT151" i="53"/>
  <c r="AS151" i="53"/>
  <c r="AR151" i="53"/>
  <c r="AQ151" i="53"/>
  <c r="AP151" i="53"/>
  <c r="AO151" i="53"/>
  <c r="AN151" i="53"/>
  <c r="AM151" i="53"/>
  <c r="AL151" i="53"/>
  <c r="AK151" i="53"/>
  <c r="AJ151" i="53"/>
  <c r="AI151" i="53"/>
  <c r="AH151" i="53"/>
  <c r="AG151" i="53"/>
  <c r="AF151" i="53"/>
  <c r="AE151" i="53"/>
  <c r="AD151" i="53"/>
  <c r="BA150" i="53"/>
  <c r="AZ150" i="53"/>
  <c r="AY150" i="53"/>
  <c r="AX150" i="53"/>
  <c r="AW150" i="53"/>
  <c r="AV150" i="53"/>
  <c r="AU150" i="53"/>
  <c r="AT150" i="53"/>
  <c r="AS150" i="53"/>
  <c r="AR150" i="53"/>
  <c r="AQ150" i="53"/>
  <c r="AP150" i="53"/>
  <c r="AO150" i="53"/>
  <c r="AN150" i="53"/>
  <c r="AM150" i="53"/>
  <c r="AL150" i="53"/>
  <c r="AK150" i="53"/>
  <c r="AJ150" i="53"/>
  <c r="AI150" i="53"/>
  <c r="AH150" i="53"/>
  <c r="AG150" i="53"/>
  <c r="AF150" i="53"/>
  <c r="AE150" i="53"/>
  <c r="AD150" i="53"/>
  <c r="BA149" i="53"/>
  <c r="AZ149" i="53"/>
  <c r="AY149" i="53"/>
  <c r="AX149" i="53"/>
  <c r="AW149" i="53"/>
  <c r="AV149" i="53"/>
  <c r="AU149" i="53"/>
  <c r="AT149" i="53"/>
  <c r="AS149" i="53"/>
  <c r="AR149" i="53"/>
  <c r="AQ149" i="53"/>
  <c r="AP149" i="53"/>
  <c r="AO149" i="53"/>
  <c r="AN149" i="53"/>
  <c r="AM149" i="53"/>
  <c r="AL149" i="53"/>
  <c r="AK149" i="53"/>
  <c r="AJ149" i="53"/>
  <c r="AI149" i="53"/>
  <c r="AH149" i="53"/>
  <c r="AG149" i="53"/>
  <c r="AF149" i="53"/>
  <c r="AE149" i="53"/>
  <c r="AD149" i="53"/>
  <c r="BA148" i="53"/>
  <c r="AZ148" i="53"/>
  <c r="AY148" i="53"/>
  <c r="AX148" i="53"/>
  <c r="AW148" i="53"/>
  <c r="AV148" i="53"/>
  <c r="AU148" i="53"/>
  <c r="AT148" i="53"/>
  <c r="AS148" i="53"/>
  <c r="AR148" i="53"/>
  <c r="AQ148" i="53"/>
  <c r="AP148" i="53"/>
  <c r="AO148" i="53"/>
  <c r="AN148" i="53"/>
  <c r="AM148" i="53"/>
  <c r="AL148" i="53"/>
  <c r="AK148" i="53"/>
  <c r="AJ148" i="53"/>
  <c r="AI148" i="53"/>
  <c r="AH148" i="53"/>
  <c r="AG148" i="53"/>
  <c r="AF148" i="53"/>
  <c r="AE148" i="53"/>
  <c r="AD148" i="53"/>
  <c r="BA147" i="53"/>
  <c r="AZ147" i="53"/>
  <c r="AY147" i="53"/>
  <c r="AX147" i="53"/>
  <c r="AW147" i="53"/>
  <c r="AV147" i="53"/>
  <c r="AU147" i="53"/>
  <c r="AT147" i="53"/>
  <c r="AS147" i="53"/>
  <c r="AR147" i="53"/>
  <c r="AQ147" i="53"/>
  <c r="AP147" i="53"/>
  <c r="AO147" i="53"/>
  <c r="AN147" i="53"/>
  <c r="AM147" i="53"/>
  <c r="AL147" i="53"/>
  <c r="AK147" i="53"/>
  <c r="AJ147" i="53"/>
  <c r="AI147" i="53"/>
  <c r="AH147" i="53"/>
  <c r="AG147" i="53"/>
  <c r="AF147" i="53"/>
  <c r="AE147" i="53"/>
  <c r="AD147" i="53"/>
  <c r="BA146" i="53"/>
  <c r="AZ146" i="53"/>
  <c r="AY146" i="53"/>
  <c r="AX146" i="53"/>
  <c r="AW146" i="53"/>
  <c r="AV146" i="53"/>
  <c r="AU146" i="53"/>
  <c r="AT146" i="53"/>
  <c r="AS146" i="53"/>
  <c r="AR146" i="53"/>
  <c r="AQ146" i="53"/>
  <c r="AP146" i="53"/>
  <c r="AO146" i="53"/>
  <c r="AN146" i="53"/>
  <c r="AM146" i="53"/>
  <c r="AL146" i="53"/>
  <c r="AK146" i="53"/>
  <c r="AJ146" i="53"/>
  <c r="AI146" i="53"/>
  <c r="AH146" i="53"/>
  <c r="AG146" i="53"/>
  <c r="AF146" i="53"/>
  <c r="AE146" i="53"/>
  <c r="AD146" i="53"/>
  <c r="BA145" i="53"/>
  <c r="AZ145" i="53"/>
  <c r="AY145" i="53"/>
  <c r="AX145" i="53"/>
  <c r="AW145" i="53"/>
  <c r="AV145" i="53"/>
  <c r="AU145" i="53"/>
  <c r="AT145" i="53"/>
  <c r="AS145" i="53"/>
  <c r="AR145" i="53"/>
  <c r="AQ145" i="53"/>
  <c r="AP145" i="53"/>
  <c r="AO145" i="53"/>
  <c r="AN145" i="53"/>
  <c r="AM145" i="53"/>
  <c r="AL145" i="53"/>
  <c r="AK145" i="53"/>
  <c r="AJ145" i="53"/>
  <c r="AI145" i="53"/>
  <c r="AH145" i="53"/>
  <c r="AG145" i="53"/>
  <c r="AF145" i="53"/>
  <c r="AE145" i="53"/>
  <c r="AD145" i="53"/>
  <c r="BA144" i="53"/>
  <c r="AZ144" i="53"/>
  <c r="AY144" i="53"/>
  <c r="AX144" i="53"/>
  <c r="AW144" i="53"/>
  <c r="AV144" i="53"/>
  <c r="AU144" i="53"/>
  <c r="AT144" i="53"/>
  <c r="AS144" i="53"/>
  <c r="AR144" i="53"/>
  <c r="AQ144" i="53"/>
  <c r="AP144" i="53"/>
  <c r="AO144" i="53"/>
  <c r="AN144" i="53"/>
  <c r="AM144" i="53"/>
  <c r="AL144" i="53"/>
  <c r="AK144" i="53"/>
  <c r="AJ144" i="53"/>
  <c r="AI144" i="53"/>
  <c r="AH144" i="53"/>
  <c r="AG144" i="53"/>
  <c r="AF144" i="53"/>
  <c r="AE144" i="53"/>
  <c r="AD144" i="53"/>
  <c r="BA143" i="53"/>
  <c r="AZ143" i="53"/>
  <c r="AY143" i="53"/>
  <c r="AX143" i="53"/>
  <c r="AW143" i="53"/>
  <c r="AV143" i="53"/>
  <c r="AU143" i="53"/>
  <c r="AT143" i="53"/>
  <c r="AS143" i="53"/>
  <c r="AR143" i="53"/>
  <c r="AQ143" i="53"/>
  <c r="AP143" i="53"/>
  <c r="AO143" i="53"/>
  <c r="AN143" i="53"/>
  <c r="AM143" i="53"/>
  <c r="AL143" i="53"/>
  <c r="AK143" i="53"/>
  <c r="AJ143" i="53"/>
  <c r="AI143" i="53"/>
  <c r="AH143" i="53"/>
  <c r="AG143" i="53"/>
  <c r="AF143" i="53"/>
  <c r="AE143" i="53"/>
  <c r="AD143" i="53"/>
  <c r="BA142" i="53"/>
  <c r="AZ142" i="53"/>
  <c r="AY142" i="53"/>
  <c r="AX142" i="53"/>
  <c r="AW142" i="53"/>
  <c r="AV142" i="53"/>
  <c r="AU142" i="53"/>
  <c r="AT142" i="53"/>
  <c r="AS142" i="53"/>
  <c r="AR142" i="53"/>
  <c r="AQ142" i="53"/>
  <c r="AP142" i="53"/>
  <c r="AO142" i="53"/>
  <c r="AN142" i="53"/>
  <c r="AM142" i="53"/>
  <c r="AL142" i="53"/>
  <c r="AK142" i="53"/>
  <c r="AJ142" i="53"/>
  <c r="AI142" i="53"/>
  <c r="AH142" i="53"/>
  <c r="AG142" i="53"/>
  <c r="AF142" i="53"/>
  <c r="AE142" i="53"/>
  <c r="AD142" i="53"/>
  <c r="BA141" i="53"/>
  <c r="AZ141" i="53"/>
  <c r="AY141" i="53"/>
  <c r="AX141" i="53"/>
  <c r="AW141" i="53"/>
  <c r="AV141" i="53"/>
  <c r="AU141" i="53"/>
  <c r="AT141" i="53"/>
  <c r="AS141" i="53"/>
  <c r="AR141" i="53"/>
  <c r="AQ141" i="53"/>
  <c r="AP141" i="53"/>
  <c r="AO141" i="53"/>
  <c r="AN141" i="53"/>
  <c r="AM141" i="53"/>
  <c r="AL141" i="53"/>
  <c r="AK141" i="53"/>
  <c r="AJ141" i="53"/>
  <c r="AI141" i="53"/>
  <c r="AH141" i="53"/>
  <c r="AG141" i="53"/>
  <c r="AF141" i="53"/>
  <c r="AE141" i="53"/>
  <c r="AD141" i="53"/>
  <c r="BA140" i="53"/>
  <c r="AZ140" i="53"/>
  <c r="AY140" i="53"/>
  <c r="AX140" i="53"/>
  <c r="AW140" i="53"/>
  <c r="AV140" i="53"/>
  <c r="AU140" i="53"/>
  <c r="AT140" i="53"/>
  <c r="AS140" i="53"/>
  <c r="AR140" i="53"/>
  <c r="AQ140" i="53"/>
  <c r="AP140" i="53"/>
  <c r="AO140" i="53"/>
  <c r="AN140" i="53"/>
  <c r="AM140" i="53"/>
  <c r="AL140" i="53"/>
  <c r="AK140" i="53"/>
  <c r="AJ140" i="53"/>
  <c r="AI140" i="53"/>
  <c r="AH140" i="53"/>
  <c r="AG140" i="53"/>
  <c r="AF140" i="53"/>
  <c r="AE140" i="53"/>
  <c r="AD140" i="53"/>
  <c r="BA139" i="53"/>
  <c r="AZ139" i="53"/>
  <c r="AY139" i="53"/>
  <c r="AX139" i="53"/>
  <c r="AW139" i="53"/>
  <c r="AV139" i="53"/>
  <c r="AU139" i="53"/>
  <c r="AT139" i="53"/>
  <c r="AS139" i="53"/>
  <c r="AR139" i="53"/>
  <c r="AQ139" i="53"/>
  <c r="AP139" i="53"/>
  <c r="AO139" i="53"/>
  <c r="AN139" i="53"/>
  <c r="AM139" i="53"/>
  <c r="AL139" i="53"/>
  <c r="AK139" i="53"/>
  <c r="AJ139" i="53"/>
  <c r="AI139" i="53"/>
  <c r="AH139" i="53"/>
  <c r="AG139" i="53"/>
  <c r="AF139" i="53"/>
  <c r="AE139" i="53"/>
  <c r="AD139" i="53"/>
  <c r="BA138" i="53"/>
  <c r="AZ138" i="53"/>
  <c r="AY138" i="53"/>
  <c r="AX138" i="53"/>
  <c r="AW138" i="53"/>
  <c r="AV138" i="53"/>
  <c r="AU138" i="53"/>
  <c r="AT138" i="53"/>
  <c r="AS138" i="53"/>
  <c r="AR138" i="53"/>
  <c r="AQ138" i="53"/>
  <c r="AP138" i="53"/>
  <c r="AO138" i="53"/>
  <c r="AN138" i="53"/>
  <c r="AM138" i="53"/>
  <c r="AL138" i="53"/>
  <c r="AK138" i="53"/>
  <c r="AJ138" i="53"/>
  <c r="AI138" i="53"/>
  <c r="AH138" i="53"/>
  <c r="AG138" i="53"/>
  <c r="AF138" i="53"/>
  <c r="AE138" i="53"/>
  <c r="AD138" i="53"/>
  <c r="BA137" i="53"/>
  <c r="AZ137" i="53"/>
  <c r="AY137" i="53"/>
  <c r="AX137" i="53"/>
  <c r="AW137" i="53"/>
  <c r="AV137" i="53"/>
  <c r="AU137" i="53"/>
  <c r="AT137" i="53"/>
  <c r="AS137" i="53"/>
  <c r="AR137" i="53"/>
  <c r="AQ137" i="53"/>
  <c r="AP137" i="53"/>
  <c r="AO137" i="53"/>
  <c r="AN137" i="53"/>
  <c r="AM137" i="53"/>
  <c r="AL137" i="53"/>
  <c r="AK137" i="53"/>
  <c r="AJ137" i="53"/>
  <c r="AI137" i="53"/>
  <c r="AH137" i="53"/>
  <c r="AG137" i="53"/>
  <c r="AF137" i="53"/>
  <c r="AE137" i="53"/>
  <c r="AD137" i="53"/>
  <c r="BA136" i="53"/>
  <c r="AZ136" i="53"/>
  <c r="AY136" i="53"/>
  <c r="AX136" i="53"/>
  <c r="AW136" i="53"/>
  <c r="AV136" i="53"/>
  <c r="AU136" i="53"/>
  <c r="AT136" i="53"/>
  <c r="AS136" i="53"/>
  <c r="AR136" i="53"/>
  <c r="AQ136" i="53"/>
  <c r="AP136" i="53"/>
  <c r="AO136" i="53"/>
  <c r="AN136" i="53"/>
  <c r="AM136" i="53"/>
  <c r="AL136" i="53"/>
  <c r="AK136" i="53"/>
  <c r="AJ136" i="53"/>
  <c r="AI136" i="53"/>
  <c r="AH136" i="53"/>
  <c r="AG136" i="53"/>
  <c r="AF136" i="53"/>
  <c r="AE136" i="53"/>
  <c r="AD136" i="53"/>
  <c r="BA135" i="53"/>
  <c r="AZ135" i="53"/>
  <c r="AY135" i="53"/>
  <c r="AX135" i="53"/>
  <c r="AW135" i="53"/>
  <c r="AV135" i="53"/>
  <c r="AU135" i="53"/>
  <c r="AT135" i="53"/>
  <c r="AS135" i="53"/>
  <c r="AR135" i="53"/>
  <c r="AQ135" i="53"/>
  <c r="AP135" i="53"/>
  <c r="AO135" i="53"/>
  <c r="AN135" i="53"/>
  <c r="AM135" i="53"/>
  <c r="AL135" i="53"/>
  <c r="AK135" i="53"/>
  <c r="AJ135" i="53"/>
  <c r="AI135" i="53"/>
  <c r="AH135" i="53"/>
  <c r="AG135" i="53"/>
  <c r="AF135" i="53"/>
  <c r="AE135" i="53"/>
  <c r="AD135" i="53"/>
  <c r="BA134" i="53"/>
  <c r="AZ134" i="53"/>
  <c r="AY134" i="53"/>
  <c r="AX134" i="53"/>
  <c r="AW134" i="53"/>
  <c r="AV134" i="53"/>
  <c r="AU134" i="53"/>
  <c r="AT134" i="53"/>
  <c r="AS134" i="53"/>
  <c r="AR134" i="53"/>
  <c r="AQ134" i="53"/>
  <c r="AP134" i="53"/>
  <c r="AO134" i="53"/>
  <c r="AN134" i="53"/>
  <c r="AM134" i="53"/>
  <c r="AL134" i="53"/>
  <c r="AK134" i="53"/>
  <c r="AJ134" i="53"/>
  <c r="AI134" i="53"/>
  <c r="AH134" i="53"/>
  <c r="AG134" i="53"/>
  <c r="AF134" i="53"/>
  <c r="AE134" i="53"/>
  <c r="AD134" i="53"/>
  <c r="BA133" i="53"/>
  <c r="AZ133" i="53"/>
  <c r="AY133" i="53"/>
  <c r="AX133" i="53"/>
  <c r="AW133" i="53"/>
  <c r="AV133" i="53"/>
  <c r="AU133" i="53"/>
  <c r="AT133" i="53"/>
  <c r="AS133" i="53"/>
  <c r="AR133" i="53"/>
  <c r="AQ133" i="53"/>
  <c r="AP133" i="53"/>
  <c r="AO133" i="53"/>
  <c r="AN133" i="53"/>
  <c r="AM133" i="53"/>
  <c r="AL133" i="53"/>
  <c r="AK133" i="53"/>
  <c r="AJ133" i="53"/>
  <c r="AI133" i="53"/>
  <c r="AH133" i="53"/>
  <c r="AG133" i="53"/>
  <c r="AF133" i="53"/>
  <c r="AE133" i="53"/>
  <c r="AD133" i="53"/>
  <c r="AB133" i="53"/>
  <c r="BA132" i="53"/>
  <c r="AZ132" i="53"/>
  <c r="AY132" i="53"/>
  <c r="AX132" i="53"/>
  <c r="AW132" i="53"/>
  <c r="AV132" i="53"/>
  <c r="AU132" i="53"/>
  <c r="AT132" i="53"/>
  <c r="AS132" i="53"/>
  <c r="AR132" i="53"/>
  <c r="AQ132" i="53"/>
  <c r="AP132" i="53"/>
  <c r="AO132" i="53"/>
  <c r="AN132" i="53"/>
  <c r="AM132" i="53"/>
  <c r="AL132" i="53"/>
  <c r="AK132" i="53"/>
  <c r="AJ132" i="53"/>
  <c r="AI132" i="53"/>
  <c r="AH132" i="53"/>
  <c r="AG132" i="53"/>
  <c r="AF132" i="53"/>
  <c r="AE132" i="53"/>
  <c r="AD132" i="53"/>
  <c r="BA131" i="53"/>
  <c r="AZ131" i="53"/>
  <c r="AY131" i="53"/>
  <c r="AX131" i="53"/>
  <c r="AW131" i="53"/>
  <c r="AV131" i="53"/>
  <c r="AU131" i="53"/>
  <c r="AT131" i="53"/>
  <c r="AS131" i="53"/>
  <c r="AR131" i="53"/>
  <c r="AQ131" i="53"/>
  <c r="AP131" i="53"/>
  <c r="AO131" i="53"/>
  <c r="AN131" i="53"/>
  <c r="AM131" i="53"/>
  <c r="AL131" i="53"/>
  <c r="AK131" i="53"/>
  <c r="AJ131" i="53"/>
  <c r="AI131" i="53"/>
  <c r="AH131" i="53"/>
  <c r="AG131" i="53"/>
  <c r="AF131" i="53"/>
  <c r="AE131" i="53"/>
  <c r="AD131" i="53"/>
  <c r="BA130" i="53"/>
  <c r="AZ130" i="53"/>
  <c r="AY130" i="53"/>
  <c r="AX130" i="53"/>
  <c r="AW130" i="53"/>
  <c r="AV130" i="53"/>
  <c r="AU130" i="53"/>
  <c r="AT130" i="53"/>
  <c r="AS130" i="53"/>
  <c r="AR130" i="53"/>
  <c r="AQ130" i="53"/>
  <c r="AP130" i="53"/>
  <c r="AO130" i="53"/>
  <c r="AN130" i="53"/>
  <c r="AM130" i="53"/>
  <c r="AL130" i="53"/>
  <c r="AK130" i="53"/>
  <c r="AJ130" i="53"/>
  <c r="AI130" i="53"/>
  <c r="AH130" i="53"/>
  <c r="AG130" i="53"/>
  <c r="AF130" i="53"/>
  <c r="AE130" i="53"/>
  <c r="AD130" i="53"/>
  <c r="BA129" i="53"/>
  <c r="AZ129" i="53"/>
  <c r="AY129" i="53"/>
  <c r="AX129" i="53"/>
  <c r="AW129" i="53"/>
  <c r="AV129" i="53"/>
  <c r="AU129" i="53"/>
  <c r="AT129" i="53"/>
  <c r="AS129" i="53"/>
  <c r="AR129" i="53"/>
  <c r="AQ129" i="53"/>
  <c r="AP129" i="53"/>
  <c r="AO129" i="53"/>
  <c r="AN129" i="53"/>
  <c r="AM129" i="53"/>
  <c r="AL129" i="53"/>
  <c r="AK129" i="53"/>
  <c r="AJ129" i="53"/>
  <c r="AI129" i="53"/>
  <c r="AH129" i="53"/>
  <c r="AG129" i="53"/>
  <c r="AF129" i="53"/>
  <c r="AE129" i="53"/>
  <c r="AD129" i="53"/>
  <c r="BA128" i="53"/>
  <c r="AZ128" i="53"/>
  <c r="AY128" i="53"/>
  <c r="AX128" i="53"/>
  <c r="AW128" i="53"/>
  <c r="AV128" i="53"/>
  <c r="AU128" i="53"/>
  <c r="AT128" i="53"/>
  <c r="AS128" i="53"/>
  <c r="AR128" i="53"/>
  <c r="AQ128" i="53"/>
  <c r="AP128" i="53"/>
  <c r="AO128" i="53"/>
  <c r="AN128" i="53"/>
  <c r="AM128" i="53"/>
  <c r="AL128" i="53"/>
  <c r="AK128" i="53"/>
  <c r="AJ128" i="53"/>
  <c r="AI128" i="53"/>
  <c r="AH128" i="53"/>
  <c r="AG128" i="53"/>
  <c r="AF128" i="53"/>
  <c r="AE128" i="53"/>
  <c r="AD128" i="53"/>
  <c r="BA127" i="53"/>
  <c r="AZ127" i="53"/>
  <c r="AY127" i="53"/>
  <c r="AX127" i="53"/>
  <c r="AW127" i="53"/>
  <c r="AV127" i="53"/>
  <c r="AU127" i="53"/>
  <c r="AT127" i="53"/>
  <c r="AS127" i="53"/>
  <c r="AR127" i="53"/>
  <c r="AQ127" i="53"/>
  <c r="AP127" i="53"/>
  <c r="AO127" i="53"/>
  <c r="AN127" i="53"/>
  <c r="AM127" i="53"/>
  <c r="AL127" i="53"/>
  <c r="AK127" i="53"/>
  <c r="AJ127" i="53"/>
  <c r="AI127" i="53"/>
  <c r="AH127" i="53"/>
  <c r="AG127" i="53"/>
  <c r="AF127" i="53"/>
  <c r="AE127" i="53"/>
  <c r="AD127" i="53"/>
  <c r="BA126" i="53"/>
  <c r="AZ126" i="53"/>
  <c r="AY126" i="53"/>
  <c r="AX126" i="53"/>
  <c r="AW126" i="53"/>
  <c r="AV126" i="53"/>
  <c r="AU126" i="53"/>
  <c r="AT126" i="53"/>
  <c r="AS126" i="53"/>
  <c r="AR126" i="53"/>
  <c r="AQ126" i="53"/>
  <c r="AP126" i="53"/>
  <c r="AO126" i="53"/>
  <c r="AN126" i="53"/>
  <c r="AM126" i="53"/>
  <c r="AL126" i="53"/>
  <c r="AK126" i="53"/>
  <c r="AJ126" i="53"/>
  <c r="AI126" i="53"/>
  <c r="AH126" i="53"/>
  <c r="AG126" i="53"/>
  <c r="AF126" i="53"/>
  <c r="AE126" i="53"/>
  <c r="AD126" i="53"/>
  <c r="BA125" i="53"/>
  <c r="AZ125" i="53"/>
  <c r="AY125" i="53"/>
  <c r="AX125" i="53"/>
  <c r="AW125" i="53"/>
  <c r="AV125" i="53"/>
  <c r="AU125" i="53"/>
  <c r="AT125" i="53"/>
  <c r="AS125" i="53"/>
  <c r="AR125" i="53"/>
  <c r="AQ125" i="53"/>
  <c r="AP125" i="53"/>
  <c r="AO125" i="53"/>
  <c r="AN125" i="53"/>
  <c r="AM125" i="53"/>
  <c r="AL125" i="53"/>
  <c r="AK125" i="53"/>
  <c r="AJ125" i="53"/>
  <c r="AI125" i="53"/>
  <c r="AH125" i="53"/>
  <c r="AG125" i="53"/>
  <c r="AF125" i="53"/>
  <c r="AE125" i="53"/>
  <c r="AD125" i="53"/>
  <c r="BA124" i="53"/>
  <c r="AZ124" i="53"/>
  <c r="AY124" i="53"/>
  <c r="AX124" i="53"/>
  <c r="AW124" i="53"/>
  <c r="AV124" i="53"/>
  <c r="AU124" i="53"/>
  <c r="AT124" i="53"/>
  <c r="AS124" i="53"/>
  <c r="AR124" i="53"/>
  <c r="AQ124" i="53"/>
  <c r="AP124" i="53"/>
  <c r="AO124" i="53"/>
  <c r="AN124" i="53"/>
  <c r="AM124" i="53"/>
  <c r="AL124" i="53"/>
  <c r="AK124" i="53"/>
  <c r="AJ124" i="53"/>
  <c r="AI124" i="53"/>
  <c r="AH124" i="53"/>
  <c r="AG124" i="53"/>
  <c r="AF124" i="53"/>
  <c r="AE124" i="53"/>
  <c r="AD124" i="53"/>
  <c r="BA123" i="53"/>
  <c r="AZ123" i="53"/>
  <c r="AY123" i="53"/>
  <c r="AX123" i="53"/>
  <c r="AW123" i="53"/>
  <c r="AV123" i="53"/>
  <c r="AU123" i="53"/>
  <c r="AT123" i="53"/>
  <c r="AS123" i="53"/>
  <c r="AR123" i="53"/>
  <c r="AQ123" i="53"/>
  <c r="AP123" i="53"/>
  <c r="AO123" i="53"/>
  <c r="AN123" i="53"/>
  <c r="AM123" i="53"/>
  <c r="AL123" i="53"/>
  <c r="AK123" i="53"/>
  <c r="AJ123" i="53"/>
  <c r="AI123" i="53"/>
  <c r="AH123" i="53"/>
  <c r="AG123" i="53"/>
  <c r="AF123" i="53"/>
  <c r="AE123" i="53"/>
  <c r="AD123" i="53"/>
  <c r="BA122" i="53"/>
  <c r="AZ122" i="53"/>
  <c r="AY122" i="53"/>
  <c r="AX122" i="53"/>
  <c r="AW122" i="53"/>
  <c r="AV122" i="53"/>
  <c r="AU122" i="53"/>
  <c r="AT122" i="53"/>
  <c r="AS122" i="53"/>
  <c r="AR122" i="53"/>
  <c r="AQ122" i="53"/>
  <c r="AP122" i="53"/>
  <c r="AO122" i="53"/>
  <c r="AN122" i="53"/>
  <c r="AM122" i="53"/>
  <c r="AL122" i="53"/>
  <c r="AK122" i="53"/>
  <c r="AJ122" i="53"/>
  <c r="AI122" i="53"/>
  <c r="AH122" i="53"/>
  <c r="AG122" i="53"/>
  <c r="AF122" i="53"/>
  <c r="AE122" i="53"/>
  <c r="AD122" i="53"/>
  <c r="BA121" i="53"/>
  <c r="AZ121" i="53"/>
  <c r="AY121" i="53"/>
  <c r="AX121" i="53"/>
  <c r="AW121" i="53"/>
  <c r="AV121" i="53"/>
  <c r="AU121" i="53"/>
  <c r="AT121" i="53"/>
  <c r="AS121" i="53"/>
  <c r="AR121" i="53"/>
  <c r="AQ121" i="53"/>
  <c r="AP121" i="53"/>
  <c r="AO121" i="53"/>
  <c r="AN121" i="53"/>
  <c r="AM121" i="53"/>
  <c r="AL121" i="53"/>
  <c r="AK121" i="53"/>
  <c r="AJ121" i="53"/>
  <c r="AI121" i="53"/>
  <c r="AH121" i="53"/>
  <c r="AG121" i="53"/>
  <c r="AF121" i="53"/>
  <c r="AE121" i="53"/>
  <c r="AD121" i="53"/>
  <c r="BA120" i="53"/>
  <c r="AZ120" i="53"/>
  <c r="AY120" i="53"/>
  <c r="AX120" i="53"/>
  <c r="AW120" i="53"/>
  <c r="AV120" i="53"/>
  <c r="AU120" i="53"/>
  <c r="AT120" i="53"/>
  <c r="AS120" i="53"/>
  <c r="AR120" i="53"/>
  <c r="AQ120" i="53"/>
  <c r="AP120" i="53"/>
  <c r="AO120" i="53"/>
  <c r="AN120" i="53"/>
  <c r="AM120" i="53"/>
  <c r="AL120" i="53"/>
  <c r="AK120" i="53"/>
  <c r="AJ120" i="53"/>
  <c r="AI120" i="53"/>
  <c r="AH120" i="53"/>
  <c r="AG120" i="53"/>
  <c r="AF120" i="53"/>
  <c r="AE120" i="53"/>
  <c r="AD120" i="53"/>
  <c r="BA119" i="53"/>
  <c r="AZ119" i="53"/>
  <c r="AY119" i="53"/>
  <c r="AX119" i="53"/>
  <c r="AW119" i="53"/>
  <c r="AV119" i="53"/>
  <c r="AU119" i="53"/>
  <c r="AT119" i="53"/>
  <c r="AS119" i="53"/>
  <c r="AR119" i="53"/>
  <c r="AQ119" i="53"/>
  <c r="AP119" i="53"/>
  <c r="AO119" i="53"/>
  <c r="AN119" i="53"/>
  <c r="AM119" i="53"/>
  <c r="AL119" i="53"/>
  <c r="AK119" i="53"/>
  <c r="AJ119" i="53"/>
  <c r="AI119" i="53"/>
  <c r="AH119" i="53"/>
  <c r="AG119" i="53"/>
  <c r="AF119" i="53"/>
  <c r="AE119" i="53"/>
  <c r="AD119" i="53"/>
  <c r="BA118" i="53"/>
  <c r="AZ118" i="53"/>
  <c r="AY118" i="53"/>
  <c r="AX118" i="53"/>
  <c r="AW118" i="53"/>
  <c r="AV118" i="53"/>
  <c r="AU118" i="53"/>
  <c r="AT118" i="53"/>
  <c r="AS118" i="53"/>
  <c r="AR118" i="53"/>
  <c r="AQ118" i="53"/>
  <c r="AP118" i="53"/>
  <c r="AO118" i="53"/>
  <c r="AN118" i="53"/>
  <c r="AM118" i="53"/>
  <c r="AL118" i="53"/>
  <c r="AK118" i="53"/>
  <c r="AJ118" i="53"/>
  <c r="AI118" i="53"/>
  <c r="AH118" i="53"/>
  <c r="AG118" i="53"/>
  <c r="AF118" i="53"/>
  <c r="AE118" i="53"/>
  <c r="AD118" i="53"/>
  <c r="BA117" i="53"/>
  <c r="AZ117" i="53"/>
  <c r="AY117" i="53"/>
  <c r="AX117" i="53"/>
  <c r="AW117" i="53"/>
  <c r="AV117" i="53"/>
  <c r="AU117" i="53"/>
  <c r="AT117" i="53"/>
  <c r="AS117" i="53"/>
  <c r="AR117" i="53"/>
  <c r="AQ117" i="53"/>
  <c r="AP117" i="53"/>
  <c r="AO117" i="53"/>
  <c r="AN117" i="53"/>
  <c r="AM117" i="53"/>
  <c r="AL117" i="53"/>
  <c r="AK117" i="53"/>
  <c r="AJ117" i="53"/>
  <c r="AI117" i="53"/>
  <c r="AH117" i="53"/>
  <c r="AG117" i="53"/>
  <c r="AF117" i="53"/>
  <c r="AE117" i="53"/>
  <c r="AD117" i="53"/>
  <c r="BA116" i="53"/>
  <c r="AZ116" i="53"/>
  <c r="AY116" i="53"/>
  <c r="AX116" i="53"/>
  <c r="AW116" i="53"/>
  <c r="AV116" i="53"/>
  <c r="AU116" i="53"/>
  <c r="AT116" i="53"/>
  <c r="AS116" i="53"/>
  <c r="AR116" i="53"/>
  <c r="AQ116" i="53"/>
  <c r="AP116" i="53"/>
  <c r="AO116" i="53"/>
  <c r="AN116" i="53"/>
  <c r="AM116" i="53"/>
  <c r="AL116" i="53"/>
  <c r="AK116" i="53"/>
  <c r="AJ116" i="53"/>
  <c r="AI116" i="53"/>
  <c r="AH116" i="53"/>
  <c r="AG116" i="53"/>
  <c r="AF116" i="53"/>
  <c r="AE116" i="53"/>
  <c r="AD116" i="53"/>
  <c r="BA115" i="53"/>
  <c r="AZ115" i="53"/>
  <c r="AY115" i="53"/>
  <c r="AX115" i="53"/>
  <c r="AW115" i="53"/>
  <c r="AV115" i="53"/>
  <c r="AU115" i="53"/>
  <c r="AT115" i="53"/>
  <c r="AS115" i="53"/>
  <c r="AR115" i="53"/>
  <c r="AQ115" i="53"/>
  <c r="AP115" i="53"/>
  <c r="AO115" i="53"/>
  <c r="AN115" i="53"/>
  <c r="AM115" i="53"/>
  <c r="AL115" i="53"/>
  <c r="AK115" i="53"/>
  <c r="AJ115" i="53"/>
  <c r="AI115" i="53"/>
  <c r="AH115" i="53"/>
  <c r="AG115" i="53"/>
  <c r="AF115" i="53"/>
  <c r="AE115" i="53"/>
  <c r="AD115" i="53"/>
  <c r="BA114" i="53"/>
  <c r="AZ114" i="53"/>
  <c r="AY114" i="53"/>
  <c r="AX114" i="53"/>
  <c r="AW114" i="53"/>
  <c r="AV114" i="53"/>
  <c r="AU114" i="53"/>
  <c r="AT114" i="53"/>
  <c r="AS114" i="53"/>
  <c r="AR114" i="53"/>
  <c r="AQ114" i="53"/>
  <c r="AP114" i="53"/>
  <c r="AO114" i="53"/>
  <c r="AN114" i="53"/>
  <c r="AM114" i="53"/>
  <c r="AL114" i="53"/>
  <c r="AK114" i="53"/>
  <c r="AJ114" i="53"/>
  <c r="AI114" i="53"/>
  <c r="AH114" i="53"/>
  <c r="AG114" i="53"/>
  <c r="AF114" i="53"/>
  <c r="AE114" i="53"/>
  <c r="AD114" i="53"/>
  <c r="BA113" i="53"/>
  <c r="AZ113" i="53"/>
  <c r="AY113" i="53"/>
  <c r="AX113" i="53"/>
  <c r="AW113" i="53"/>
  <c r="AV113" i="53"/>
  <c r="AU113" i="53"/>
  <c r="AT113" i="53"/>
  <c r="AS113" i="53"/>
  <c r="AR113" i="53"/>
  <c r="AQ113" i="53"/>
  <c r="AP113" i="53"/>
  <c r="AO113" i="53"/>
  <c r="AN113" i="53"/>
  <c r="AM113" i="53"/>
  <c r="AL113" i="53"/>
  <c r="AK113" i="53"/>
  <c r="AJ113" i="53"/>
  <c r="AI113" i="53"/>
  <c r="AH113" i="53"/>
  <c r="AG113" i="53"/>
  <c r="AF113" i="53"/>
  <c r="AE113" i="53"/>
  <c r="AD113" i="53"/>
  <c r="BA112" i="53"/>
  <c r="AZ112" i="53"/>
  <c r="AY112" i="53"/>
  <c r="AX112" i="53"/>
  <c r="AW112" i="53"/>
  <c r="AV112" i="53"/>
  <c r="AU112" i="53"/>
  <c r="AT112" i="53"/>
  <c r="AS112" i="53"/>
  <c r="AR112" i="53"/>
  <c r="AQ112" i="53"/>
  <c r="AP112" i="53"/>
  <c r="AO112" i="53"/>
  <c r="AN112" i="53"/>
  <c r="AM112" i="53"/>
  <c r="AL112" i="53"/>
  <c r="AK112" i="53"/>
  <c r="AJ112" i="53"/>
  <c r="AI112" i="53"/>
  <c r="AH112" i="53"/>
  <c r="AG112" i="53"/>
  <c r="AF112" i="53"/>
  <c r="AE112" i="53"/>
  <c r="AD112" i="53"/>
  <c r="BA111" i="53"/>
  <c r="AZ111" i="53"/>
  <c r="AY111" i="53"/>
  <c r="AX111" i="53"/>
  <c r="AW111" i="53"/>
  <c r="AV111" i="53"/>
  <c r="AU111" i="53"/>
  <c r="AT111" i="53"/>
  <c r="AS111" i="53"/>
  <c r="AR111" i="53"/>
  <c r="AQ111" i="53"/>
  <c r="AP111" i="53"/>
  <c r="AO111" i="53"/>
  <c r="AN111" i="53"/>
  <c r="AM111" i="53"/>
  <c r="AL111" i="53"/>
  <c r="AK111" i="53"/>
  <c r="AJ111" i="53"/>
  <c r="AI111" i="53"/>
  <c r="AH111" i="53"/>
  <c r="AG111" i="53"/>
  <c r="AF111" i="53"/>
  <c r="AE111" i="53"/>
  <c r="AD111" i="53"/>
  <c r="BA110" i="53"/>
  <c r="AZ110" i="53"/>
  <c r="AY110" i="53"/>
  <c r="AX110" i="53"/>
  <c r="AW110" i="53"/>
  <c r="AV110" i="53"/>
  <c r="AU110" i="53"/>
  <c r="AT110" i="53"/>
  <c r="AS110" i="53"/>
  <c r="AR110" i="53"/>
  <c r="AQ110" i="53"/>
  <c r="AP110" i="53"/>
  <c r="AO110" i="53"/>
  <c r="AN110" i="53"/>
  <c r="AM110" i="53"/>
  <c r="AL110" i="53"/>
  <c r="AK110" i="53"/>
  <c r="AJ110" i="53"/>
  <c r="AI110" i="53"/>
  <c r="AH110" i="53"/>
  <c r="AG110" i="53"/>
  <c r="AF110" i="53"/>
  <c r="AE110" i="53"/>
  <c r="AD110" i="53"/>
  <c r="BA109" i="53"/>
  <c r="AZ109" i="53"/>
  <c r="AY109" i="53"/>
  <c r="AX109" i="53"/>
  <c r="AW109" i="53"/>
  <c r="AV109" i="53"/>
  <c r="AU109" i="53"/>
  <c r="AT109" i="53"/>
  <c r="AS109" i="53"/>
  <c r="AR109" i="53"/>
  <c r="AQ109" i="53"/>
  <c r="AP109" i="53"/>
  <c r="AO109" i="53"/>
  <c r="AN109" i="53"/>
  <c r="AM109" i="53"/>
  <c r="AL109" i="53"/>
  <c r="AK109" i="53"/>
  <c r="AJ109" i="53"/>
  <c r="AI109" i="53"/>
  <c r="AH109" i="53"/>
  <c r="AG109" i="53"/>
  <c r="AF109" i="53"/>
  <c r="AE109" i="53"/>
  <c r="AD109" i="53"/>
  <c r="BA108" i="53"/>
  <c r="AZ108" i="53"/>
  <c r="AY108" i="53"/>
  <c r="AX108" i="53"/>
  <c r="AW108" i="53"/>
  <c r="AV108" i="53"/>
  <c r="AU108" i="53"/>
  <c r="AT108" i="53"/>
  <c r="AS108" i="53"/>
  <c r="AR108" i="53"/>
  <c r="AQ108" i="53"/>
  <c r="AP108" i="53"/>
  <c r="AO108" i="53"/>
  <c r="AN108" i="53"/>
  <c r="AM108" i="53"/>
  <c r="AL108" i="53"/>
  <c r="AK108" i="53"/>
  <c r="AJ108" i="53"/>
  <c r="AI108" i="53"/>
  <c r="AH108" i="53"/>
  <c r="AG108" i="53"/>
  <c r="AF108" i="53"/>
  <c r="AE108" i="53"/>
  <c r="AD108" i="53"/>
  <c r="BA107" i="53"/>
  <c r="AZ107" i="53"/>
  <c r="AY107" i="53"/>
  <c r="AX107" i="53"/>
  <c r="AW107" i="53"/>
  <c r="AV107" i="53"/>
  <c r="AU107" i="53"/>
  <c r="AT107" i="53"/>
  <c r="AS107" i="53"/>
  <c r="AR107" i="53"/>
  <c r="AQ107" i="53"/>
  <c r="AP107" i="53"/>
  <c r="AO107" i="53"/>
  <c r="AN107" i="53"/>
  <c r="AM107" i="53"/>
  <c r="AL107" i="53"/>
  <c r="AK107" i="53"/>
  <c r="AJ107" i="53"/>
  <c r="AI107" i="53"/>
  <c r="AH107" i="53"/>
  <c r="AG107" i="53"/>
  <c r="AF107" i="53"/>
  <c r="AE107" i="53"/>
  <c r="AD107" i="53"/>
  <c r="BA106" i="53"/>
  <c r="AZ106" i="53"/>
  <c r="AY106" i="53"/>
  <c r="AX106" i="53"/>
  <c r="AW106" i="53"/>
  <c r="AV106" i="53"/>
  <c r="AU106" i="53"/>
  <c r="AT106" i="53"/>
  <c r="AS106" i="53"/>
  <c r="AR106" i="53"/>
  <c r="AQ106" i="53"/>
  <c r="AP106" i="53"/>
  <c r="AO106" i="53"/>
  <c r="AN106" i="53"/>
  <c r="AM106" i="53"/>
  <c r="AL106" i="53"/>
  <c r="AK106" i="53"/>
  <c r="AJ106" i="53"/>
  <c r="AI106" i="53"/>
  <c r="AH106" i="53"/>
  <c r="AG106" i="53"/>
  <c r="AF106" i="53"/>
  <c r="AE106" i="53"/>
  <c r="AD106" i="53"/>
  <c r="BA105" i="53"/>
  <c r="AZ105" i="53"/>
  <c r="AY105" i="53"/>
  <c r="AX105" i="53"/>
  <c r="AW105" i="53"/>
  <c r="AV105" i="53"/>
  <c r="AU105" i="53"/>
  <c r="AT105" i="53"/>
  <c r="AS105" i="53"/>
  <c r="AR105" i="53"/>
  <c r="AQ105" i="53"/>
  <c r="AP105" i="53"/>
  <c r="AO105" i="53"/>
  <c r="AN105" i="53"/>
  <c r="AM105" i="53"/>
  <c r="AL105" i="53"/>
  <c r="AK105" i="53"/>
  <c r="AJ105" i="53"/>
  <c r="AI105" i="53"/>
  <c r="AH105" i="53"/>
  <c r="AG105" i="53"/>
  <c r="AF105" i="53"/>
  <c r="AE105" i="53"/>
  <c r="AD105" i="53"/>
  <c r="BA104" i="53"/>
  <c r="AZ104" i="53"/>
  <c r="AY104" i="53"/>
  <c r="AX104" i="53"/>
  <c r="AW104" i="53"/>
  <c r="AV104" i="53"/>
  <c r="AU104" i="53"/>
  <c r="AT104" i="53"/>
  <c r="AS104" i="53"/>
  <c r="AR104" i="53"/>
  <c r="AQ104" i="53"/>
  <c r="AP104" i="53"/>
  <c r="AO104" i="53"/>
  <c r="AN104" i="53"/>
  <c r="AM104" i="53"/>
  <c r="AL104" i="53"/>
  <c r="AK104" i="53"/>
  <c r="AJ104" i="53"/>
  <c r="AI104" i="53"/>
  <c r="AH104" i="53"/>
  <c r="AG104" i="53"/>
  <c r="AF104" i="53"/>
  <c r="AE104" i="53"/>
  <c r="AD104" i="53"/>
  <c r="BA103" i="53"/>
  <c r="AZ103" i="53"/>
  <c r="AY103" i="53"/>
  <c r="AX103" i="53"/>
  <c r="AW103" i="53"/>
  <c r="AV103" i="53"/>
  <c r="AU103" i="53"/>
  <c r="AT103" i="53"/>
  <c r="AS103" i="53"/>
  <c r="AR103" i="53"/>
  <c r="AQ103" i="53"/>
  <c r="AP103" i="53"/>
  <c r="AO103" i="53"/>
  <c r="AN103" i="53"/>
  <c r="AM103" i="53"/>
  <c r="AL103" i="53"/>
  <c r="AK103" i="53"/>
  <c r="AJ103" i="53"/>
  <c r="AI103" i="53"/>
  <c r="AH103" i="53"/>
  <c r="AG103" i="53"/>
  <c r="AF103" i="53"/>
  <c r="AE103" i="53"/>
  <c r="AD103" i="53"/>
  <c r="AB103" i="53"/>
  <c r="BA102" i="53"/>
  <c r="AZ102" i="53"/>
  <c r="AY102" i="53"/>
  <c r="AX102" i="53"/>
  <c r="AW102" i="53"/>
  <c r="AV102" i="53"/>
  <c r="AU102" i="53"/>
  <c r="AT102" i="53"/>
  <c r="AS102" i="53"/>
  <c r="AR102" i="53"/>
  <c r="AQ102" i="53"/>
  <c r="AP102" i="53"/>
  <c r="AO102" i="53"/>
  <c r="AN102" i="53"/>
  <c r="AM102" i="53"/>
  <c r="AL102" i="53"/>
  <c r="AK102" i="53"/>
  <c r="AJ102" i="53"/>
  <c r="AI102" i="53"/>
  <c r="AH102" i="53"/>
  <c r="AG102" i="53"/>
  <c r="AF102" i="53"/>
  <c r="AE102" i="53"/>
  <c r="AD102" i="53"/>
  <c r="BA101" i="53"/>
  <c r="AZ101" i="53"/>
  <c r="AY101" i="53"/>
  <c r="AX101" i="53"/>
  <c r="AW101" i="53"/>
  <c r="AV101" i="53"/>
  <c r="AU101" i="53"/>
  <c r="AT101" i="53"/>
  <c r="AS101" i="53"/>
  <c r="AR101" i="53"/>
  <c r="AQ101" i="53"/>
  <c r="AP101" i="53"/>
  <c r="AO101" i="53"/>
  <c r="AN101" i="53"/>
  <c r="AM101" i="53"/>
  <c r="AL101" i="53"/>
  <c r="AK101" i="53"/>
  <c r="AJ101" i="53"/>
  <c r="AI101" i="53"/>
  <c r="AH101" i="53"/>
  <c r="AG101" i="53"/>
  <c r="AF101" i="53"/>
  <c r="AE101" i="53"/>
  <c r="AD101" i="53"/>
  <c r="BA100" i="53"/>
  <c r="AZ100" i="53"/>
  <c r="AY100" i="53"/>
  <c r="AX100" i="53"/>
  <c r="AW100" i="53"/>
  <c r="AV100" i="53"/>
  <c r="AU100" i="53"/>
  <c r="AT100" i="53"/>
  <c r="AS100" i="53"/>
  <c r="AR100" i="53"/>
  <c r="AQ100" i="53"/>
  <c r="AP100" i="53"/>
  <c r="AO100" i="53"/>
  <c r="AN100" i="53"/>
  <c r="AM100" i="53"/>
  <c r="AL100" i="53"/>
  <c r="AK100" i="53"/>
  <c r="AJ100" i="53"/>
  <c r="AI100" i="53"/>
  <c r="AH100" i="53"/>
  <c r="AG100" i="53"/>
  <c r="AF100" i="53"/>
  <c r="AE100" i="53"/>
  <c r="AD100" i="53"/>
  <c r="BA99" i="53"/>
  <c r="AZ99" i="53"/>
  <c r="AY99" i="53"/>
  <c r="AX99" i="53"/>
  <c r="AW99" i="53"/>
  <c r="AV99" i="53"/>
  <c r="AU99" i="53"/>
  <c r="AT99" i="53"/>
  <c r="AS99" i="53"/>
  <c r="AR99" i="53"/>
  <c r="AQ99" i="53"/>
  <c r="AP99" i="53"/>
  <c r="AO99" i="53"/>
  <c r="AN99" i="53"/>
  <c r="AM99" i="53"/>
  <c r="AL99" i="53"/>
  <c r="AK99" i="53"/>
  <c r="AJ99" i="53"/>
  <c r="AI99" i="53"/>
  <c r="AH99" i="53"/>
  <c r="AG99" i="53"/>
  <c r="AF99" i="53"/>
  <c r="AE99" i="53"/>
  <c r="AD99" i="53"/>
  <c r="BA98" i="53"/>
  <c r="AZ98" i="53"/>
  <c r="AY98" i="53"/>
  <c r="AX98" i="53"/>
  <c r="AW98" i="53"/>
  <c r="AV98" i="53"/>
  <c r="AU98" i="53"/>
  <c r="AT98" i="53"/>
  <c r="AS98" i="53"/>
  <c r="AR98" i="53"/>
  <c r="AQ98" i="53"/>
  <c r="AP98" i="53"/>
  <c r="AO98" i="53"/>
  <c r="AN98" i="53"/>
  <c r="AM98" i="53"/>
  <c r="AL98" i="53"/>
  <c r="AK98" i="53"/>
  <c r="AJ98" i="53"/>
  <c r="AI98" i="53"/>
  <c r="AH98" i="53"/>
  <c r="AG98" i="53"/>
  <c r="AF98" i="53"/>
  <c r="AE98" i="53"/>
  <c r="AD98" i="53"/>
  <c r="BA97" i="53"/>
  <c r="AZ97" i="53"/>
  <c r="AY97" i="53"/>
  <c r="AX97" i="53"/>
  <c r="AW97" i="53"/>
  <c r="AV97" i="53"/>
  <c r="AU97" i="53"/>
  <c r="AT97" i="53"/>
  <c r="AS97" i="53"/>
  <c r="AR97" i="53"/>
  <c r="AQ97" i="53"/>
  <c r="AP97" i="53"/>
  <c r="AO97" i="53"/>
  <c r="AN97" i="53"/>
  <c r="AM97" i="53"/>
  <c r="AL97" i="53"/>
  <c r="AK97" i="53"/>
  <c r="AJ97" i="53"/>
  <c r="AI97" i="53"/>
  <c r="AH97" i="53"/>
  <c r="AG97" i="53"/>
  <c r="AF97" i="53"/>
  <c r="AE97" i="53"/>
  <c r="AD97" i="53"/>
  <c r="BA96" i="53"/>
  <c r="AZ96" i="53"/>
  <c r="AY96" i="53"/>
  <c r="AX96" i="53"/>
  <c r="AW96" i="53"/>
  <c r="AV96" i="53"/>
  <c r="AU96" i="53"/>
  <c r="AT96" i="53"/>
  <c r="AS96" i="53"/>
  <c r="AR96" i="53"/>
  <c r="AQ96" i="53"/>
  <c r="AP96" i="53"/>
  <c r="AO96" i="53"/>
  <c r="AN96" i="53"/>
  <c r="AM96" i="53"/>
  <c r="AL96" i="53"/>
  <c r="AK96" i="53"/>
  <c r="AJ96" i="53"/>
  <c r="AI96" i="53"/>
  <c r="AH96" i="53"/>
  <c r="AG96" i="53"/>
  <c r="AF96" i="53"/>
  <c r="AE96" i="53"/>
  <c r="AD96" i="53"/>
  <c r="BA95" i="53"/>
  <c r="AZ95" i="53"/>
  <c r="AY95" i="53"/>
  <c r="AX95" i="53"/>
  <c r="AW95" i="53"/>
  <c r="AV95" i="53"/>
  <c r="AU95" i="53"/>
  <c r="AT95" i="53"/>
  <c r="AS95" i="53"/>
  <c r="AR95" i="53"/>
  <c r="AQ95" i="53"/>
  <c r="AP95" i="53"/>
  <c r="AO95" i="53"/>
  <c r="AN95" i="53"/>
  <c r="AM95" i="53"/>
  <c r="AL95" i="53"/>
  <c r="AK95" i="53"/>
  <c r="AJ95" i="53"/>
  <c r="AI95" i="53"/>
  <c r="AH95" i="53"/>
  <c r="AG95" i="53"/>
  <c r="AF95" i="53"/>
  <c r="AE95" i="53"/>
  <c r="AD95" i="53"/>
  <c r="BA94" i="53"/>
  <c r="AZ94" i="53"/>
  <c r="AY94" i="53"/>
  <c r="AX94" i="53"/>
  <c r="AW94" i="53"/>
  <c r="AV94" i="53"/>
  <c r="AU94" i="53"/>
  <c r="AT94" i="53"/>
  <c r="AS94" i="53"/>
  <c r="AR94" i="53"/>
  <c r="AQ94" i="53"/>
  <c r="AP94" i="53"/>
  <c r="AO94" i="53"/>
  <c r="AN94" i="53"/>
  <c r="AM94" i="53"/>
  <c r="AL94" i="53"/>
  <c r="AK94" i="53"/>
  <c r="AJ94" i="53"/>
  <c r="AI94" i="53"/>
  <c r="AH94" i="53"/>
  <c r="AG94" i="53"/>
  <c r="AF94" i="53"/>
  <c r="AE94" i="53"/>
  <c r="AD94" i="53"/>
  <c r="BA93" i="53"/>
  <c r="AZ93" i="53"/>
  <c r="AY93" i="53"/>
  <c r="AX93" i="53"/>
  <c r="AW93" i="53"/>
  <c r="AV93" i="53"/>
  <c r="AU93" i="53"/>
  <c r="AT93" i="53"/>
  <c r="AS93" i="53"/>
  <c r="AR93" i="53"/>
  <c r="AQ93" i="53"/>
  <c r="AP93" i="53"/>
  <c r="AO93" i="53"/>
  <c r="AN93" i="53"/>
  <c r="AM93" i="53"/>
  <c r="AL93" i="53"/>
  <c r="AK93" i="53"/>
  <c r="AJ93" i="53"/>
  <c r="AI93" i="53"/>
  <c r="AH93" i="53"/>
  <c r="AG93" i="53"/>
  <c r="AF93" i="53"/>
  <c r="AE93" i="53"/>
  <c r="AD93" i="53"/>
  <c r="BA92" i="53"/>
  <c r="AZ92" i="53"/>
  <c r="AY92" i="53"/>
  <c r="AX92" i="53"/>
  <c r="AW92" i="53"/>
  <c r="AV92" i="53"/>
  <c r="AU92" i="53"/>
  <c r="AT92" i="53"/>
  <c r="AS92" i="53"/>
  <c r="AR92" i="53"/>
  <c r="AQ92" i="53"/>
  <c r="AP92" i="53"/>
  <c r="AO92" i="53"/>
  <c r="AN92" i="53"/>
  <c r="AM92" i="53"/>
  <c r="AL92" i="53"/>
  <c r="AK92" i="53"/>
  <c r="AJ92" i="53"/>
  <c r="AI92" i="53"/>
  <c r="AH92" i="53"/>
  <c r="AG92" i="53"/>
  <c r="AF92" i="53"/>
  <c r="AE92" i="53"/>
  <c r="AD92" i="53"/>
  <c r="BA91" i="53"/>
  <c r="AZ91" i="53"/>
  <c r="AY91" i="53"/>
  <c r="AX91" i="53"/>
  <c r="AW91" i="53"/>
  <c r="AV91" i="53"/>
  <c r="AU91" i="53"/>
  <c r="AT91" i="53"/>
  <c r="AS91" i="53"/>
  <c r="AR91" i="53"/>
  <c r="AQ91" i="53"/>
  <c r="AP91" i="53"/>
  <c r="AO91" i="53"/>
  <c r="AN91" i="53"/>
  <c r="AM91" i="53"/>
  <c r="AL91" i="53"/>
  <c r="AK91" i="53"/>
  <c r="AJ91" i="53"/>
  <c r="AI91" i="53"/>
  <c r="AH91" i="53"/>
  <c r="AG91" i="53"/>
  <c r="AF91" i="53"/>
  <c r="AE91" i="53"/>
  <c r="AD91" i="53"/>
  <c r="BA90" i="53"/>
  <c r="AZ90" i="53"/>
  <c r="AY90" i="53"/>
  <c r="AX90" i="53"/>
  <c r="AW90" i="53"/>
  <c r="AV90" i="53"/>
  <c r="AU90" i="53"/>
  <c r="AT90" i="53"/>
  <c r="AS90" i="53"/>
  <c r="AR90" i="53"/>
  <c r="AQ90" i="53"/>
  <c r="AP90" i="53"/>
  <c r="AO90" i="53"/>
  <c r="AN90" i="53"/>
  <c r="AM90" i="53"/>
  <c r="AL90" i="53"/>
  <c r="AK90" i="53"/>
  <c r="AJ90" i="53"/>
  <c r="AI90" i="53"/>
  <c r="AH90" i="53"/>
  <c r="AG90" i="53"/>
  <c r="AF90" i="53"/>
  <c r="AE90" i="53"/>
  <c r="AD90" i="53"/>
  <c r="BA89" i="53"/>
  <c r="AZ89" i="53"/>
  <c r="AY89" i="53"/>
  <c r="AX89" i="53"/>
  <c r="AW89" i="53"/>
  <c r="AV89" i="53"/>
  <c r="AU89" i="53"/>
  <c r="AT89" i="53"/>
  <c r="AS89" i="53"/>
  <c r="AR89" i="53"/>
  <c r="AQ89" i="53"/>
  <c r="AP89" i="53"/>
  <c r="AO89" i="53"/>
  <c r="AN89" i="53"/>
  <c r="AM89" i="53"/>
  <c r="AL89" i="53"/>
  <c r="AK89" i="53"/>
  <c r="AJ89" i="53"/>
  <c r="AI89" i="53"/>
  <c r="AH89" i="53"/>
  <c r="AG89" i="53"/>
  <c r="AF89" i="53"/>
  <c r="AE89" i="53"/>
  <c r="AD89" i="53"/>
  <c r="BA88" i="53"/>
  <c r="AZ88" i="53"/>
  <c r="AY88" i="53"/>
  <c r="AX88" i="53"/>
  <c r="AW88" i="53"/>
  <c r="AV88" i="53"/>
  <c r="AU88" i="53"/>
  <c r="AT88" i="53"/>
  <c r="AS88" i="53"/>
  <c r="AR88" i="53"/>
  <c r="AQ88" i="53"/>
  <c r="AP88" i="53"/>
  <c r="AO88" i="53"/>
  <c r="AN88" i="53"/>
  <c r="AM88" i="53"/>
  <c r="AL88" i="53"/>
  <c r="AK88" i="53"/>
  <c r="AJ88" i="53"/>
  <c r="AI88" i="53"/>
  <c r="AH88" i="53"/>
  <c r="AG88" i="53"/>
  <c r="AF88" i="53"/>
  <c r="AE88" i="53"/>
  <c r="AD88" i="53"/>
  <c r="BA87" i="53"/>
  <c r="AZ87" i="53"/>
  <c r="AY87" i="53"/>
  <c r="AX87" i="53"/>
  <c r="AW87" i="53"/>
  <c r="AV87" i="53"/>
  <c r="AU87" i="53"/>
  <c r="AT87" i="53"/>
  <c r="AS87" i="53"/>
  <c r="AR87" i="53"/>
  <c r="AQ87" i="53"/>
  <c r="AP87" i="53"/>
  <c r="AO87" i="53"/>
  <c r="AN87" i="53"/>
  <c r="AM87" i="53"/>
  <c r="AL87" i="53"/>
  <c r="AK87" i="53"/>
  <c r="AJ87" i="53"/>
  <c r="AI87" i="53"/>
  <c r="AH87" i="53"/>
  <c r="AG87" i="53"/>
  <c r="AF87" i="53"/>
  <c r="AE87" i="53"/>
  <c r="AD87" i="53"/>
  <c r="BA86" i="53"/>
  <c r="AZ86" i="53"/>
  <c r="AY86" i="53"/>
  <c r="AX86" i="53"/>
  <c r="AW86" i="53"/>
  <c r="AV86" i="53"/>
  <c r="AU86" i="53"/>
  <c r="AT86" i="53"/>
  <c r="AS86" i="53"/>
  <c r="AR86" i="53"/>
  <c r="AQ86" i="53"/>
  <c r="AP86" i="53"/>
  <c r="AO86" i="53"/>
  <c r="AN86" i="53"/>
  <c r="AM86" i="53"/>
  <c r="AL86" i="53"/>
  <c r="AK86" i="53"/>
  <c r="AJ86" i="53"/>
  <c r="AI86" i="53"/>
  <c r="AH86" i="53"/>
  <c r="AG86" i="53"/>
  <c r="AF86" i="53"/>
  <c r="AE86" i="53"/>
  <c r="AD86" i="53"/>
  <c r="BA85" i="53"/>
  <c r="AZ85" i="53"/>
  <c r="AY85" i="53"/>
  <c r="AX85" i="53"/>
  <c r="AW85" i="53"/>
  <c r="AV85" i="53"/>
  <c r="AU85" i="53"/>
  <c r="AT85" i="53"/>
  <c r="AS85" i="53"/>
  <c r="AR85" i="53"/>
  <c r="AQ85" i="53"/>
  <c r="AP85" i="53"/>
  <c r="AO85" i="53"/>
  <c r="AN85" i="53"/>
  <c r="AM85" i="53"/>
  <c r="AL85" i="53"/>
  <c r="AK85" i="53"/>
  <c r="AJ85" i="53"/>
  <c r="AI85" i="53"/>
  <c r="AH85" i="53"/>
  <c r="AG85" i="53"/>
  <c r="AF85" i="53"/>
  <c r="AE85" i="53"/>
  <c r="AD85" i="53"/>
  <c r="BA84" i="53"/>
  <c r="AZ84" i="53"/>
  <c r="AY84" i="53"/>
  <c r="AX84" i="53"/>
  <c r="AW84" i="53"/>
  <c r="AV84" i="53"/>
  <c r="AU84" i="53"/>
  <c r="AT84" i="53"/>
  <c r="AS84" i="53"/>
  <c r="AR84" i="53"/>
  <c r="AQ84" i="53"/>
  <c r="AP84" i="53"/>
  <c r="AO84" i="53"/>
  <c r="AN84" i="53"/>
  <c r="AM84" i="53"/>
  <c r="AL84" i="53"/>
  <c r="AK84" i="53"/>
  <c r="AJ84" i="53"/>
  <c r="AI84" i="53"/>
  <c r="AH84" i="53"/>
  <c r="AG84" i="53"/>
  <c r="AF84" i="53"/>
  <c r="AE84" i="53"/>
  <c r="AD84" i="53"/>
  <c r="BA83" i="53"/>
  <c r="AZ83" i="53"/>
  <c r="AY83" i="53"/>
  <c r="AX83" i="53"/>
  <c r="AW83" i="53"/>
  <c r="AV83" i="53"/>
  <c r="AU83" i="53"/>
  <c r="AT83" i="53"/>
  <c r="AS83" i="53"/>
  <c r="AR83" i="53"/>
  <c r="AQ83" i="53"/>
  <c r="AP83" i="53"/>
  <c r="AO83" i="53"/>
  <c r="AN83" i="53"/>
  <c r="AM83" i="53"/>
  <c r="AL83" i="53"/>
  <c r="AK83" i="53"/>
  <c r="AJ83" i="53"/>
  <c r="AI83" i="53"/>
  <c r="AH83" i="53"/>
  <c r="AG83" i="53"/>
  <c r="AF83" i="53"/>
  <c r="AE83" i="53"/>
  <c r="AD83" i="53"/>
  <c r="BA82" i="53"/>
  <c r="AZ82" i="53"/>
  <c r="AY82" i="53"/>
  <c r="AX82" i="53"/>
  <c r="AW82" i="53"/>
  <c r="AV82" i="53"/>
  <c r="AU82" i="53"/>
  <c r="AT82" i="53"/>
  <c r="AS82" i="53"/>
  <c r="AR82" i="53"/>
  <c r="AQ82" i="53"/>
  <c r="AP82" i="53"/>
  <c r="AO82" i="53"/>
  <c r="AN82" i="53"/>
  <c r="AM82" i="53"/>
  <c r="AL82" i="53"/>
  <c r="AK82" i="53"/>
  <c r="AJ82" i="53"/>
  <c r="AI82" i="53"/>
  <c r="AH82" i="53"/>
  <c r="AG82" i="53"/>
  <c r="AF82" i="53"/>
  <c r="AE82" i="53"/>
  <c r="AD82" i="53"/>
  <c r="BA81" i="53"/>
  <c r="AZ81" i="53"/>
  <c r="AY81" i="53"/>
  <c r="AX81" i="53"/>
  <c r="AW81" i="53"/>
  <c r="AV81" i="53"/>
  <c r="AU81" i="53"/>
  <c r="AT81" i="53"/>
  <c r="AS81" i="53"/>
  <c r="AR81" i="53"/>
  <c r="AQ81" i="53"/>
  <c r="AP81" i="53"/>
  <c r="AO81" i="53"/>
  <c r="AN81" i="53"/>
  <c r="AM81" i="53"/>
  <c r="AL81" i="53"/>
  <c r="AK81" i="53"/>
  <c r="AJ81" i="53"/>
  <c r="AI81" i="53"/>
  <c r="AH81" i="53"/>
  <c r="AG81" i="53"/>
  <c r="AF81" i="53"/>
  <c r="AE81" i="53"/>
  <c r="AD81" i="53"/>
  <c r="BA80" i="53"/>
  <c r="AZ80" i="53"/>
  <c r="AY80" i="53"/>
  <c r="AX80" i="53"/>
  <c r="AW80" i="53"/>
  <c r="AV80" i="53"/>
  <c r="AU80" i="53"/>
  <c r="AT80" i="53"/>
  <c r="AS80" i="53"/>
  <c r="AR80" i="53"/>
  <c r="AQ80" i="53"/>
  <c r="AP80" i="53"/>
  <c r="AO80" i="53"/>
  <c r="AN80" i="53"/>
  <c r="AM80" i="53"/>
  <c r="AL80" i="53"/>
  <c r="AK80" i="53"/>
  <c r="AJ80" i="53"/>
  <c r="AI80" i="53"/>
  <c r="AH80" i="53"/>
  <c r="AG80" i="53"/>
  <c r="AF80" i="53"/>
  <c r="AE80" i="53"/>
  <c r="AD80" i="53"/>
  <c r="BA79" i="53"/>
  <c r="AZ79" i="53"/>
  <c r="AY79" i="53"/>
  <c r="AX79" i="53"/>
  <c r="AW79" i="53"/>
  <c r="AV79" i="53"/>
  <c r="AU79" i="53"/>
  <c r="AT79" i="53"/>
  <c r="AS79" i="53"/>
  <c r="AR79" i="53"/>
  <c r="AQ79" i="53"/>
  <c r="AP79" i="53"/>
  <c r="AO79" i="53"/>
  <c r="AN79" i="53"/>
  <c r="AM79" i="53"/>
  <c r="AL79" i="53"/>
  <c r="AK79" i="53"/>
  <c r="AJ79" i="53"/>
  <c r="AI79" i="53"/>
  <c r="AH79" i="53"/>
  <c r="AG79" i="53"/>
  <c r="AF79" i="53"/>
  <c r="AE79" i="53"/>
  <c r="AD79" i="53"/>
  <c r="BA78" i="53"/>
  <c r="AZ78" i="53"/>
  <c r="AY78" i="53"/>
  <c r="AX78" i="53"/>
  <c r="AW78" i="53"/>
  <c r="AV78" i="53"/>
  <c r="AU78" i="53"/>
  <c r="AT78" i="53"/>
  <c r="AS78" i="53"/>
  <c r="AR78" i="53"/>
  <c r="AQ78" i="53"/>
  <c r="AP78" i="53"/>
  <c r="AO78" i="53"/>
  <c r="AN78" i="53"/>
  <c r="AM78" i="53"/>
  <c r="AL78" i="53"/>
  <c r="AK78" i="53"/>
  <c r="AJ78" i="53"/>
  <c r="AI78" i="53"/>
  <c r="AH78" i="53"/>
  <c r="AG78" i="53"/>
  <c r="AF78" i="53"/>
  <c r="AE78" i="53"/>
  <c r="AD78" i="53"/>
  <c r="BA77" i="53"/>
  <c r="AZ77" i="53"/>
  <c r="AY77" i="53"/>
  <c r="AX77" i="53"/>
  <c r="AW77" i="53"/>
  <c r="AV77" i="53"/>
  <c r="AU77" i="53"/>
  <c r="AT77" i="53"/>
  <c r="AS77" i="53"/>
  <c r="AR77" i="53"/>
  <c r="AQ77" i="53"/>
  <c r="AP77" i="53"/>
  <c r="AO77" i="53"/>
  <c r="AN77" i="53"/>
  <c r="AM77" i="53"/>
  <c r="AL77" i="53"/>
  <c r="AK77" i="53"/>
  <c r="AJ77" i="53"/>
  <c r="AI77" i="53"/>
  <c r="AH77" i="53"/>
  <c r="AG77" i="53"/>
  <c r="AF77" i="53"/>
  <c r="AE77" i="53"/>
  <c r="AD77" i="53"/>
  <c r="BA76" i="53"/>
  <c r="AZ76" i="53"/>
  <c r="AY76" i="53"/>
  <c r="AX76" i="53"/>
  <c r="AW76" i="53"/>
  <c r="AV76" i="53"/>
  <c r="AU76" i="53"/>
  <c r="AT76" i="53"/>
  <c r="AS76" i="53"/>
  <c r="AR76" i="53"/>
  <c r="AQ76" i="53"/>
  <c r="AP76" i="53"/>
  <c r="AO76" i="53"/>
  <c r="AN76" i="53"/>
  <c r="AM76" i="53"/>
  <c r="AL76" i="53"/>
  <c r="AK76" i="53"/>
  <c r="AJ76" i="53"/>
  <c r="AI76" i="53"/>
  <c r="AH76" i="53"/>
  <c r="AG76" i="53"/>
  <c r="AF76" i="53"/>
  <c r="AE76" i="53"/>
  <c r="AD76" i="53"/>
  <c r="BA75" i="53"/>
  <c r="AZ75" i="53"/>
  <c r="AY75" i="53"/>
  <c r="AX75" i="53"/>
  <c r="AW75" i="53"/>
  <c r="AV75" i="53"/>
  <c r="AU75" i="53"/>
  <c r="AT75" i="53"/>
  <c r="AS75" i="53"/>
  <c r="AR75" i="53"/>
  <c r="AQ75" i="53"/>
  <c r="AP75" i="53"/>
  <c r="AO75" i="53"/>
  <c r="AN75" i="53"/>
  <c r="AM75" i="53"/>
  <c r="AL75" i="53"/>
  <c r="AK75" i="53"/>
  <c r="AJ75" i="53"/>
  <c r="AI75" i="53"/>
  <c r="AH75" i="53"/>
  <c r="AG75" i="53"/>
  <c r="AF75" i="53"/>
  <c r="AE75" i="53"/>
  <c r="AD75" i="53"/>
  <c r="BA74" i="53"/>
  <c r="AZ74" i="53"/>
  <c r="AY74" i="53"/>
  <c r="AX74" i="53"/>
  <c r="AW74" i="53"/>
  <c r="AV74" i="53"/>
  <c r="AU74" i="53"/>
  <c r="AT74" i="53"/>
  <c r="AS74" i="53"/>
  <c r="AR74" i="53"/>
  <c r="AQ74" i="53"/>
  <c r="AP74" i="53"/>
  <c r="AO74" i="53"/>
  <c r="AN74" i="53"/>
  <c r="AM74" i="53"/>
  <c r="AL74" i="53"/>
  <c r="AK74" i="53"/>
  <c r="AJ74" i="53"/>
  <c r="AI74" i="53"/>
  <c r="AH74" i="53"/>
  <c r="AG74" i="53"/>
  <c r="AF74" i="53"/>
  <c r="AE74" i="53"/>
  <c r="AD74" i="53"/>
  <c r="BA73" i="53"/>
  <c r="AZ73" i="53"/>
  <c r="AY73" i="53"/>
  <c r="AX73" i="53"/>
  <c r="AW73" i="53"/>
  <c r="AV73" i="53"/>
  <c r="AU73" i="53"/>
  <c r="AT73" i="53"/>
  <c r="AS73" i="53"/>
  <c r="AR73" i="53"/>
  <c r="AQ73" i="53"/>
  <c r="AP73" i="53"/>
  <c r="AO73" i="53"/>
  <c r="AN73" i="53"/>
  <c r="AM73" i="53"/>
  <c r="AL73" i="53"/>
  <c r="AK73" i="53"/>
  <c r="AJ73" i="53"/>
  <c r="AI73" i="53"/>
  <c r="AH73" i="53"/>
  <c r="AG73" i="53"/>
  <c r="AF73" i="53"/>
  <c r="AE73" i="53"/>
  <c r="AD73" i="53"/>
  <c r="BA72" i="53"/>
  <c r="AZ72" i="53"/>
  <c r="AY72" i="53"/>
  <c r="AX72" i="53"/>
  <c r="AW72" i="53"/>
  <c r="AV72" i="53"/>
  <c r="AU72" i="53"/>
  <c r="AT72" i="53"/>
  <c r="AS72" i="53"/>
  <c r="AR72" i="53"/>
  <c r="AQ72" i="53"/>
  <c r="AP72" i="53"/>
  <c r="AO72" i="53"/>
  <c r="AN72" i="53"/>
  <c r="AM72" i="53"/>
  <c r="AL72" i="53"/>
  <c r="AK72" i="53"/>
  <c r="AJ72" i="53"/>
  <c r="AI72" i="53"/>
  <c r="AH72" i="53"/>
  <c r="AG72" i="53"/>
  <c r="AF72" i="53"/>
  <c r="AE72" i="53"/>
  <c r="AD72" i="53"/>
  <c r="AB72" i="53"/>
  <c r="BA71" i="53"/>
  <c r="AZ71" i="53"/>
  <c r="AY71" i="53"/>
  <c r="AX71" i="53"/>
  <c r="AW71" i="53"/>
  <c r="AV71" i="53"/>
  <c r="AU71" i="53"/>
  <c r="AT71" i="53"/>
  <c r="AS71" i="53"/>
  <c r="AR71" i="53"/>
  <c r="AQ71" i="53"/>
  <c r="AP71" i="53"/>
  <c r="AO71" i="53"/>
  <c r="AN71" i="53"/>
  <c r="AM71" i="53"/>
  <c r="AL71" i="53"/>
  <c r="AK71" i="53"/>
  <c r="AJ71" i="53"/>
  <c r="AI71" i="53"/>
  <c r="AH71" i="53"/>
  <c r="AG71" i="53"/>
  <c r="AF71" i="53"/>
  <c r="AE71" i="53"/>
  <c r="AD71" i="53"/>
  <c r="BA70" i="53"/>
  <c r="AZ70" i="53"/>
  <c r="AY70" i="53"/>
  <c r="AX70" i="53"/>
  <c r="AW70" i="53"/>
  <c r="AV70" i="53"/>
  <c r="AU70" i="53"/>
  <c r="AT70" i="53"/>
  <c r="AS70" i="53"/>
  <c r="AR70" i="53"/>
  <c r="AQ70" i="53"/>
  <c r="AP70" i="53"/>
  <c r="AO70" i="53"/>
  <c r="AN70" i="53"/>
  <c r="AM70" i="53"/>
  <c r="AL70" i="53"/>
  <c r="AK70" i="53"/>
  <c r="AJ70" i="53"/>
  <c r="AI70" i="53"/>
  <c r="AH70" i="53"/>
  <c r="AG70" i="53"/>
  <c r="AF70" i="53"/>
  <c r="AE70" i="53"/>
  <c r="AD70" i="53"/>
  <c r="BA69" i="53"/>
  <c r="AZ69" i="53"/>
  <c r="AY69" i="53"/>
  <c r="AX69" i="53"/>
  <c r="AW69" i="53"/>
  <c r="AV69" i="53"/>
  <c r="AU69" i="53"/>
  <c r="AT69" i="53"/>
  <c r="AS69" i="53"/>
  <c r="AR69" i="53"/>
  <c r="AQ69" i="53"/>
  <c r="AP69" i="53"/>
  <c r="AO69" i="53"/>
  <c r="AN69" i="53"/>
  <c r="AM69" i="53"/>
  <c r="AL69" i="53"/>
  <c r="AK69" i="53"/>
  <c r="AJ69" i="53"/>
  <c r="AI69" i="53"/>
  <c r="AH69" i="53"/>
  <c r="AG69" i="53"/>
  <c r="AF69" i="53"/>
  <c r="AE69" i="53"/>
  <c r="AD69" i="53"/>
  <c r="BA68" i="53"/>
  <c r="AZ68" i="53"/>
  <c r="AY68" i="53"/>
  <c r="AX68" i="53"/>
  <c r="AW68" i="53"/>
  <c r="AV68" i="53"/>
  <c r="AU68" i="53"/>
  <c r="AT68" i="53"/>
  <c r="AS68" i="53"/>
  <c r="AR68" i="53"/>
  <c r="AQ68" i="53"/>
  <c r="AP68" i="53"/>
  <c r="AO68" i="53"/>
  <c r="AN68" i="53"/>
  <c r="AM68" i="53"/>
  <c r="AL68" i="53"/>
  <c r="AK68" i="53"/>
  <c r="AJ68" i="53"/>
  <c r="AI68" i="53"/>
  <c r="AH68" i="53"/>
  <c r="AG68" i="53"/>
  <c r="AF68" i="53"/>
  <c r="AE68" i="53"/>
  <c r="AD68" i="53"/>
  <c r="BA67" i="53"/>
  <c r="AZ67" i="53"/>
  <c r="AY67" i="53"/>
  <c r="AX67" i="53"/>
  <c r="AW67" i="53"/>
  <c r="AV67" i="53"/>
  <c r="AU67" i="53"/>
  <c r="AT67" i="53"/>
  <c r="AS67" i="53"/>
  <c r="AR67" i="53"/>
  <c r="AQ67" i="53"/>
  <c r="AP67" i="53"/>
  <c r="AO67" i="53"/>
  <c r="AN67" i="53"/>
  <c r="AM67" i="53"/>
  <c r="AL67" i="53"/>
  <c r="AK67" i="53"/>
  <c r="AJ67" i="53"/>
  <c r="AI67" i="53"/>
  <c r="AH67" i="53"/>
  <c r="AG67" i="53"/>
  <c r="AF67" i="53"/>
  <c r="AE67" i="53"/>
  <c r="AD67" i="53"/>
  <c r="BA66" i="53"/>
  <c r="AZ66" i="53"/>
  <c r="AY66" i="53"/>
  <c r="AX66" i="53"/>
  <c r="AW66" i="53"/>
  <c r="AV66" i="53"/>
  <c r="AU66" i="53"/>
  <c r="AT66" i="53"/>
  <c r="AS66" i="53"/>
  <c r="AR66" i="53"/>
  <c r="AQ66" i="53"/>
  <c r="AP66" i="53"/>
  <c r="AO66" i="53"/>
  <c r="AN66" i="53"/>
  <c r="AM66" i="53"/>
  <c r="AL66" i="53"/>
  <c r="AK66" i="53"/>
  <c r="AJ66" i="53"/>
  <c r="AI66" i="53"/>
  <c r="AH66" i="53"/>
  <c r="AG66" i="53"/>
  <c r="AF66" i="53"/>
  <c r="AE66" i="53"/>
  <c r="AD66" i="53"/>
  <c r="BA65" i="53"/>
  <c r="AZ65" i="53"/>
  <c r="AY65" i="53"/>
  <c r="AX65" i="53"/>
  <c r="AW65" i="53"/>
  <c r="AV65" i="53"/>
  <c r="AU65" i="53"/>
  <c r="AT65" i="53"/>
  <c r="AS65" i="53"/>
  <c r="AR65" i="53"/>
  <c r="AQ65" i="53"/>
  <c r="AP65" i="53"/>
  <c r="AO65" i="53"/>
  <c r="AN65" i="53"/>
  <c r="AM65" i="53"/>
  <c r="AL65" i="53"/>
  <c r="AK65" i="53"/>
  <c r="AJ65" i="53"/>
  <c r="AI65" i="53"/>
  <c r="AH65" i="53"/>
  <c r="AG65" i="53"/>
  <c r="AF65" i="53"/>
  <c r="AE65" i="53"/>
  <c r="AD65" i="53"/>
  <c r="BA64" i="53"/>
  <c r="AZ64" i="53"/>
  <c r="AY64" i="53"/>
  <c r="AX64" i="53"/>
  <c r="AW64" i="53"/>
  <c r="AV64" i="53"/>
  <c r="AU64" i="53"/>
  <c r="AT64" i="53"/>
  <c r="AS64" i="53"/>
  <c r="AR64" i="53"/>
  <c r="AQ64" i="53"/>
  <c r="AP64" i="53"/>
  <c r="AO64" i="53"/>
  <c r="AN64" i="53"/>
  <c r="AM64" i="53"/>
  <c r="AL64" i="53"/>
  <c r="AK64" i="53"/>
  <c r="AJ64" i="53"/>
  <c r="AI64" i="53"/>
  <c r="AH64" i="53"/>
  <c r="AG64" i="53"/>
  <c r="AF64" i="53"/>
  <c r="AE64" i="53"/>
  <c r="AD64" i="53"/>
  <c r="BA63" i="53"/>
  <c r="AZ63" i="53"/>
  <c r="AY63" i="53"/>
  <c r="AX63" i="53"/>
  <c r="AW63" i="53"/>
  <c r="AV63" i="53"/>
  <c r="AU63" i="53"/>
  <c r="AT63" i="53"/>
  <c r="AS63" i="53"/>
  <c r="AR63" i="53"/>
  <c r="AQ63" i="53"/>
  <c r="AP63" i="53"/>
  <c r="AO63" i="53"/>
  <c r="AN63" i="53"/>
  <c r="AM63" i="53"/>
  <c r="AL63" i="53"/>
  <c r="AK63" i="53"/>
  <c r="AJ63" i="53"/>
  <c r="AI63" i="53"/>
  <c r="AH63" i="53"/>
  <c r="AG63" i="53"/>
  <c r="AF63" i="53"/>
  <c r="AE63" i="53"/>
  <c r="AD63" i="53"/>
  <c r="BA62" i="53"/>
  <c r="AZ62" i="53"/>
  <c r="AY62" i="53"/>
  <c r="AX62" i="53"/>
  <c r="AW62" i="53"/>
  <c r="AV62" i="53"/>
  <c r="AU62" i="53"/>
  <c r="AT62" i="53"/>
  <c r="AS62" i="53"/>
  <c r="AR62" i="53"/>
  <c r="AQ62" i="53"/>
  <c r="AP62" i="53"/>
  <c r="AO62" i="53"/>
  <c r="AN62" i="53"/>
  <c r="AM62" i="53"/>
  <c r="AL62" i="53"/>
  <c r="AK62" i="53"/>
  <c r="AJ62" i="53"/>
  <c r="AI62" i="53"/>
  <c r="AH62" i="53"/>
  <c r="AG62" i="53"/>
  <c r="AF62" i="53"/>
  <c r="AE62" i="53"/>
  <c r="AD62" i="53"/>
  <c r="BA61" i="53"/>
  <c r="AZ61" i="53"/>
  <c r="AY61" i="53"/>
  <c r="AX61" i="53"/>
  <c r="AW61" i="53"/>
  <c r="AV61" i="53"/>
  <c r="AU61" i="53"/>
  <c r="AT61" i="53"/>
  <c r="AS61" i="53"/>
  <c r="AR61" i="53"/>
  <c r="AQ61" i="53"/>
  <c r="AP61" i="53"/>
  <c r="AO61" i="53"/>
  <c r="AN61" i="53"/>
  <c r="AM61" i="53"/>
  <c r="AL61" i="53"/>
  <c r="AK61" i="53"/>
  <c r="AJ61" i="53"/>
  <c r="AI61" i="53"/>
  <c r="AH61" i="53"/>
  <c r="AG61" i="53"/>
  <c r="AF61" i="53"/>
  <c r="AE61" i="53"/>
  <c r="AD61" i="53"/>
  <c r="BA60" i="53"/>
  <c r="AZ60" i="53"/>
  <c r="AY60" i="53"/>
  <c r="AX60" i="53"/>
  <c r="AW60" i="53"/>
  <c r="AV60" i="53"/>
  <c r="AU60" i="53"/>
  <c r="AT60" i="53"/>
  <c r="AS60" i="53"/>
  <c r="AR60" i="53"/>
  <c r="AQ60" i="53"/>
  <c r="AP60" i="53"/>
  <c r="AO60" i="53"/>
  <c r="AN60" i="53"/>
  <c r="AM60" i="53"/>
  <c r="AL60" i="53"/>
  <c r="AK60" i="53"/>
  <c r="AJ60" i="53"/>
  <c r="AI60" i="53"/>
  <c r="AH60" i="53"/>
  <c r="AG60" i="53"/>
  <c r="AF60" i="53"/>
  <c r="AE60" i="53"/>
  <c r="AD60" i="53"/>
  <c r="BA59" i="53"/>
  <c r="AZ59" i="53"/>
  <c r="AY59" i="53"/>
  <c r="AX59" i="53"/>
  <c r="AW59" i="53"/>
  <c r="AV59" i="53"/>
  <c r="AU59" i="53"/>
  <c r="AT59" i="53"/>
  <c r="AS59" i="53"/>
  <c r="AR59" i="53"/>
  <c r="AQ59" i="53"/>
  <c r="AP59" i="53"/>
  <c r="AO59" i="53"/>
  <c r="AN59" i="53"/>
  <c r="AM59" i="53"/>
  <c r="AL59" i="53"/>
  <c r="AK59" i="53"/>
  <c r="AJ59" i="53"/>
  <c r="AI59" i="53"/>
  <c r="AH59" i="53"/>
  <c r="AG59" i="53"/>
  <c r="AF59" i="53"/>
  <c r="AE59" i="53"/>
  <c r="AD59" i="53"/>
  <c r="BA58" i="53"/>
  <c r="AZ58" i="53"/>
  <c r="AY58" i="53"/>
  <c r="AX58" i="53"/>
  <c r="AW58" i="53"/>
  <c r="AV58" i="53"/>
  <c r="AU58" i="53"/>
  <c r="AT58" i="53"/>
  <c r="AS58" i="53"/>
  <c r="AR58" i="53"/>
  <c r="AQ58" i="53"/>
  <c r="AP58" i="53"/>
  <c r="AO58" i="53"/>
  <c r="AN58" i="53"/>
  <c r="AM58" i="53"/>
  <c r="AL58" i="53"/>
  <c r="AK58" i="53"/>
  <c r="AJ58" i="53"/>
  <c r="AI58" i="53"/>
  <c r="AH58" i="53"/>
  <c r="AG58" i="53"/>
  <c r="AF58" i="53"/>
  <c r="AE58" i="53"/>
  <c r="AD58" i="53"/>
  <c r="BA57" i="53"/>
  <c r="AZ57" i="53"/>
  <c r="AY57" i="53"/>
  <c r="AX57" i="53"/>
  <c r="AW57" i="53"/>
  <c r="AV57" i="53"/>
  <c r="AU57" i="53"/>
  <c r="AT57" i="53"/>
  <c r="AS57" i="53"/>
  <c r="AR57" i="53"/>
  <c r="AQ57" i="53"/>
  <c r="AP57" i="53"/>
  <c r="AO57" i="53"/>
  <c r="AN57" i="53"/>
  <c r="AM57" i="53"/>
  <c r="AL57" i="53"/>
  <c r="AK57" i="53"/>
  <c r="AJ57" i="53"/>
  <c r="AI57" i="53"/>
  <c r="AH57" i="53"/>
  <c r="AG57" i="53"/>
  <c r="AF57" i="53"/>
  <c r="AE57" i="53"/>
  <c r="AD57" i="53"/>
  <c r="BA56" i="53"/>
  <c r="AZ56" i="53"/>
  <c r="AY56" i="53"/>
  <c r="AX56" i="53"/>
  <c r="AW56" i="53"/>
  <c r="AV56" i="53"/>
  <c r="AU56" i="53"/>
  <c r="AT56" i="53"/>
  <c r="AS56" i="53"/>
  <c r="AR56" i="53"/>
  <c r="AQ56" i="53"/>
  <c r="AP56" i="53"/>
  <c r="AO56" i="53"/>
  <c r="AN56" i="53"/>
  <c r="AM56" i="53"/>
  <c r="AL56" i="53"/>
  <c r="AK56" i="53"/>
  <c r="AJ56" i="53"/>
  <c r="AI56" i="53"/>
  <c r="AH56" i="53"/>
  <c r="AG56" i="53"/>
  <c r="AF56" i="53"/>
  <c r="AE56" i="53"/>
  <c r="AD56" i="53"/>
  <c r="BA55" i="53"/>
  <c r="AZ55" i="53"/>
  <c r="AY55" i="53"/>
  <c r="AX55" i="53"/>
  <c r="AW55" i="53"/>
  <c r="AV55" i="53"/>
  <c r="AU55" i="53"/>
  <c r="AT55" i="53"/>
  <c r="AS55" i="53"/>
  <c r="AR55" i="53"/>
  <c r="AQ55" i="53"/>
  <c r="AP55" i="53"/>
  <c r="AO55" i="53"/>
  <c r="AN55" i="53"/>
  <c r="AM55" i="53"/>
  <c r="AL55" i="53"/>
  <c r="AK55" i="53"/>
  <c r="AJ55" i="53"/>
  <c r="AI55" i="53"/>
  <c r="AH55" i="53"/>
  <c r="AG55" i="53"/>
  <c r="AF55" i="53"/>
  <c r="AE55" i="53"/>
  <c r="AD55" i="53"/>
  <c r="BA54" i="53"/>
  <c r="AZ54" i="53"/>
  <c r="AY54" i="53"/>
  <c r="AX54" i="53"/>
  <c r="AW54" i="53"/>
  <c r="AV54" i="53"/>
  <c r="AU54" i="53"/>
  <c r="AT54" i="53"/>
  <c r="AS54" i="53"/>
  <c r="AR54" i="53"/>
  <c r="AQ54" i="53"/>
  <c r="AP54" i="53"/>
  <c r="AO54" i="53"/>
  <c r="AN54" i="53"/>
  <c r="AM54" i="53"/>
  <c r="AL54" i="53"/>
  <c r="AK54" i="53"/>
  <c r="AJ54" i="53"/>
  <c r="AI54" i="53"/>
  <c r="AH54" i="53"/>
  <c r="AG54" i="53"/>
  <c r="AF54" i="53"/>
  <c r="AE54" i="53"/>
  <c r="AD54" i="53"/>
  <c r="BA53" i="53"/>
  <c r="AZ53" i="53"/>
  <c r="AY53" i="53"/>
  <c r="AX53" i="53"/>
  <c r="AW53" i="53"/>
  <c r="AV53" i="53"/>
  <c r="AU53" i="53"/>
  <c r="AT53" i="53"/>
  <c r="AS53" i="53"/>
  <c r="AR53" i="53"/>
  <c r="AQ53" i="53"/>
  <c r="AP53" i="53"/>
  <c r="AO53" i="53"/>
  <c r="AN53" i="53"/>
  <c r="AM53" i="53"/>
  <c r="AL53" i="53"/>
  <c r="AK53" i="53"/>
  <c r="AJ53" i="53"/>
  <c r="AI53" i="53"/>
  <c r="AH53" i="53"/>
  <c r="AG53" i="53"/>
  <c r="AF53" i="53"/>
  <c r="AE53" i="53"/>
  <c r="AD53" i="53"/>
  <c r="BA52" i="53"/>
  <c r="AZ52" i="53"/>
  <c r="AY52" i="53"/>
  <c r="AX52" i="53"/>
  <c r="AW52" i="53"/>
  <c r="AV52" i="53"/>
  <c r="AU52" i="53"/>
  <c r="AT52" i="53"/>
  <c r="AS52" i="53"/>
  <c r="AR52" i="53"/>
  <c r="AQ52" i="53"/>
  <c r="AP52" i="53"/>
  <c r="AO52" i="53"/>
  <c r="AN52" i="53"/>
  <c r="AM52" i="53"/>
  <c r="AL52" i="53"/>
  <c r="AK52" i="53"/>
  <c r="AJ52" i="53"/>
  <c r="AI52" i="53"/>
  <c r="AH52" i="53"/>
  <c r="AG52" i="53"/>
  <c r="AF52" i="53"/>
  <c r="AE52" i="53"/>
  <c r="AD52" i="53"/>
  <c r="BA51" i="53"/>
  <c r="AZ51" i="53"/>
  <c r="AY51" i="53"/>
  <c r="AX51" i="53"/>
  <c r="AW51" i="53"/>
  <c r="AV51" i="53"/>
  <c r="AU51" i="53"/>
  <c r="AT51" i="53"/>
  <c r="AS51" i="53"/>
  <c r="AR51" i="53"/>
  <c r="AQ51" i="53"/>
  <c r="AP51" i="53"/>
  <c r="AO51" i="53"/>
  <c r="AN51" i="53"/>
  <c r="AM51" i="53"/>
  <c r="AL51" i="53"/>
  <c r="AK51" i="53"/>
  <c r="AJ51" i="53"/>
  <c r="AI51" i="53"/>
  <c r="AH51" i="53"/>
  <c r="AG51" i="53"/>
  <c r="AF51" i="53"/>
  <c r="AE51" i="53"/>
  <c r="AD51" i="53"/>
  <c r="BA50" i="53"/>
  <c r="AZ50" i="53"/>
  <c r="AY50" i="53"/>
  <c r="AX50" i="53"/>
  <c r="AW50" i="53"/>
  <c r="AV50" i="53"/>
  <c r="AU50" i="53"/>
  <c r="AT50" i="53"/>
  <c r="AS50" i="53"/>
  <c r="AR50" i="53"/>
  <c r="AQ50" i="53"/>
  <c r="AP50" i="53"/>
  <c r="AO50" i="53"/>
  <c r="AN50" i="53"/>
  <c r="AM50" i="53"/>
  <c r="AL50" i="53"/>
  <c r="AK50" i="53"/>
  <c r="AJ50" i="53"/>
  <c r="AI50" i="53"/>
  <c r="AH50" i="53"/>
  <c r="AG50" i="53"/>
  <c r="AF50" i="53"/>
  <c r="AE50" i="53"/>
  <c r="AD50" i="53"/>
  <c r="BA49" i="53"/>
  <c r="AZ49" i="53"/>
  <c r="AY49" i="53"/>
  <c r="AX49" i="53"/>
  <c r="AW49" i="53"/>
  <c r="AV49" i="53"/>
  <c r="AU49" i="53"/>
  <c r="AT49" i="53"/>
  <c r="AS49" i="53"/>
  <c r="AR49" i="53"/>
  <c r="AQ49" i="53"/>
  <c r="AP49" i="53"/>
  <c r="AO49" i="53"/>
  <c r="AN49" i="53"/>
  <c r="AM49" i="53"/>
  <c r="AL49" i="53"/>
  <c r="AK49" i="53"/>
  <c r="AJ49" i="53"/>
  <c r="AI49" i="53"/>
  <c r="AH49" i="53"/>
  <c r="AG49" i="53"/>
  <c r="AF49" i="53"/>
  <c r="AE49" i="53"/>
  <c r="AD49" i="53"/>
  <c r="BA48" i="53"/>
  <c r="AZ48" i="53"/>
  <c r="AY48" i="53"/>
  <c r="AX48" i="53"/>
  <c r="AW48" i="53"/>
  <c r="AV48" i="53"/>
  <c r="AU48" i="53"/>
  <c r="AT48" i="53"/>
  <c r="AS48" i="53"/>
  <c r="AR48" i="53"/>
  <c r="AQ48" i="53"/>
  <c r="AP48" i="53"/>
  <c r="AO48" i="53"/>
  <c r="AN48" i="53"/>
  <c r="AM48" i="53"/>
  <c r="AL48" i="53"/>
  <c r="AK48" i="53"/>
  <c r="AJ48" i="53"/>
  <c r="AI48" i="53"/>
  <c r="AH48" i="53"/>
  <c r="AG48" i="53"/>
  <c r="AF48" i="53"/>
  <c r="AE48" i="53"/>
  <c r="AD48" i="53"/>
  <c r="BA47" i="53"/>
  <c r="AZ47" i="53"/>
  <c r="AY47" i="53"/>
  <c r="AX47" i="53"/>
  <c r="AW47" i="53"/>
  <c r="AV47" i="53"/>
  <c r="AU47" i="53"/>
  <c r="AT47" i="53"/>
  <c r="AS47" i="53"/>
  <c r="AR47" i="53"/>
  <c r="AQ47" i="53"/>
  <c r="AP47" i="53"/>
  <c r="AO47" i="53"/>
  <c r="AN47" i="53"/>
  <c r="AM47" i="53"/>
  <c r="AL47" i="53"/>
  <c r="AK47" i="53"/>
  <c r="AJ47" i="53"/>
  <c r="AI47" i="53"/>
  <c r="AH47" i="53"/>
  <c r="AG47" i="53"/>
  <c r="AF47" i="53"/>
  <c r="AE47" i="53"/>
  <c r="AD47" i="53"/>
  <c r="BA46" i="53"/>
  <c r="AZ46" i="53"/>
  <c r="AY46" i="53"/>
  <c r="AX46" i="53"/>
  <c r="AW46" i="53"/>
  <c r="AV46" i="53"/>
  <c r="AU46" i="53"/>
  <c r="AT46" i="53"/>
  <c r="AS46" i="53"/>
  <c r="AR46" i="53"/>
  <c r="AQ46" i="53"/>
  <c r="AP46" i="53"/>
  <c r="AO46" i="53"/>
  <c r="AN46" i="53"/>
  <c r="AM46" i="53"/>
  <c r="AL46" i="53"/>
  <c r="AK46" i="53"/>
  <c r="AJ46" i="53"/>
  <c r="AI46" i="53"/>
  <c r="AH46" i="53"/>
  <c r="AG46" i="53"/>
  <c r="AF46" i="53"/>
  <c r="AE46" i="53"/>
  <c r="AD46" i="53"/>
  <c r="BA45" i="53"/>
  <c r="AZ45" i="53"/>
  <c r="AY45" i="53"/>
  <c r="AX45" i="53"/>
  <c r="AW45" i="53"/>
  <c r="AV45" i="53"/>
  <c r="AU45" i="53"/>
  <c r="AT45" i="53"/>
  <c r="AS45" i="53"/>
  <c r="AR45" i="53"/>
  <c r="AQ45" i="53"/>
  <c r="AP45" i="53"/>
  <c r="AO45" i="53"/>
  <c r="AN45" i="53"/>
  <c r="AM45" i="53"/>
  <c r="AL45" i="53"/>
  <c r="AK45" i="53"/>
  <c r="AJ45" i="53"/>
  <c r="AI45" i="53"/>
  <c r="AH45" i="53"/>
  <c r="AG45" i="53"/>
  <c r="AF45" i="53"/>
  <c r="AE45" i="53"/>
  <c r="AD45" i="53"/>
  <c r="BA44" i="53"/>
  <c r="AZ44" i="53"/>
  <c r="AY44" i="53"/>
  <c r="AX44" i="53"/>
  <c r="AW44" i="53"/>
  <c r="AV44" i="53"/>
  <c r="AU44" i="53"/>
  <c r="AT44" i="53"/>
  <c r="AS44" i="53"/>
  <c r="AR44" i="53"/>
  <c r="AQ44" i="53"/>
  <c r="AP44" i="53"/>
  <c r="AO44" i="53"/>
  <c r="AN44" i="53"/>
  <c r="AM44" i="53"/>
  <c r="AL44" i="53"/>
  <c r="AK44" i="53"/>
  <c r="AJ44" i="53"/>
  <c r="AI44" i="53"/>
  <c r="AH44" i="53"/>
  <c r="AG44" i="53"/>
  <c r="AF44" i="53"/>
  <c r="AE44" i="53"/>
  <c r="AD44" i="53"/>
  <c r="BA43" i="53"/>
  <c r="AZ43" i="53"/>
  <c r="AY43" i="53"/>
  <c r="AX43" i="53"/>
  <c r="AW43" i="53"/>
  <c r="AV43" i="53"/>
  <c r="AU43" i="53"/>
  <c r="AT43" i="53"/>
  <c r="AS43" i="53"/>
  <c r="AR43" i="53"/>
  <c r="AQ43" i="53"/>
  <c r="AP43" i="53"/>
  <c r="AO43" i="53"/>
  <c r="AN43" i="53"/>
  <c r="AM43" i="53"/>
  <c r="AL43" i="53"/>
  <c r="AK43" i="53"/>
  <c r="AJ43" i="53"/>
  <c r="AI43" i="53"/>
  <c r="AH43" i="53"/>
  <c r="AG43" i="53"/>
  <c r="AF43" i="53"/>
  <c r="AE43" i="53"/>
  <c r="AD43" i="53"/>
  <c r="AB43" i="53"/>
  <c r="BA42" i="53"/>
  <c r="AZ42" i="53"/>
  <c r="AY42" i="53"/>
  <c r="AX42" i="53"/>
  <c r="AW42" i="53"/>
  <c r="AV42" i="53"/>
  <c r="AU42" i="53"/>
  <c r="AT42" i="53"/>
  <c r="AS42" i="53"/>
  <c r="AR42" i="53"/>
  <c r="AQ42" i="53"/>
  <c r="AP42" i="53"/>
  <c r="AO42" i="53"/>
  <c r="AN42" i="53"/>
  <c r="AM42" i="53"/>
  <c r="AL42" i="53"/>
  <c r="AK42" i="53"/>
  <c r="AJ42" i="53"/>
  <c r="AI42" i="53"/>
  <c r="AH42" i="53"/>
  <c r="AG42" i="53"/>
  <c r="AF42" i="53"/>
  <c r="AE42" i="53"/>
  <c r="AD42" i="53"/>
  <c r="BA41" i="53"/>
  <c r="AZ41" i="53"/>
  <c r="AY41" i="53"/>
  <c r="AX41" i="53"/>
  <c r="AW41" i="53"/>
  <c r="AV41" i="53"/>
  <c r="AU41" i="53"/>
  <c r="AT41" i="53"/>
  <c r="AS41" i="53"/>
  <c r="AR41" i="53"/>
  <c r="AQ41" i="53"/>
  <c r="AP41" i="53"/>
  <c r="AO41" i="53"/>
  <c r="AN41" i="53"/>
  <c r="AM41" i="53"/>
  <c r="AL41" i="53"/>
  <c r="AK41" i="53"/>
  <c r="AJ41" i="53"/>
  <c r="AI41" i="53"/>
  <c r="AH41" i="53"/>
  <c r="AG41" i="53"/>
  <c r="AF41" i="53"/>
  <c r="AE41" i="53"/>
  <c r="AD41" i="53"/>
  <c r="BA40" i="53"/>
  <c r="AZ40" i="53"/>
  <c r="AY40" i="53"/>
  <c r="AX40" i="53"/>
  <c r="AW40" i="53"/>
  <c r="AV40" i="53"/>
  <c r="AU40" i="53"/>
  <c r="AT40" i="53"/>
  <c r="AS40" i="53"/>
  <c r="AR40" i="53"/>
  <c r="AQ40" i="53"/>
  <c r="AP40" i="53"/>
  <c r="AO40" i="53"/>
  <c r="AN40" i="53"/>
  <c r="AM40" i="53"/>
  <c r="AL40" i="53"/>
  <c r="AK40" i="53"/>
  <c r="AJ40" i="53"/>
  <c r="AI40" i="53"/>
  <c r="AH40" i="53"/>
  <c r="AG40" i="53"/>
  <c r="AF40" i="53"/>
  <c r="AE40" i="53"/>
  <c r="AD40" i="53"/>
  <c r="BA39" i="53"/>
  <c r="AZ39" i="53"/>
  <c r="AY39" i="53"/>
  <c r="AX39" i="53"/>
  <c r="AW39" i="53"/>
  <c r="AV39" i="53"/>
  <c r="AU39" i="53"/>
  <c r="AT39" i="53"/>
  <c r="AS39" i="53"/>
  <c r="AR39" i="53"/>
  <c r="AQ39" i="53"/>
  <c r="AP39" i="53"/>
  <c r="AO39" i="53"/>
  <c r="AN39" i="53"/>
  <c r="AM39" i="53"/>
  <c r="AL39" i="53"/>
  <c r="AK39" i="53"/>
  <c r="AJ39" i="53"/>
  <c r="AI39" i="53"/>
  <c r="AH39" i="53"/>
  <c r="AG39" i="53"/>
  <c r="AF39" i="53"/>
  <c r="AE39" i="53"/>
  <c r="AD39" i="53"/>
  <c r="BA38" i="53"/>
  <c r="AZ38" i="53"/>
  <c r="AY38" i="53"/>
  <c r="AX38" i="53"/>
  <c r="AW38" i="53"/>
  <c r="AV38" i="53"/>
  <c r="AU38" i="53"/>
  <c r="AT38" i="53"/>
  <c r="AS38" i="53"/>
  <c r="AR38" i="53"/>
  <c r="AQ38" i="53"/>
  <c r="AP38" i="53"/>
  <c r="AO38" i="53"/>
  <c r="AN38" i="53"/>
  <c r="AM38" i="53"/>
  <c r="AL38" i="53"/>
  <c r="AK38" i="53"/>
  <c r="AJ38" i="53"/>
  <c r="AI38" i="53"/>
  <c r="AH38" i="53"/>
  <c r="AG38" i="53"/>
  <c r="AF38" i="53"/>
  <c r="AE38" i="53"/>
  <c r="AD38" i="53"/>
  <c r="BA37" i="53"/>
  <c r="AZ37" i="53"/>
  <c r="AY37" i="53"/>
  <c r="AX37" i="53"/>
  <c r="AW37" i="53"/>
  <c r="AV37" i="53"/>
  <c r="AU37" i="53"/>
  <c r="AT37" i="53"/>
  <c r="AS37" i="53"/>
  <c r="AR37" i="53"/>
  <c r="AQ37" i="53"/>
  <c r="AP37" i="53"/>
  <c r="AO37" i="53"/>
  <c r="AN37" i="53"/>
  <c r="AM37" i="53"/>
  <c r="AL37" i="53"/>
  <c r="AK37" i="53"/>
  <c r="AJ37" i="53"/>
  <c r="AI37" i="53"/>
  <c r="AH37" i="53"/>
  <c r="AG37" i="53"/>
  <c r="AF37" i="53"/>
  <c r="AE37" i="53"/>
  <c r="AD37" i="53"/>
  <c r="BA36" i="53"/>
  <c r="AZ36" i="53"/>
  <c r="AY36" i="53"/>
  <c r="AX36" i="53"/>
  <c r="AW36" i="53"/>
  <c r="AV36" i="53"/>
  <c r="AU36" i="53"/>
  <c r="AT36" i="53"/>
  <c r="AS36" i="53"/>
  <c r="AR36" i="53"/>
  <c r="AQ36" i="53"/>
  <c r="AP36" i="53"/>
  <c r="AO36" i="53"/>
  <c r="AN36" i="53"/>
  <c r="AM36" i="53"/>
  <c r="AL36" i="53"/>
  <c r="AK36" i="53"/>
  <c r="AJ36" i="53"/>
  <c r="AI36" i="53"/>
  <c r="AH36" i="53"/>
  <c r="AG36" i="53"/>
  <c r="AF36" i="53"/>
  <c r="AE36" i="53"/>
  <c r="AD36" i="53"/>
  <c r="BA35" i="53"/>
  <c r="AZ35" i="53"/>
  <c r="AY35" i="53"/>
  <c r="AX35" i="53"/>
  <c r="AW35" i="53"/>
  <c r="AV35" i="53"/>
  <c r="AU35" i="53"/>
  <c r="AT35" i="53"/>
  <c r="AS35" i="53"/>
  <c r="AR35" i="53"/>
  <c r="AQ35" i="53"/>
  <c r="AP35" i="53"/>
  <c r="AO35" i="53"/>
  <c r="AN35" i="53"/>
  <c r="AM35" i="53"/>
  <c r="AL35" i="53"/>
  <c r="AK35" i="53"/>
  <c r="AJ35" i="53"/>
  <c r="AI35" i="53"/>
  <c r="AH35" i="53"/>
  <c r="AG35" i="53"/>
  <c r="AF35" i="53"/>
  <c r="AE35" i="53"/>
  <c r="AD35" i="53"/>
  <c r="BA34" i="53"/>
  <c r="AZ34" i="53"/>
  <c r="AY34" i="53"/>
  <c r="AX34" i="53"/>
  <c r="AW34" i="53"/>
  <c r="AV34" i="53"/>
  <c r="AU34" i="53"/>
  <c r="AT34" i="53"/>
  <c r="AS34" i="53"/>
  <c r="AR34" i="53"/>
  <c r="AQ34" i="53"/>
  <c r="AP34" i="53"/>
  <c r="AO34" i="53"/>
  <c r="AN34" i="53"/>
  <c r="AM34" i="53"/>
  <c r="AL34" i="53"/>
  <c r="AK34" i="53"/>
  <c r="AJ34" i="53"/>
  <c r="AI34" i="53"/>
  <c r="AH34" i="53"/>
  <c r="AG34" i="53"/>
  <c r="AF34" i="53"/>
  <c r="AE34" i="53"/>
  <c r="AD34" i="53"/>
  <c r="BA33" i="53"/>
  <c r="AZ33" i="53"/>
  <c r="AY33" i="53"/>
  <c r="AX33" i="53"/>
  <c r="AW33" i="53"/>
  <c r="AV33" i="53"/>
  <c r="AU33" i="53"/>
  <c r="AT33" i="53"/>
  <c r="AS33" i="53"/>
  <c r="AR33" i="53"/>
  <c r="AQ33" i="53"/>
  <c r="AP33" i="53"/>
  <c r="AO33" i="53"/>
  <c r="AN33" i="53"/>
  <c r="AM33" i="53"/>
  <c r="AL33" i="53"/>
  <c r="AK33" i="53"/>
  <c r="AJ33" i="53"/>
  <c r="AI33" i="53"/>
  <c r="AH33" i="53"/>
  <c r="AG33" i="53"/>
  <c r="AF33" i="53"/>
  <c r="AE33" i="53"/>
  <c r="AD33" i="53"/>
  <c r="BA32" i="53"/>
  <c r="AZ32" i="53"/>
  <c r="AY32" i="53"/>
  <c r="AX32" i="53"/>
  <c r="AW32" i="53"/>
  <c r="AV32" i="53"/>
  <c r="AU32" i="53"/>
  <c r="AT32" i="53"/>
  <c r="AS32" i="53"/>
  <c r="AR32" i="53"/>
  <c r="AQ32" i="53"/>
  <c r="AP32" i="53"/>
  <c r="AO32" i="53"/>
  <c r="AN32" i="53"/>
  <c r="AM32" i="53"/>
  <c r="AL32" i="53"/>
  <c r="AK32" i="53"/>
  <c r="AJ32" i="53"/>
  <c r="AI32" i="53"/>
  <c r="AH32" i="53"/>
  <c r="AG32" i="53"/>
  <c r="AF32" i="53"/>
  <c r="AE32" i="53"/>
  <c r="AD32" i="53"/>
  <c r="BA31" i="53"/>
  <c r="AZ31" i="53"/>
  <c r="AY31" i="53"/>
  <c r="AX31" i="53"/>
  <c r="AW31" i="53"/>
  <c r="AV31" i="53"/>
  <c r="AU31" i="53"/>
  <c r="AT31" i="53"/>
  <c r="AS31" i="53"/>
  <c r="AR31" i="53"/>
  <c r="AQ31" i="53"/>
  <c r="AP31" i="53"/>
  <c r="AO31" i="53"/>
  <c r="AN31" i="53"/>
  <c r="AM31" i="53"/>
  <c r="AL31" i="53"/>
  <c r="AK31" i="53"/>
  <c r="AJ31" i="53"/>
  <c r="AI31" i="53"/>
  <c r="AH31" i="53"/>
  <c r="AG31" i="53"/>
  <c r="AF31" i="53"/>
  <c r="AE31" i="53"/>
  <c r="AD31" i="53"/>
  <c r="BA30" i="53"/>
  <c r="AZ30" i="53"/>
  <c r="AY30" i="53"/>
  <c r="AX30" i="53"/>
  <c r="AW30" i="53"/>
  <c r="AV30" i="53"/>
  <c r="AU30" i="53"/>
  <c r="AT30" i="53"/>
  <c r="AS30" i="53"/>
  <c r="AR30" i="53"/>
  <c r="AQ30" i="53"/>
  <c r="AP30" i="53"/>
  <c r="AO30" i="53"/>
  <c r="AN30" i="53"/>
  <c r="AM30" i="53"/>
  <c r="AL30" i="53"/>
  <c r="AK30" i="53"/>
  <c r="AJ30" i="53"/>
  <c r="AI30" i="53"/>
  <c r="AH30" i="53"/>
  <c r="AG30" i="53"/>
  <c r="AF30" i="53"/>
  <c r="AE30" i="53"/>
  <c r="AD30" i="53"/>
  <c r="BA29" i="53"/>
  <c r="AZ29" i="53"/>
  <c r="AY29" i="53"/>
  <c r="AX29" i="53"/>
  <c r="AW29" i="53"/>
  <c r="AV29" i="53"/>
  <c r="AU29" i="53"/>
  <c r="AT29" i="53"/>
  <c r="AS29" i="53"/>
  <c r="AR29" i="53"/>
  <c r="AQ29" i="53"/>
  <c r="AP29" i="53"/>
  <c r="AO29" i="53"/>
  <c r="AN29" i="53"/>
  <c r="AM29" i="53"/>
  <c r="AL29" i="53"/>
  <c r="AK29" i="53"/>
  <c r="AJ29" i="53"/>
  <c r="AI29" i="53"/>
  <c r="AH29" i="53"/>
  <c r="AG29" i="53"/>
  <c r="AF29" i="53"/>
  <c r="AE29" i="53"/>
  <c r="AD29" i="53"/>
  <c r="BA28" i="53"/>
  <c r="AZ28" i="53"/>
  <c r="AY28" i="53"/>
  <c r="AX28" i="53"/>
  <c r="AW28" i="53"/>
  <c r="AV28" i="53"/>
  <c r="AU28" i="53"/>
  <c r="AT28" i="53"/>
  <c r="AS28" i="53"/>
  <c r="AR28" i="53"/>
  <c r="AQ28" i="53"/>
  <c r="AP28" i="53"/>
  <c r="AO28" i="53"/>
  <c r="AN28" i="53"/>
  <c r="AM28" i="53"/>
  <c r="AL28" i="53"/>
  <c r="AK28" i="53"/>
  <c r="AJ28" i="53"/>
  <c r="AI28" i="53"/>
  <c r="AH28" i="53"/>
  <c r="AG28" i="53"/>
  <c r="AF28" i="53"/>
  <c r="AE28" i="53"/>
  <c r="AD28" i="53"/>
  <c r="BA27" i="53"/>
  <c r="AZ27" i="53"/>
  <c r="AY27" i="53"/>
  <c r="AX27" i="53"/>
  <c r="AW27" i="53"/>
  <c r="AV27" i="53"/>
  <c r="AU27" i="53"/>
  <c r="AT27" i="53"/>
  <c r="AS27" i="53"/>
  <c r="AR27" i="53"/>
  <c r="AQ27" i="53"/>
  <c r="AP27" i="53"/>
  <c r="AO27" i="53"/>
  <c r="AN27" i="53"/>
  <c r="AM27" i="53"/>
  <c r="AL27" i="53"/>
  <c r="AK27" i="53"/>
  <c r="AJ27" i="53"/>
  <c r="AI27" i="53"/>
  <c r="AH27" i="53"/>
  <c r="AG27" i="53"/>
  <c r="AF27" i="53"/>
  <c r="AE27" i="53"/>
  <c r="AD27" i="53"/>
  <c r="BA26" i="53"/>
  <c r="AZ26" i="53"/>
  <c r="AY26" i="53"/>
  <c r="AX26" i="53"/>
  <c r="AW26" i="53"/>
  <c r="AV26" i="53"/>
  <c r="AU26" i="53"/>
  <c r="AT26" i="53"/>
  <c r="AS26" i="53"/>
  <c r="AR26" i="53"/>
  <c r="AQ26" i="53"/>
  <c r="AP26" i="53"/>
  <c r="AO26" i="53"/>
  <c r="AN26" i="53"/>
  <c r="AM26" i="53"/>
  <c r="AL26" i="53"/>
  <c r="AK26" i="53"/>
  <c r="AJ26" i="53"/>
  <c r="AI26" i="53"/>
  <c r="AH26" i="53"/>
  <c r="AG26" i="53"/>
  <c r="AF26" i="53"/>
  <c r="AE26" i="53"/>
  <c r="AD26" i="53"/>
  <c r="BA25" i="53"/>
  <c r="AZ25" i="53"/>
  <c r="AY25" i="53"/>
  <c r="AX25" i="53"/>
  <c r="AW25" i="53"/>
  <c r="AV25" i="53"/>
  <c r="AU25" i="53"/>
  <c r="AT25" i="53"/>
  <c r="AS25" i="53"/>
  <c r="AR25" i="53"/>
  <c r="AQ25" i="53"/>
  <c r="AP25" i="53"/>
  <c r="AO25" i="53"/>
  <c r="AN25" i="53"/>
  <c r="AM25" i="53"/>
  <c r="AL25" i="53"/>
  <c r="AK25" i="53"/>
  <c r="AJ25" i="53"/>
  <c r="AI25" i="53"/>
  <c r="AH25" i="53"/>
  <c r="AG25" i="53"/>
  <c r="AF25" i="53"/>
  <c r="AE25" i="53"/>
  <c r="AD25" i="53"/>
  <c r="BA24" i="53"/>
  <c r="AZ24" i="53"/>
  <c r="AY24" i="53"/>
  <c r="AX24" i="53"/>
  <c r="AW24" i="53"/>
  <c r="AV24" i="53"/>
  <c r="AU24" i="53"/>
  <c r="AT24" i="53"/>
  <c r="AS24" i="53"/>
  <c r="AR24" i="53"/>
  <c r="AQ24" i="53"/>
  <c r="AP24" i="53"/>
  <c r="AO24" i="53"/>
  <c r="AN24" i="53"/>
  <c r="AM24" i="53"/>
  <c r="AL24" i="53"/>
  <c r="AK24" i="53"/>
  <c r="AJ24" i="53"/>
  <c r="AI24" i="53"/>
  <c r="AH24" i="53"/>
  <c r="AG24" i="53"/>
  <c r="AF24" i="53"/>
  <c r="AE24" i="53"/>
  <c r="AD24" i="53"/>
  <c r="BA23" i="53"/>
  <c r="AZ23" i="53"/>
  <c r="AY23" i="53"/>
  <c r="AX23" i="53"/>
  <c r="AW23" i="53"/>
  <c r="AV23" i="53"/>
  <c r="AU23" i="53"/>
  <c r="AT23" i="53"/>
  <c r="AS23" i="53"/>
  <c r="AR23" i="53"/>
  <c r="AQ23" i="53"/>
  <c r="AP23" i="53"/>
  <c r="AO23" i="53"/>
  <c r="AN23" i="53"/>
  <c r="AM23" i="53"/>
  <c r="AL23" i="53"/>
  <c r="AK23" i="53"/>
  <c r="AJ23" i="53"/>
  <c r="AI23" i="53"/>
  <c r="AH23" i="53"/>
  <c r="AG23" i="53"/>
  <c r="AF23" i="53"/>
  <c r="AE23" i="53"/>
  <c r="AD23" i="53"/>
  <c r="BA22" i="53"/>
  <c r="AZ22" i="53"/>
  <c r="AY22" i="53"/>
  <c r="AX22" i="53"/>
  <c r="AW22" i="53"/>
  <c r="AV22" i="53"/>
  <c r="AU22" i="53"/>
  <c r="AT22" i="53"/>
  <c r="AS22" i="53"/>
  <c r="AR22" i="53"/>
  <c r="AQ22" i="53"/>
  <c r="AP22" i="53"/>
  <c r="AO22" i="53"/>
  <c r="AN22" i="53"/>
  <c r="AM22" i="53"/>
  <c r="AL22" i="53"/>
  <c r="AK22" i="53"/>
  <c r="AJ22" i="53"/>
  <c r="AI22" i="53"/>
  <c r="AH22" i="53"/>
  <c r="AG22" i="53"/>
  <c r="AF22" i="53"/>
  <c r="AE22" i="53"/>
  <c r="AD22" i="53"/>
  <c r="BA21" i="53"/>
  <c r="AZ21" i="53"/>
  <c r="AY21" i="53"/>
  <c r="AX21" i="53"/>
  <c r="AW21" i="53"/>
  <c r="AV21" i="53"/>
  <c r="AU21" i="53"/>
  <c r="AT21" i="53"/>
  <c r="AS21" i="53"/>
  <c r="AR21" i="53"/>
  <c r="AQ21" i="53"/>
  <c r="AP21" i="53"/>
  <c r="AO21" i="53"/>
  <c r="AN21" i="53"/>
  <c r="AM21" i="53"/>
  <c r="AL21" i="53"/>
  <c r="AK21" i="53"/>
  <c r="AJ21" i="53"/>
  <c r="AI21" i="53"/>
  <c r="AH21" i="53"/>
  <c r="AG21" i="53"/>
  <c r="AF21" i="53"/>
  <c r="AE21" i="53"/>
  <c r="AD21" i="53"/>
  <c r="BA20" i="53"/>
  <c r="AZ20" i="53"/>
  <c r="AY20" i="53"/>
  <c r="AX20" i="53"/>
  <c r="AW20" i="53"/>
  <c r="AV20" i="53"/>
  <c r="AU20" i="53"/>
  <c r="AT20" i="53"/>
  <c r="AS20" i="53"/>
  <c r="AR20" i="53"/>
  <c r="AQ20" i="53"/>
  <c r="AP20" i="53"/>
  <c r="AO20" i="53"/>
  <c r="AN20" i="53"/>
  <c r="AM20" i="53"/>
  <c r="AL20" i="53"/>
  <c r="AK20" i="53"/>
  <c r="AJ20" i="53"/>
  <c r="AI20" i="53"/>
  <c r="AH20" i="53"/>
  <c r="AG20" i="53"/>
  <c r="AF20" i="53"/>
  <c r="AE20" i="53"/>
  <c r="AD20" i="53"/>
  <c r="BA19" i="53"/>
  <c r="AZ19" i="53"/>
  <c r="AY19" i="53"/>
  <c r="AX19" i="53"/>
  <c r="AW19" i="53"/>
  <c r="AV19" i="53"/>
  <c r="AU19" i="53"/>
  <c r="AT19" i="53"/>
  <c r="AS19" i="53"/>
  <c r="AR19" i="53"/>
  <c r="AQ19" i="53"/>
  <c r="AP19" i="53"/>
  <c r="AO19" i="53"/>
  <c r="AN19" i="53"/>
  <c r="AM19" i="53"/>
  <c r="AL19" i="53"/>
  <c r="AK19" i="53"/>
  <c r="AJ19" i="53"/>
  <c r="AI19" i="53"/>
  <c r="AH19" i="53"/>
  <c r="AG19" i="53"/>
  <c r="AF19" i="53"/>
  <c r="AE19" i="53"/>
  <c r="AD19" i="53"/>
  <c r="BA18" i="53"/>
  <c r="AZ18" i="53"/>
  <c r="AY18" i="53"/>
  <c r="AX18" i="53"/>
  <c r="AW18" i="53"/>
  <c r="AV18" i="53"/>
  <c r="AU18" i="53"/>
  <c r="AT18" i="53"/>
  <c r="AS18" i="53"/>
  <c r="AR18" i="53"/>
  <c r="AQ18" i="53"/>
  <c r="AP18" i="53"/>
  <c r="AO18" i="53"/>
  <c r="AN18" i="53"/>
  <c r="AM18" i="53"/>
  <c r="AL18" i="53"/>
  <c r="AK18" i="53"/>
  <c r="AJ18" i="53"/>
  <c r="AI18" i="53"/>
  <c r="AH18" i="53"/>
  <c r="AG18" i="53"/>
  <c r="AF18" i="53"/>
  <c r="AE18" i="53"/>
  <c r="AD18" i="53"/>
  <c r="BA17" i="53"/>
  <c r="AZ17" i="53"/>
  <c r="AY17" i="53"/>
  <c r="AX17" i="53"/>
  <c r="AW17" i="53"/>
  <c r="AV17" i="53"/>
  <c r="AU17" i="53"/>
  <c r="AT17" i="53"/>
  <c r="AS17" i="53"/>
  <c r="AR17" i="53"/>
  <c r="AQ17" i="53"/>
  <c r="AP17" i="53"/>
  <c r="AO17" i="53"/>
  <c r="AN17" i="53"/>
  <c r="AM17" i="53"/>
  <c r="AL17" i="53"/>
  <c r="AK17" i="53"/>
  <c r="AJ17" i="53"/>
  <c r="AI17" i="53"/>
  <c r="AH17" i="53"/>
  <c r="AG17" i="53"/>
  <c r="AF17" i="53"/>
  <c r="AE17" i="53"/>
  <c r="AD17" i="53"/>
  <c r="BA16" i="53"/>
  <c r="AZ16" i="53"/>
  <c r="AY16" i="53"/>
  <c r="AX16" i="53"/>
  <c r="AW16" i="53"/>
  <c r="AV16" i="53"/>
  <c r="AU16" i="53"/>
  <c r="AT16" i="53"/>
  <c r="AS16" i="53"/>
  <c r="AR16" i="53"/>
  <c r="AQ16" i="53"/>
  <c r="AP16" i="53"/>
  <c r="AO16" i="53"/>
  <c r="AN16" i="53"/>
  <c r="AM16" i="53"/>
  <c r="AL16" i="53"/>
  <c r="AK16" i="53"/>
  <c r="AJ16" i="53"/>
  <c r="AI16" i="53"/>
  <c r="AH16" i="53"/>
  <c r="AG16" i="53"/>
  <c r="AF16" i="53"/>
  <c r="AE16" i="53"/>
  <c r="AD16" i="53"/>
  <c r="BA15" i="53"/>
  <c r="AZ15" i="53"/>
  <c r="AY15" i="53"/>
  <c r="AX15" i="53"/>
  <c r="AW15" i="53"/>
  <c r="AV15" i="53"/>
  <c r="AU15" i="53"/>
  <c r="AT15" i="53"/>
  <c r="AS15" i="53"/>
  <c r="AR15" i="53"/>
  <c r="AQ15" i="53"/>
  <c r="AP15" i="53"/>
  <c r="AO15" i="53"/>
  <c r="AN15" i="53"/>
  <c r="AM15" i="53"/>
  <c r="AL15" i="53"/>
  <c r="AK15" i="53"/>
  <c r="AJ15" i="53"/>
  <c r="AI15" i="53"/>
  <c r="AH15" i="53"/>
  <c r="AG15" i="53"/>
  <c r="AF15" i="53"/>
  <c r="AE15" i="53"/>
  <c r="AD15" i="53"/>
  <c r="BA14" i="53"/>
  <c r="AZ14" i="53"/>
  <c r="AY14" i="53"/>
  <c r="AX14" i="53"/>
  <c r="AW14" i="53"/>
  <c r="AV14" i="53"/>
  <c r="AU14" i="53"/>
  <c r="AT14" i="53"/>
  <c r="AS14" i="53"/>
  <c r="AR14" i="53"/>
  <c r="AQ14" i="53"/>
  <c r="AP14" i="53"/>
  <c r="AO14" i="53"/>
  <c r="AN14" i="53"/>
  <c r="AM14" i="53"/>
  <c r="AL14" i="53"/>
  <c r="AK14" i="53"/>
  <c r="AJ14" i="53"/>
  <c r="AI14" i="53"/>
  <c r="AH14" i="53"/>
  <c r="AG14" i="53"/>
  <c r="AF14" i="53"/>
  <c r="AE14" i="53"/>
  <c r="AD14" i="53"/>
  <c r="BA13" i="53"/>
  <c r="AZ13" i="53"/>
  <c r="AY13" i="53"/>
  <c r="AX13" i="53"/>
  <c r="AW13" i="53"/>
  <c r="AV13" i="53"/>
  <c r="AU13" i="53"/>
  <c r="AT13" i="53"/>
  <c r="AS13" i="53"/>
  <c r="AR13" i="53"/>
  <c r="AQ13" i="53"/>
  <c r="AP13" i="53"/>
  <c r="AO13" i="53"/>
  <c r="AN13" i="53"/>
  <c r="AM13" i="53"/>
  <c r="AL13" i="53"/>
  <c r="AK13" i="53"/>
  <c r="AJ13" i="53"/>
  <c r="AI13" i="53"/>
  <c r="AH13" i="53"/>
  <c r="AG13" i="53"/>
  <c r="AF13" i="53"/>
  <c r="AE13" i="53"/>
  <c r="AD13" i="53"/>
  <c r="AC13" i="53"/>
  <c r="AC14" i="53" s="1"/>
  <c r="AC15" i="53" s="1"/>
  <c r="AC16" i="53" s="1"/>
  <c r="AC17" i="53" s="1"/>
  <c r="AC18" i="53" s="1"/>
  <c r="AC19" i="53" s="1"/>
  <c r="AC20" i="53" s="1"/>
  <c r="AC21" i="53" s="1"/>
  <c r="AC22" i="53" s="1"/>
  <c r="AC23" i="53" s="1"/>
  <c r="AC24" i="53" s="1"/>
  <c r="AC25" i="53" s="1"/>
  <c r="AC26" i="53" s="1"/>
  <c r="AC27" i="53" s="1"/>
  <c r="AC28" i="53" s="1"/>
  <c r="AC29" i="53" s="1"/>
  <c r="AC30" i="53" s="1"/>
  <c r="AC31" i="53" s="1"/>
  <c r="AC32" i="53" s="1"/>
  <c r="AC33" i="53" s="1"/>
  <c r="AC34" i="53" s="1"/>
  <c r="AC35" i="53" s="1"/>
  <c r="AC36" i="53" s="1"/>
  <c r="AC37" i="53" s="1"/>
  <c r="AC38" i="53" s="1"/>
  <c r="AC39" i="53" s="1"/>
  <c r="AC40" i="53" s="1"/>
  <c r="AC41" i="53" s="1"/>
  <c r="AC42" i="53" s="1"/>
  <c r="AC43" i="53" s="1"/>
  <c r="AC44" i="53" s="1"/>
  <c r="AC45" i="53" s="1"/>
  <c r="AC46" i="53" s="1"/>
  <c r="AC47" i="53" s="1"/>
  <c r="AC48" i="53" s="1"/>
  <c r="AC49" i="53" s="1"/>
  <c r="AC50" i="53" s="1"/>
  <c r="AC51" i="53" s="1"/>
  <c r="AC52" i="53" s="1"/>
  <c r="AC53" i="53" s="1"/>
  <c r="AC54" i="53" s="1"/>
  <c r="AC55" i="53" s="1"/>
  <c r="AC56" i="53" s="1"/>
  <c r="AC57" i="53" s="1"/>
  <c r="AC58" i="53" s="1"/>
  <c r="AC59" i="53" s="1"/>
  <c r="AC60" i="53" s="1"/>
  <c r="AC61" i="53" s="1"/>
  <c r="AC62" i="53" s="1"/>
  <c r="AC63" i="53" s="1"/>
  <c r="AC64" i="53" s="1"/>
  <c r="AC65" i="53" s="1"/>
  <c r="AC66" i="53" s="1"/>
  <c r="AC67" i="53" s="1"/>
  <c r="AC68" i="53" s="1"/>
  <c r="AC69" i="53" s="1"/>
  <c r="AC70" i="53" s="1"/>
  <c r="AC71" i="53" s="1"/>
  <c r="AC72" i="53" s="1"/>
  <c r="AC73" i="53" s="1"/>
  <c r="AC74" i="53" s="1"/>
  <c r="AC75" i="53" s="1"/>
  <c r="AC76" i="53" s="1"/>
  <c r="AC77" i="53" s="1"/>
  <c r="AC78" i="53" s="1"/>
  <c r="AC79" i="53" s="1"/>
  <c r="AC80" i="53" s="1"/>
  <c r="AC81" i="53" s="1"/>
  <c r="AC82" i="53" s="1"/>
  <c r="AC83" i="53" s="1"/>
  <c r="AC84" i="53" s="1"/>
  <c r="AC85" i="53" s="1"/>
  <c r="AC86" i="53" s="1"/>
  <c r="AC87" i="53" s="1"/>
  <c r="AC88" i="53" s="1"/>
  <c r="AC89" i="53" s="1"/>
  <c r="AC90" i="53" s="1"/>
  <c r="AC91" i="53" s="1"/>
  <c r="AC92" i="53" s="1"/>
  <c r="AC93" i="53" s="1"/>
  <c r="AC94" i="53" s="1"/>
  <c r="AC95" i="53" s="1"/>
  <c r="AC96" i="53" s="1"/>
  <c r="AC97" i="53" s="1"/>
  <c r="AC98" i="53" s="1"/>
  <c r="AC99" i="53" s="1"/>
  <c r="AC100" i="53" s="1"/>
  <c r="AC101" i="53" s="1"/>
  <c r="AC102" i="53" s="1"/>
  <c r="AC103" i="53" s="1"/>
  <c r="AC104" i="53" s="1"/>
  <c r="AC105" i="53" s="1"/>
  <c r="AC106" i="53" s="1"/>
  <c r="AC107" i="53" s="1"/>
  <c r="AC108" i="53" s="1"/>
  <c r="AC109" i="53" s="1"/>
  <c r="AC110" i="53" s="1"/>
  <c r="AC111" i="53" s="1"/>
  <c r="AC112" i="53" s="1"/>
  <c r="AC113" i="53" s="1"/>
  <c r="AC114" i="53" s="1"/>
  <c r="AC115" i="53" s="1"/>
  <c r="AC116" i="53" s="1"/>
  <c r="AC117" i="53" s="1"/>
  <c r="AC118" i="53" s="1"/>
  <c r="AC119" i="53" s="1"/>
  <c r="AC120" i="53" s="1"/>
  <c r="AC121" i="53" s="1"/>
  <c r="AC122" i="53" s="1"/>
  <c r="AC123" i="53" s="1"/>
  <c r="AC124" i="53" s="1"/>
  <c r="AC125" i="53" s="1"/>
  <c r="AC126" i="53" s="1"/>
  <c r="AC127" i="53" s="1"/>
  <c r="AC128" i="53" s="1"/>
  <c r="AC129" i="53" s="1"/>
  <c r="AC130" i="53" s="1"/>
  <c r="AC131" i="53" s="1"/>
  <c r="AC132" i="53" s="1"/>
  <c r="AC133" i="53" s="1"/>
  <c r="AC134" i="53" s="1"/>
  <c r="AC135" i="53" s="1"/>
  <c r="AC136" i="53" s="1"/>
  <c r="AC137" i="53" s="1"/>
  <c r="AC138" i="53" s="1"/>
  <c r="AC139" i="53" s="1"/>
  <c r="AC140" i="53" s="1"/>
  <c r="AC141" i="53" s="1"/>
  <c r="AC142" i="53" s="1"/>
  <c r="AC143" i="53" s="1"/>
  <c r="AC144" i="53" s="1"/>
  <c r="AC145" i="53" s="1"/>
  <c r="AC146" i="53" s="1"/>
  <c r="AC147" i="53" s="1"/>
  <c r="AC148" i="53" s="1"/>
  <c r="AC149" i="53" s="1"/>
  <c r="AC150" i="53" s="1"/>
  <c r="AC151" i="53" s="1"/>
  <c r="AC152" i="53" s="1"/>
  <c r="AC153" i="53" s="1"/>
  <c r="AC154" i="53" s="1"/>
  <c r="AC155" i="53" s="1"/>
  <c r="AC156" i="53" s="1"/>
  <c r="AC157" i="53" s="1"/>
  <c r="AC158" i="53" s="1"/>
  <c r="AC159" i="53" s="1"/>
  <c r="AC160" i="53" s="1"/>
  <c r="AC161" i="53" s="1"/>
  <c r="AC162" i="53" s="1"/>
  <c r="AC163" i="53" s="1"/>
  <c r="AC164" i="53" s="1"/>
  <c r="AC165" i="53" s="1"/>
  <c r="AC166" i="53" s="1"/>
  <c r="AC167" i="53" s="1"/>
  <c r="AC168" i="53" s="1"/>
  <c r="AC169" i="53" s="1"/>
  <c r="AC170" i="53" s="1"/>
  <c r="AC171" i="53" s="1"/>
  <c r="AC172" i="53" s="1"/>
  <c r="AC173" i="53" s="1"/>
  <c r="AC174" i="53" s="1"/>
  <c r="AC175" i="53" s="1"/>
  <c r="AC176" i="53" s="1"/>
  <c r="AC177" i="53" s="1"/>
  <c r="AC178" i="53" s="1"/>
  <c r="AC179" i="53" s="1"/>
  <c r="AC180" i="53" s="1"/>
  <c r="AC181" i="53" s="1"/>
  <c r="AC182" i="53" s="1"/>
  <c r="AC183" i="53" s="1"/>
  <c r="AC184" i="53" s="1"/>
  <c r="AC185" i="53" s="1"/>
  <c r="AC186" i="53" s="1"/>
  <c r="AC187" i="53" s="1"/>
  <c r="AC188" i="53" s="1"/>
  <c r="AC189" i="53" s="1"/>
  <c r="AC190" i="53" s="1"/>
  <c r="AC191" i="53" s="1"/>
  <c r="AC192" i="53" s="1"/>
  <c r="AC193" i="53" s="1"/>
  <c r="AC194" i="53" s="1"/>
  <c r="AC195" i="53" s="1"/>
  <c r="AC196" i="53" s="1"/>
  <c r="AC197" i="53" s="1"/>
  <c r="AC198" i="53" s="1"/>
  <c r="AC199" i="53" s="1"/>
  <c r="AC200" i="53" s="1"/>
  <c r="AC201" i="53" s="1"/>
  <c r="AC202" i="53" s="1"/>
  <c r="AC203" i="53" s="1"/>
  <c r="AC204" i="53" s="1"/>
  <c r="AC205" i="53" s="1"/>
  <c r="AC206" i="53" s="1"/>
  <c r="AC207" i="53" s="1"/>
  <c r="AC208" i="53" s="1"/>
  <c r="AC209" i="53" s="1"/>
  <c r="AC210" i="53" s="1"/>
  <c r="AC211" i="53" s="1"/>
  <c r="AC212" i="53" s="1"/>
  <c r="AC213" i="53" s="1"/>
  <c r="AC214" i="53" s="1"/>
  <c r="AC215" i="53" s="1"/>
  <c r="AC216" i="53" s="1"/>
  <c r="AC217" i="53" s="1"/>
  <c r="AC218" i="53" s="1"/>
  <c r="AC219" i="53" s="1"/>
  <c r="AC220" i="53" s="1"/>
  <c r="AC221" i="53" s="1"/>
  <c r="AC222" i="53" s="1"/>
  <c r="AC223" i="53" s="1"/>
  <c r="AC224" i="53" s="1"/>
  <c r="AC225" i="53" s="1"/>
  <c r="AC226" i="53" s="1"/>
  <c r="AC227" i="53" s="1"/>
  <c r="AC228" i="53" s="1"/>
  <c r="AC229" i="53" s="1"/>
  <c r="AC230" i="53" s="1"/>
  <c r="AC231" i="53" s="1"/>
  <c r="AC232" i="53" s="1"/>
  <c r="AC233" i="53" s="1"/>
  <c r="AC234" i="53" s="1"/>
  <c r="AC235" i="53" s="1"/>
  <c r="AC236" i="53" s="1"/>
  <c r="AC237" i="53" s="1"/>
  <c r="AC238" i="53" s="1"/>
  <c r="AC239" i="53" s="1"/>
  <c r="AC240" i="53" s="1"/>
  <c r="AC241" i="53" s="1"/>
  <c r="AC242" i="53" s="1"/>
  <c r="AC243" i="53" s="1"/>
  <c r="AC244" i="53" s="1"/>
  <c r="AC245" i="53" s="1"/>
  <c r="AC246" i="53" s="1"/>
  <c r="AC247" i="53" s="1"/>
  <c r="AC248" i="53" s="1"/>
  <c r="AC249" i="53" s="1"/>
  <c r="AC250" i="53" s="1"/>
  <c r="AC251" i="53" s="1"/>
  <c r="AC252" i="53" s="1"/>
  <c r="AC253" i="53" s="1"/>
  <c r="AC254" i="53" s="1"/>
  <c r="AC255" i="53" s="1"/>
  <c r="AC256" i="53" s="1"/>
  <c r="AC257" i="53" s="1"/>
  <c r="AC258" i="53" s="1"/>
  <c r="AC259" i="53" s="1"/>
  <c r="AC260" i="53" s="1"/>
  <c r="AC261" i="53" s="1"/>
  <c r="AC262" i="53" s="1"/>
  <c r="AC263" i="53" s="1"/>
  <c r="AC264" i="53" s="1"/>
  <c r="AC265" i="53" s="1"/>
  <c r="AC266" i="53" s="1"/>
  <c r="AC267" i="53" s="1"/>
  <c r="AC268" i="53" s="1"/>
  <c r="AC269" i="53" s="1"/>
  <c r="AC270" i="53" s="1"/>
  <c r="AC271" i="53" s="1"/>
  <c r="AC272" i="53" s="1"/>
  <c r="AC273" i="53" s="1"/>
  <c r="AC274" i="53" s="1"/>
  <c r="AC275" i="53" s="1"/>
  <c r="AC276" i="53" s="1"/>
  <c r="AC277" i="53" s="1"/>
  <c r="AC278" i="53" s="1"/>
  <c r="AC279" i="53" s="1"/>
  <c r="AC280" i="53" s="1"/>
  <c r="AC281" i="53" s="1"/>
  <c r="AC282" i="53" s="1"/>
  <c r="AC283" i="53" s="1"/>
  <c r="AC284" i="53" s="1"/>
  <c r="AC285" i="53" s="1"/>
  <c r="AC286" i="53" s="1"/>
  <c r="AC287" i="53" s="1"/>
  <c r="AC288" i="53" s="1"/>
  <c r="AC289" i="53" s="1"/>
  <c r="AC290" i="53" s="1"/>
  <c r="AC291" i="53" s="1"/>
  <c r="AC292" i="53" s="1"/>
  <c r="AC293" i="53" s="1"/>
  <c r="AC294" i="53" s="1"/>
  <c r="AC295" i="53" s="1"/>
  <c r="AC296" i="53" s="1"/>
  <c r="AC297" i="53" s="1"/>
  <c r="AC298" i="53" s="1"/>
  <c r="AC299" i="53" s="1"/>
  <c r="AC300" i="53" s="1"/>
  <c r="AC301" i="53" s="1"/>
  <c r="AC302" i="53" s="1"/>
  <c r="AC303" i="53" s="1"/>
  <c r="AC304" i="53" s="1"/>
  <c r="AC305" i="53" s="1"/>
  <c r="AC306" i="53" s="1"/>
  <c r="AC307" i="53" s="1"/>
  <c r="AC308" i="53" s="1"/>
  <c r="AC309" i="53" s="1"/>
  <c r="AC310" i="53" s="1"/>
  <c r="AC311" i="53" s="1"/>
  <c r="AC312" i="53" s="1"/>
  <c r="AC313" i="53" s="1"/>
  <c r="AC314" i="53" s="1"/>
  <c r="AC315" i="53" s="1"/>
  <c r="AC316" i="53" s="1"/>
  <c r="AC317" i="53" s="1"/>
  <c r="AC318" i="53" s="1"/>
  <c r="AC319" i="53" s="1"/>
  <c r="AC320" i="53" s="1"/>
  <c r="AC321" i="53" s="1"/>
  <c r="AC322" i="53" s="1"/>
  <c r="AC323" i="53" s="1"/>
  <c r="AC324" i="53" s="1"/>
  <c r="AC325" i="53" s="1"/>
  <c r="AC326" i="53" s="1"/>
  <c r="AC327" i="53" s="1"/>
  <c r="AC328" i="53" s="1"/>
  <c r="AC329" i="53" s="1"/>
  <c r="AC330" i="53" s="1"/>
  <c r="AC331" i="53" s="1"/>
  <c r="AC332" i="53" s="1"/>
  <c r="AC333" i="53" s="1"/>
  <c r="AC334" i="53" s="1"/>
  <c r="AC335" i="53" s="1"/>
  <c r="AC336" i="53" s="1"/>
  <c r="AC337" i="53" s="1"/>
  <c r="AC338" i="53" s="1"/>
  <c r="AC339" i="53" s="1"/>
  <c r="AC340" i="53" s="1"/>
  <c r="AC341" i="53" s="1"/>
  <c r="AC342" i="53" s="1"/>
  <c r="AC343" i="53" s="1"/>
  <c r="AC344" i="53" s="1"/>
  <c r="AC345" i="53" s="1"/>
  <c r="AC346" i="53" s="1"/>
  <c r="AC347" i="53" s="1"/>
  <c r="AC348" i="53" s="1"/>
  <c r="AC349" i="53" s="1"/>
  <c r="AC350" i="53" s="1"/>
  <c r="AC351" i="53" s="1"/>
  <c r="AC352" i="53" s="1"/>
  <c r="AC353" i="53" s="1"/>
  <c r="AC354" i="53" s="1"/>
  <c r="AC355" i="53" s="1"/>
  <c r="AC356" i="53" s="1"/>
  <c r="AC357" i="53" s="1"/>
  <c r="AC358" i="53" s="1"/>
  <c r="AC359" i="53" s="1"/>
  <c r="AC360" i="53" s="1"/>
  <c r="AC361" i="53" s="1"/>
  <c r="AC362" i="53" s="1"/>
  <c r="AC363" i="53" s="1"/>
  <c r="AC364" i="53" s="1"/>
  <c r="AC365" i="53" s="1"/>
  <c r="AC366" i="53" s="1"/>
  <c r="AC367" i="53" s="1"/>
  <c r="AC368" i="53" s="1"/>
  <c r="AC369" i="53" s="1"/>
  <c r="AC370" i="53" s="1"/>
  <c r="AC371" i="53" s="1"/>
  <c r="AC372" i="53" s="1"/>
  <c r="AC373" i="53" s="1"/>
  <c r="AC374" i="53" s="1"/>
  <c r="AC375" i="53" s="1"/>
  <c r="AC376" i="53" s="1"/>
  <c r="A13" i="53"/>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4" i="53" s="1"/>
  <c r="A55" i="53" s="1"/>
  <c r="A56" i="53" s="1"/>
  <c r="A57" i="53" s="1"/>
  <c r="A58" i="53" s="1"/>
  <c r="A59" i="53" s="1"/>
  <c r="A60" i="53" s="1"/>
  <c r="A61" i="53" s="1"/>
  <c r="A62" i="53" s="1"/>
  <c r="A63" i="53" s="1"/>
  <c r="A64" i="53" s="1"/>
  <c r="A65" i="53" s="1"/>
  <c r="A66" i="53" s="1"/>
  <c r="A67" i="53" s="1"/>
  <c r="A68" i="53" s="1"/>
  <c r="A69" i="53" s="1"/>
  <c r="A70" i="53" s="1"/>
  <c r="A71" i="53" s="1"/>
  <c r="A72" i="53" s="1"/>
  <c r="A73" i="53" s="1"/>
  <c r="A74" i="53" s="1"/>
  <c r="A75" i="53" s="1"/>
  <c r="A76" i="53" s="1"/>
  <c r="A77" i="53" s="1"/>
  <c r="A78" i="53" s="1"/>
  <c r="A79" i="53" s="1"/>
  <c r="A80" i="53" s="1"/>
  <c r="A81" i="53" s="1"/>
  <c r="A82" i="53" s="1"/>
  <c r="A83" i="53" s="1"/>
  <c r="A84" i="53" s="1"/>
  <c r="A85" i="53" s="1"/>
  <c r="A86" i="53" s="1"/>
  <c r="A87" i="53" s="1"/>
  <c r="A88" i="53" s="1"/>
  <c r="A89" i="53" s="1"/>
  <c r="A90" i="53" s="1"/>
  <c r="A91" i="53" s="1"/>
  <c r="A92" i="53" s="1"/>
  <c r="A93" i="53" s="1"/>
  <c r="A94" i="53" s="1"/>
  <c r="A95" i="53" s="1"/>
  <c r="A96" i="53" s="1"/>
  <c r="A97" i="53" s="1"/>
  <c r="A98" i="53" s="1"/>
  <c r="A99" i="53" s="1"/>
  <c r="A100" i="53" s="1"/>
  <c r="A101" i="53" s="1"/>
  <c r="A102" i="53" s="1"/>
  <c r="A103" i="53" s="1"/>
  <c r="A104" i="53" s="1"/>
  <c r="A105" i="53" s="1"/>
  <c r="A106" i="53" s="1"/>
  <c r="A107" i="53" s="1"/>
  <c r="A108" i="53" s="1"/>
  <c r="A109" i="53" s="1"/>
  <c r="A110" i="53" s="1"/>
  <c r="A111" i="53" s="1"/>
  <c r="A112" i="53" s="1"/>
  <c r="A113" i="53" s="1"/>
  <c r="A114" i="53" s="1"/>
  <c r="A115" i="53" s="1"/>
  <c r="A116" i="53" s="1"/>
  <c r="A117" i="53" s="1"/>
  <c r="A118" i="53" s="1"/>
  <c r="A119" i="53" s="1"/>
  <c r="A120" i="53" s="1"/>
  <c r="A121" i="53" s="1"/>
  <c r="A122" i="53" s="1"/>
  <c r="A123" i="53" s="1"/>
  <c r="A124" i="53" s="1"/>
  <c r="A125" i="53" s="1"/>
  <c r="A126" i="53" s="1"/>
  <c r="A127" i="53" s="1"/>
  <c r="A128" i="53" s="1"/>
  <c r="A129" i="53" s="1"/>
  <c r="A130" i="53" s="1"/>
  <c r="A131" i="53" s="1"/>
  <c r="A132" i="53" s="1"/>
  <c r="A133" i="53" s="1"/>
  <c r="A134" i="53" s="1"/>
  <c r="A135" i="53" s="1"/>
  <c r="A136" i="53" s="1"/>
  <c r="A137" i="53" s="1"/>
  <c r="A138" i="53" s="1"/>
  <c r="A139" i="53" s="1"/>
  <c r="A140" i="53" s="1"/>
  <c r="A141" i="53" s="1"/>
  <c r="A142" i="53" s="1"/>
  <c r="A143" i="53" s="1"/>
  <c r="A144" i="53" s="1"/>
  <c r="A145" i="53" s="1"/>
  <c r="A146" i="53" s="1"/>
  <c r="A147" i="53" s="1"/>
  <c r="A148" i="53" s="1"/>
  <c r="A149" i="53" s="1"/>
  <c r="A150" i="53" s="1"/>
  <c r="A151" i="53" s="1"/>
  <c r="A152" i="53" s="1"/>
  <c r="A153" i="53" s="1"/>
  <c r="A154" i="53" s="1"/>
  <c r="A155" i="53" s="1"/>
  <c r="A156" i="53" s="1"/>
  <c r="A157" i="53" s="1"/>
  <c r="A158" i="53" s="1"/>
  <c r="A159" i="53" s="1"/>
  <c r="A160" i="53" s="1"/>
  <c r="A161" i="53" s="1"/>
  <c r="A162" i="53" s="1"/>
  <c r="A163" i="53" s="1"/>
  <c r="A164" i="53" s="1"/>
  <c r="A165" i="53" s="1"/>
  <c r="A166" i="53" s="1"/>
  <c r="A167" i="53" s="1"/>
  <c r="A168" i="53" s="1"/>
  <c r="A169" i="53" s="1"/>
  <c r="A170" i="53" s="1"/>
  <c r="A171" i="53" s="1"/>
  <c r="A172" i="53" s="1"/>
  <c r="A173" i="53" s="1"/>
  <c r="A174" i="53" s="1"/>
  <c r="A175" i="53" s="1"/>
  <c r="A176" i="53" s="1"/>
  <c r="A177" i="53" s="1"/>
  <c r="A178" i="53" s="1"/>
  <c r="A179" i="53" s="1"/>
  <c r="A180" i="53" s="1"/>
  <c r="A181" i="53" s="1"/>
  <c r="A182" i="53" s="1"/>
  <c r="A183" i="53" s="1"/>
  <c r="A184" i="53" s="1"/>
  <c r="A185" i="53" s="1"/>
  <c r="A186" i="53" s="1"/>
  <c r="A187" i="53" s="1"/>
  <c r="A188" i="53" s="1"/>
  <c r="A189" i="53" s="1"/>
  <c r="A190" i="53" s="1"/>
  <c r="A191" i="53" s="1"/>
  <c r="A192" i="53" s="1"/>
  <c r="A193" i="53" s="1"/>
  <c r="A194" i="53" s="1"/>
  <c r="A195" i="53" s="1"/>
  <c r="A196" i="53" s="1"/>
  <c r="A197" i="53" s="1"/>
  <c r="A198" i="53" s="1"/>
  <c r="A199" i="53" s="1"/>
  <c r="A200" i="53" s="1"/>
  <c r="A201" i="53" s="1"/>
  <c r="A202" i="53" s="1"/>
  <c r="A203" i="53" s="1"/>
  <c r="A204" i="53" s="1"/>
  <c r="A205" i="53" s="1"/>
  <c r="A206" i="53" s="1"/>
  <c r="A207" i="53" s="1"/>
  <c r="A208" i="53" s="1"/>
  <c r="A209" i="53" s="1"/>
  <c r="A210" i="53" s="1"/>
  <c r="A211" i="53" s="1"/>
  <c r="A212" i="53" s="1"/>
  <c r="A213" i="53" s="1"/>
  <c r="A214" i="53" s="1"/>
  <c r="A215" i="53" s="1"/>
  <c r="A216" i="53" s="1"/>
  <c r="A217" i="53" s="1"/>
  <c r="A218" i="53" s="1"/>
  <c r="A219" i="53" s="1"/>
  <c r="A220" i="53" s="1"/>
  <c r="A221" i="53" s="1"/>
  <c r="A222" i="53" s="1"/>
  <c r="A223" i="53" s="1"/>
  <c r="A224" i="53" s="1"/>
  <c r="A225" i="53" s="1"/>
  <c r="A226" i="53" s="1"/>
  <c r="A227" i="53" s="1"/>
  <c r="A228" i="53" s="1"/>
  <c r="A229" i="53" s="1"/>
  <c r="A230" i="53" s="1"/>
  <c r="A231" i="53" s="1"/>
  <c r="A232" i="53" s="1"/>
  <c r="A233" i="53" s="1"/>
  <c r="A234" i="53" s="1"/>
  <c r="A235" i="53" s="1"/>
  <c r="A236" i="53" s="1"/>
  <c r="A237" i="53" s="1"/>
  <c r="A238" i="53" s="1"/>
  <c r="A239" i="53" s="1"/>
  <c r="A240" i="53" s="1"/>
  <c r="A241" i="53" s="1"/>
  <c r="A242" i="53" s="1"/>
  <c r="A243" i="53" s="1"/>
  <c r="A244" i="53" s="1"/>
  <c r="A245" i="53" s="1"/>
  <c r="A246" i="53" s="1"/>
  <c r="A247" i="53" s="1"/>
  <c r="A248" i="53" s="1"/>
  <c r="A249" i="53" s="1"/>
  <c r="A250" i="53" s="1"/>
  <c r="A251" i="53" s="1"/>
  <c r="A252" i="53" s="1"/>
  <c r="A253" i="53" s="1"/>
  <c r="A254" i="53" s="1"/>
  <c r="A255" i="53" s="1"/>
  <c r="A256" i="53" s="1"/>
  <c r="A257" i="53" s="1"/>
  <c r="A258" i="53" s="1"/>
  <c r="A259" i="53" s="1"/>
  <c r="A260" i="53" s="1"/>
  <c r="A261" i="53" s="1"/>
  <c r="A262" i="53" s="1"/>
  <c r="A263" i="53" s="1"/>
  <c r="A264" i="53" s="1"/>
  <c r="A265" i="53" s="1"/>
  <c r="A266" i="53" s="1"/>
  <c r="A267" i="53" s="1"/>
  <c r="A268" i="53" s="1"/>
  <c r="A269" i="53" s="1"/>
  <c r="A270" i="53" s="1"/>
  <c r="A271" i="53" s="1"/>
  <c r="A272" i="53" s="1"/>
  <c r="A273" i="53" s="1"/>
  <c r="A274" i="53" s="1"/>
  <c r="A275" i="53" s="1"/>
  <c r="A276" i="53" s="1"/>
  <c r="A277" i="53" s="1"/>
  <c r="A278" i="53" s="1"/>
  <c r="A279" i="53" s="1"/>
  <c r="A280" i="53" s="1"/>
  <c r="A281" i="53" s="1"/>
  <c r="A282" i="53" s="1"/>
  <c r="A283" i="53" s="1"/>
  <c r="A284" i="53" s="1"/>
  <c r="A285" i="53" s="1"/>
  <c r="A286" i="53" s="1"/>
  <c r="A287" i="53" s="1"/>
  <c r="A288" i="53" s="1"/>
  <c r="A289" i="53" s="1"/>
  <c r="A290" i="53" s="1"/>
  <c r="A291" i="53" s="1"/>
  <c r="A292" i="53" s="1"/>
  <c r="A293" i="53" s="1"/>
  <c r="A294" i="53" s="1"/>
  <c r="A295" i="53" s="1"/>
  <c r="A296" i="53" s="1"/>
  <c r="A297" i="53" s="1"/>
  <c r="A298" i="53" s="1"/>
  <c r="A299" i="53" s="1"/>
  <c r="A300" i="53" s="1"/>
  <c r="A301" i="53" s="1"/>
  <c r="A302" i="53" s="1"/>
  <c r="A303" i="53" s="1"/>
  <c r="A304" i="53" s="1"/>
  <c r="A305" i="53" s="1"/>
  <c r="A306" i="53" s="1"/>
  <c r="A307" i="53" s="1"/>
  <c r="A308" i="53" s="1"/>
  <c r="A309" i="53" s="1"/>
  <c r="A310" i="53" s="1"/>
  <c r="A311" i="53" s="1"/>
  <c r="A312" i="53" s="1"/>
  <c r="A313" i="53" s="1"/>
  <c r="A314" i="53" s="1"/>
  <c r="A315" i="53" s="1"/>
  <c r="A316" i="53" s="1"/>
  <c r="A317" i="53" s="1"/>
  <c r="A318" i="53" s="1"/>
  <c r="A319" i="53" s="1"/>
  <c r="A320" i="53" s="1"/>
  <c r="A321" i="53" s="1"/>
  <c r="A322" i="53" s="1"/>
  <c r="A323" i="53" s="1"/>
  <c r="A324" i="53" s="1"/>
  <c r="A325" i="53" s="1"/>
  <c r="A326" i="53" s="1"/>
  <c r="A327" i="53" s="1"/>
  <c r="A328" i="53" s="1"/>
  <c r="A329" i="53" s="1"/>
  <c r="A330" i="53" s="1"/>
  <c r="A331" i="53" s="1"/>
  <c r="A332" i="53" s="1"/>
  <c r="A333" i="53" s="1"/>
  <c r="A334" i="53" s="1"/>
  <c r="A335" i="53" s="1"/>
  <c r="A336" i="53" s="1"/>
  <c r="A337" i="53" s="1"/>
  <c r="A338" i="53" s="1"/>
  <c r="A339" i="53" s="1"/>
  <c r="A340" i="53" s="1"/>
  <c r="A341" i="53" s="1"/>
  <c r="A342" i="53" s="1"/>
  <c r="A343" i="53" s="1"/>
  <c r="A344" i="53" s="1"/>
  <c r="A345" i="53" s="1"/>
  <c r="A346" i="53" s="1"/>
  <c r="A347" i="53" s="1"/>
  <c r="A348" i="53" s="1"/>
  <c r="A349" i="53" s="1"/>
  <c r="A350" i="53" s="1"/>
  <c r="A351" i="53" s="1"/>
  <c r="A352" i="53" s="1"/>
  <c r="A353" i="53" s="1"/>
  <c r="A354" i="53" s="1"/>
  <c r="A355" i="53" s="1"/>
  <c r="A356" i="53" s="1"/>
  <c r="A357" i="53" s="1"/>
  <c r="A358" i="53" s="1"/>
  <c r="A359" i="53" s="1"/>
  <c r="A360" i="53" s="1"/>
  <c r="A361" i="53" s="1"/>
  <c r="A362" i="53" s="1"/>
  <c r="A363" i="53" s="1"/>
  <c r="A364" i="53" s="1"/>
  <c r="A365" i="53" s="1"/>
  <c r="A366" i="53" s="1"/>
  <c r="A367" i="53" s="1"/>
  <c r="A368" i="53" s="1"/>
  <c r="A369" i="53" s="1"/>
  <c r="A370" i="53" s="1"/>
  <c r="A371" i="53" s="1"/>
  <c r="A372" i="53" s="1"/>
  <c r="A373" i="53" s="1"/>
  <c r="A374" i="53" s="1"/>
  <c r="A375" i="53" s="1"/>
  <c r="A376" i="53" s="1"/>
  <c r="BA12" i="53"/>
  <c r="AZ12" i="53"/>
  <c r="AY12" i="53"/>
  <c r="AX12" i="53"/>
  <c r="AW12" i="53"/>
  <c r="AV12" i="53"/>
  <c r="AU12" i="53"/>
  <c r="AT12" i="53"/>
  <c r="AS12" i="53"/>
  <c r="AR12" i="53"/>
  <c r="AQ12" i="53"/>
  <c r="AP12" i="53"/>
  <c r="AO12" i="53"/>
  <c r="AN12" i="53"/>
  <c r="AM12" i="53"/>
  <c r="AL12" i="53"/>
  <c r="AK12" i="53"/>
  <c r="AJ12" i="53"/>
  <c r="AI12" i="53"/>
  <c r="AH12" i="53"/>
  <c r="AG12" i="53"/>
  <c r="AF12" i="53"/>
  <c r="AE12" i="53"/>
  <c r="AB12" i="53"/>
  <c r="AC10" i="53"/>
  <c r="AC3" i="53"/>
  <c r="AB2" i="53"/>
  <c r="BA2" i="53" s="1"/>
  <c r="AC2" i="53"/>
  <c r="BA1" i="53"/>
  <c r="AC1" i="53"/>
  <c r="J53" i="45"/>
  <c r="H45" i="45"/>
  <c r="A13" i="45"/>
  <c r="A15" i="45" s="1"/>
  <c r="A17" i="45" s="1"/>
  <c r="A19" i="45" s="1"/>
  <c r="A21" i="45" s="1"/>
  <c r="A23" i="45" s="1"/>
  <c r="A25" i="45" s="1"/>
  <c r="A27" i="45" s="1"/>
  <c r="A29" i="45" s="1"/>
  <c r="A31" i="45" s="1"/>
  <c r="A33" i="45" s="1"/>
  <c r="A35" i="45" s="1"/>
  <c r="A37" i="45" s="1"/>
  <c r="A39" i="45" s="1"/>
  <c r="A41" i="45" s="1"/>
  <c r="A43" i="45" s="1"/>
  <c r="A45" i="45" s="1"/>
  <c r="A47" i="45" s="1"/>
  <c r="A49" i="45" s="1"/>
  <c r="A51" i="45" s="1"/>
  <c r="A53" i="45" s="1"/>
  <c r="L2" i="45"/>
  <c r="H217" i="44"/>
  <c r="H215" i="44"/>
  <c r="H197" i="44"/>
  <c r="H172" i="44"/>
  <c r="H171" i="44"/>
  <c r="E137" i="44"/>
  <c r="E136" i="44"/>
  <c r="H131" i="44"/>
  <c r="G137" i="44" s="1"/>
  <c r="H124" i="44"/>
  <c r="H126" i="44" s="1"/>
  <c r="G136" i="44" s="1"/>
  <c r="H105" i="44"/>
  <c r="E138" i="44" s="1"/>
  <c r="H74" i="44"/>
  <c r="H61" i="44"/>
  <c r="H54" i="44"/>
  <c r="A10" i="44"/>
  <c r="A9" i="44"/>
  <c r="I2" i="44"/>
  <c r="P60" i="43"/>
  <c r="A15" i="43"/>
  <c r="A17" i="43" s="1"/>
  <c r="A19" i="43" s="1"/>
  <c r="A21" i="43" s="1"/>
  <c r="A23" i="43" s="1"/>
  <c r="A25" i="43" s="1"/>
  <c r="A27" i="43" s="1"/>
  <c r="A29" i="43" s="1"/>
  <c r="A31" i="43" s="1"/>
  <c r="A33" i="43" s="1"/>
  <c r="A35" i="43" s="1"/>
  <c r="A37" i="43" s="1"/>
  <c r="A39" i="43" s="1"/>
  <c r="A41" i="43" s="1"/>
  <c r="A43" i="43" s="1"/>
  <c r="A45" i="43" s="1"/>
  <c r="A47" i="43" s="1"/>
  <c r="A49" i="43" s="1"/>
  <c r="A51" i="43" s="1"/>
  <c r="A53" i="43" s="1"/>
  <c r="A55" i="43" s="1"/>
  <c r="A57" i="43" s="1"/>
  <c r="A59" i="43" s="1"/>
  <c r="A60" i="43" s="1"/>
  <c r="A62" i="43" s="1"/>
  <c r="Q2" i="43"/>
  <c r="P60" i="42"/>
  <c r="D49" i="42"/>
  <c r="A15" i="42"/>
  <c r="A17" i="42" s="1"/>
  <c r="A19" i="42" s="1"/>
  <c r="A21" i="42" s="1"/>
  <c r="A23" i="42" s="1"/>
  <c r="A25" i="42" s="1"/>
  <c r="A27" i="42" s="1"/>
  <c r="A29" i="42" s="1"/>
  <c r="A31" i="42" s="1"/>
  <c r="A33" i="42" s="1"/>
  <c r="A35" i="42" s="1"/>
  <c r="A37" i="42" s="1"/>
  <c r="A39" i="42" s="1"/>
  <c r="A41" i="42" s="1"/>
  <c r="A43" i="42" s="1"/>
  <c r="A45" i="42" s="1"/>
  <c r="A47" i="42" s="1"/>
  <c r="A49" i="42" s="1"/>
  <c r="A51" i="42" s="1"/>
  <c r="A53" i="42" s="1"/>
  <c r="A55" i="42" s="1"/>
  <c r="A57" i="42" s="1"/>
  <c r="A59" i="42" s="1"/>
  <c r="A60" i="42" s="1"/>
  <c r="A62" i="42" s="1"/>
  <c r="Q2" i="42"/>
  <c r="G39" i="41"/>
  <c r="E39" i="41"/>
  <c r="C39" i="41"/>
  <c r="E38" i="41"/>
  <c r="A10" i="4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39" i="41" s="1"/>
  <c r="A40" i="41" s="1"/>
  <c r="A41" i="41" s="1"/>
  <c r="A42" i="41" s="1"/>
  <c r="A43" i="41" s="1"/>
  <c r="A44" i="41" s="1"/>
  <c r="A45" i="41" s="1"/>
  <c r="A46" i="41" s="1"/>
  <c r="A47" i="41" s="1"/>
  <c r="A48" i="41" s="1"/>
  <c r="J2" i="41"/>
  <c r="H69" i="40"/>
  <c r="A22" i="40"/>
  <c r="A24" i="40" s="1"/>
  <c r="A20" i="40"/>
  <c r="I22" i="40" s="1"/>
  <c r="I18" i="40"/>
  <c r="A18" i="40"/>
  <c r="I14" i="40"/>
  <c r="H14" i="40"/>
  <c r="H18" i="40" s="1"/>
  <c r="H22" i="40" s="1"/>
  <c r="I2" i="40"/>
  <c r="M10" i="65" l="1"/>
  <c r="F10" i="41" s="1"/>
  <c r="F10" i="63"/>
  <c r="M14" i="65"/>
  <c r="F14" i="41" s="1"/>
  <c r="F14" i="63"/>
  <c r="M18" i="65"/>
  <c r="F18" i="41" s="1"/>
  <c r="F18" i="63"/>
  <c r="M22" i="65"/>
  <c r="F22" i="41" s="1"/>
  <c r="F22" i="63"/>
  <c r="M30" i="65"/>
  <c r="F30" i="41" s="1"/>
  <c r="F30" i="63"/>
  <c r="M11" i="65"/>
  <c r="F11" i="41" s="1"/>
  <c r="F11" i="63"/>
  <c r="M15" i="65"/>
  <c r="F15" i="41" s="1"/>
  <c r="F15" i="63"/>
  <c r="M19" i="65"/>
  <c r="F19" i="41" s="1"/>
  <c r="F19" i="63"/>
  <c r="M23" i="65"/>
  <c r="F23" i="41" s="1"/>
  <c r="F23" i="63"/>
  <c r="M27" i="65"/>
  <c r="F27" i="41" s="1"/>
  <c r="F27" i="63"/>
  <c r="M12" i="65"/>
  <c r="F12" i="41" s="1"/>
  <c r="F12" i="63"/>
  <c r="M20" i="65"/>
  <c r="F20" i="41" s="1"/>
  <c r="F20" i="63"/>
  <c r="M24" i="65"/>
  <c r="F24" i="41" s="1"/>
  <c r="F24" i="63"/>
  <c r="M28" i="65"/>
  <c r="F28" i="41" s="1"/>
  <c r="F28" i="63"/>
  <c r="M13" i="65"/>
  <c r="F13" i="41" s="1"/>
  <c r="F13" i="42" s="1"/>
  <c r="F31" i="42" s="1"/>
  <c r="F31" i="43" s="1"/>
  <c r="F13" i="63"/>
  <c r="M17" i="65"/>
  <c r="F17" i="41" s="1"/>
  <c r="F17" i="63"/>
  <c r="M21" i="65"/>
  <c r="F21" i="41" s="1"/>
  <c r="F21" i="63"/>
  <c r="M25" i="65"/>
  <c r="F25" i="41" s="1"/>
  <c r="F25" i="63"/>
  <c r="M29" i="65"/>
  <c r="F29" i="41" s="1"/>
  <c r="F29" i="63"/>
  <c r="D13" i="66"/>
  <c r="D9" i="66"/>
  <c r="H5" i="53"/>
  <c r="D23" i="66"/>
  <c r="D17" i="66"/>
  <c r="D15" i="66"/>
  <c r="D25" i="66"/>
  <c r="D11" i="66"/>
  <c r="D19" i="66"/>
  <c r="D21" i="66"/>
  <c r="H173" i="44"/>
  <c r="F19" i="42"/>
  <c r="F19" i="43" s="1"/>
  <c r="D49" i="43"/>
  <c r="H47" i="42"/>
  <c r="P49" i="43"/>
  <c r="J45" i="45"/>
  <c r="L45" i="45" s="1"/>
  <c r="D12" i="66"/>
  <c r="D14" i="66"/>
  <c r="D16" i="66"/>
  <c r="D18" i="66"/>
  <c r="D20" i="66"/>
  <c r="D22" i="66"/>
  <c r="D24" i="66"/>
  <c r="G24" i="66" s="1"/>
  <c r="H24" i="41" s="1"/>
  <c r="H218" i="44"/>
  <c r="H24" i="40"/>
  <c r="H34" i="40" s="1"/>
  <c r="H36" i="40" s="1"/>
  <c r="H6" i="53"/>
  <c r="H11" i="45"/>
  <c r="H13" i="45"/>
  <c r="H15" i="45"/>
  <c r="H17" i="45"/>
  <c r="H19" i="45"/>
  <c r="H21" i="45"/>
  <c r="H23" i="45"/>
  <c r="H25" i="45"/>
  <c r="H27" i="45"/>
  <c r="H29" i="45"/>
  <c r="H31" i="45"/>
  <c r="H33" i="45"/>
  <c r="H35" i="45"/>
  <c r="H37" i="45"/>
  <c r="H39" i="45"/>
  <c r="H41" i="45"/>
  <c r="H43" i="45"/>
  <c r="H191" i="44"/>
  <c r="H76" i="44"/>
  <c r="F10" i="44" s="1"/>
  <c r="H175" i="44"/>
  <c r="H204" i="44"/>
  <c r="H88" i="44"/>
  <c r="H90" i="44" s="1"/>
  <c r="F12" i="44" s="1"/>
  <c r="H190" i="44"/>
  <c r="H148" i="44"/>
  <c r="H150" i="44" s="1"/>
  <c r="H152" i="44" s="1"/>
  <c r="A11" i="44"/>
  <c r="A12" i="44" s="1"/>
  <c r="A13" i="44" s="1"/>
  <c r="A14" i="44" s="1"/>
  <c r="H63" i="44"/>
  <c r="F8" i="44" s="1"/>
  <c r="E139" i="44"/>
  <c r="F138" i="44" s="1"/>
  <c r="H138" i="44" s="1"/>
  <c r="H178" i="44"/>
  <c r="H113" i="44"/>
  <c r="H115" i="44" s="1"/>
  <c r="A65" i="43"/>
  <c r="A63" i="43"/>
  <c r="A65" i="42"/>
  <c r="A63" i="42"/>
  <c r="F17" i="42"/>
  <c r="F17" i="43" s="1"/>
  <c r="F21" i="42"/>
  <c r="F21" i="43" s="1"/>
  <c r="F25" i="42"/>
  <c r="F25" i="43" s="1"/>
  <c r="F29" i="42"/>
  <c r="F29" i="43" s="1"/>
  <c r="F33" i="42"/>
  <c r="F33" i="43" s="1"/>
  <c r="F37" i="42"/>
  <c r="F37" i="43" s="1"/>
  <c r="F41" i="42"/>
  <c r="F41" i="43" s="1"/>
  <c r="F45" i="42"/>
  <c r="F45" i="43" s="1"/>
  <c r="I34" i="40"/>
  <c r="A26" i="40"/>
  <c r="A28" i="40" s="1"/>
  <c r="F39" i="42" l="1"/>
  <c r="F39" i="43" s="1"/>
  <c r="F15" i="42"/>
  <c r="F15" i="43" s="1"/>
  <c r="F43" i="42"/>
  <c r="F43" i="43" s="1"/>
  <c r="F23" i="42"/>
  <c r="F23" i="43" s="1"/>
  <c r="F27" i="42"/>
  <c r="F27" i="43" s="1"/>
  <c r="F35" i="42"/>
  <c r="F35" i="43" s="1"/>
  <c r="F13" i="43"/>
  <c r="F47" i="42"/>
  <c r="F47" i="43" s="1"/>
  <c r="H47" i="43"/>
  <c r="J47" i="43" s="1"/>
  <c r="L47" i="43" s="1"/>
  <c r="H7" i="53"/>
  <c r="J43" i="45"/>
  <c r="L43" i="45" s="1"/>
  <c r="J35" i="45"/>
  <c r="L35" i="45" s="1"/>
  <c r="J27" i="45"/>
  <c r="L27" i="45" s="1"/>
  <c r="J19" i="45"/>
  <c r="L19" i="45" s="1"/>
  <c r="D28" i="66"/>
  <c r="H43" i="42"/>
  <c r="J43" i="42" s="1"/>
  <c r="L43" i="42" s="1"/>
  <c r="H37" i="42"/>
  <c r="J37" i="42" s="1"/>
  <c r="L37" i="42" s="1"/>
  <c r="H15" i="43"/>
  <c r="H25" i="43"/>
  <c r="J25" i="43" s="1"/>
  <c r="L25" i="43" s="1"/>
  <c r="H31" i="43"/>
  <c r="J31" i="43" s="1"/>
  <c r="L31" i="43" s="1"/>
  <c r="H41" i="43"/>
  <c r="J41" i="43" s="1"/>
  <c r="L41" i="43" s="1"/>
  <c r="H37" i="43"/>
  <c r="J37" i="43" s="1"/>
  <c r="L37" i="43" s="1"/>
  <c r="H27" i="42"/>
  <c r="H39" i="43"/>
  <c r="J39" i="43" s="1"/>
  <c r="L39" i="43" s="1"/>
  <c r="H33" i="43"/>
  <c r="J33" i="43" s="1"/>
  <c r="L33" i="43" s="1"/>
  <c r="H17" i="43"/>
  <c r="J17" i="43" s="1"/>
  <c r="L17" i="43" s="1"/>
  <c r="H35" i="43"/>
  <c r="H19" i="43"/>
  <c r="J19" i="43" s="1"/>
  <c r="L19" i="43" s="1"/>
  <c r="H45" i="43"/>
  <c r="J45" i="43" s="1"/>
  <c r="L45" i="43" s="1"/>
  <c r="H29" i="43"/>
  <c r="J29" i="43" s="1"/>
  <c r="L29" i="43" s="1"/>
  <c r="H13" i="43"/>
  <c r="J13" i="43" s="1"/>
  <c r="H43" i="43"/>
  <c r="J43" i="43" s="1"/>
  <c r="L43" i="43" s="1"/>
  <c r="H27" i="43"/>
  <c r="J27" i="43" s="1"/>
  <c r="L27" i="43" s="1"/>
  <c r="H21" i="43"/>
  <c r="J21" i="43" s="1"/>
  <c r="L21" i="43" s="1"/>
  <c r="H21" i="42"/>
  <c r="J21" i="42" s="1"/>
  <c r="L21" i="42" s="1"/>
  <c r="H23" i="43"/>
  <c r="J23" i="43" s="1"/>
  <c r="L23" i="43" s="1"/>
  <c r="H39" i="42"/>
  <c r="J39" i="42" s="1"/>
  <c r="L39" i="42" s="1"/>
  <c r="H23" i="42"/>
  <c r="J23" i="42" s="1"/>
  <c r="L23" i="42" s="1"/>
  <c r="H17" i="42"/>
  <c r="J17" i="42" s="1"/>
  <c r="L17" i="42" s="1"/>
  <c r="J41" i="45"/>
  <c r="L41" i="45" s="1"/>
  <c r="H35" i="42"/>
  <c r="J35" i="42" s="1"/>
  <c r="L35" i="42" s="1"/>
  <c r="H45" i="42"/>
  <c r="J45" i="42" s="1"/>
  <c r="L45" i="42" s="1"/>
  <c r="H13" i="42"/>
  <c r="J13" i="42" s="1"/>
  <c r="J39" i="45"/>
  <c r="L39" i="45" s="1"/>
  <c r="J31" i="45"/>
  <c r="L31" i="45" s="1"/>
  <c r="J23" i="45"/>
  <c r="L23" i="45" s="1"/>
  <c r="J15" i="45"/>
  <c r="L15" i="45" s="1"/>
  <c r="H33" i="42"/>
  <c r="J33" i="42" s="1"/>
  <c r="L33" i="42" s="1"/>
  <c r="H19" i="42"/>
  <c r="J19" i="42" s="1"/>
  <c r="L19" i="42" s="1"/>
  <c r="H29" i="42"/>
  <c r="J29" i="42" s="1"/>
  <c r="L29" i="42" s="1"/>
  <c r="H31" i="42"/>
  <c r="J31" i="42" s="1"/>
  <c r="L31" i="42" s="1"/>
  <c r="H15" i="42"/>
  <c r="H41" i="42"/>
  <c r="J41" i="42" s="1"/>
  <c r="L41" i="42" s="1"/>
  <c r="H25" i="42"/>
  <c r="J25" i="42" s="1"/>
  <c r="L25" i="42" s="1"/>
  <c r="J37" i="45"/>
  <c r="L37" i="45" s="1"/>
  <c r="J29" i="45"/>
  <c r="L29" i="45" s="1"/>
  <c r="J21" i="45"/>
  <c r="L21" i="45" s="1"/>
  <c r="J13" i="45"/>
  <c r="L13" i="45" s="1"/>
  <c r="J33" i="45"/>
  <c r="L33" i="45" s="1"/>
  <c r="J25" i="45"/>
  <c r="L25" i="45" s="1"/>
  <c r="J17" i="45"/>
  <c r="L17" i="45" s="1"/>
  <c r="H47" i="45"/>
  <c r="J11" i="45"/>
  <c r="F136" i="44"/>
  <c r="H199" i="44"/>
  <c r="F137" i="44"/>
  <c r="H137" i="44" s="1"/>
  <c r="A15" i="44"/>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30" i="40"/>
  <c r="A32" i="40" s="1"/>
  <c r="I28" i="40"/>
  <c r="J35" i="43" l="1"/>
  <c r="L35" i="43" s="1"/>
  <c r="J27" i="42"/>
  <c r="L27" i="42" s="1"/>
  <c r="J15" i="43"/>
  <c r="L15" i="43" s="1"/>
  <c r="J47" i="42"/>
  <c r="L47" i="42" s="1"/>
  <c r="J15" i="42"/>
  <c r="H49" i="43"/>
  <c r="H49" i="42"/>
  <c r="L11" i="45"/>
  <c r="L47" i="45" s="1"/>
  <c r="J47" i="45"/>
  <c r="F176" i="44"/>
  <c r="H136" i="44"/>
  <c r="H139" i="44" s="1"/>
  <c r="F139" i="44"/>
  <c r="F202" i="44"/>
  <c r="F54" i="44"/>
  <c r="A42" i="44"/>
  <c r="A43" i="44" s="1"/>
  <c r="A44" i="44" s="1"/>
  <c r="A45" i="44" s="1"/>
  <c r="A46" i="44" s="1"/>
  <c r="A47" i="44" s="1"/>
  <c r="A48" i="44" s="1"/>
  <c r="A49" i="44" s="1"/>
  <c r="A50" i="44" s="1"/>
  <c r="A51" i="44" s="1"/>
  <c r="A52" i="44" s="1"/>
  <c r="A53" i="44" s="1"/>
  <c r="A54" i="44" s="1"/>
  <c r="A55" i="44" s="1"/>
  <c r="A56" i="44" s="1"/>
  <c r="A57" i="44" s="1"/>
  <c r="J49" i="43"/>
  <c r="L13" i="43"/>
  <c r="L13" i="42"/>
  <c r="A34" i="40"/>
  <c r="A36" i="40" s="1"/>
  <c r="J49" i="42" l="1"/>
  <c r="L15" i="42"/>
  <c r="L49" i="42" s="1"/>
  <c r="F178" i="44"/>
  <c r="F61" i="44"/>
  <c r="F215" i="44"/>
  <c r="A58" i="44"/>
  <c r="A59" i="44" s="1"/>
  <c r="A60" i="44" s="1"/>
  <c r="A61" i="44" s="1"/>
  <c r="H213" i="44"/>
  <c r="H214" i="44" s="1"/>
  <c r="H219" i="44" s="1"/>
  <c r="F26" i="44" s="1"/>
  <c r="F14" i="44"/>
  <c r="H154" i="44"/>
  <c r="F16" i="44" s="1"/>
  <c r="L49" i="43"/>
  <c r="A38" i="40"/>
  <c r="A40" i="40" s="1"/>
  <c r="I40" i="40"/>
  <c r="I36" i="40"/>
  <c r="M11" i="15"/>
  <c r="H158" i="44" l="1"/>
  <c r="F18" i="44" s="1"/>
  <c r="H202" i="44" s="1"/>
  <c r="H206" i="44" s="1"/>
  <c r="F24" i="44" s="1"/>
  <c r="H176" i="44" s="1"/>
  <c r="H177" i="44" s="1"/>
  <c r="H179" i="44" s="1"/>
  <c r="F20" i="44" s="1"/>
  <c r="F28" i="44" s="1"/>
  <c r="F190" i="44"/>
  <c r="F88" i="44"/>
  <c r="A62" i="44"/>
  <c r="A63" i="44" s="1"/>
  <c r="F148" i="44"/>
  <c r="A42" i="40"/>
  <c r="A44" i="40" s="1"/>
  <c r="I44" i="40"/>
  <c r="G22" i="63" l="1"/>
  <c r="I28" i="63"/>
  <c r="I26" i="63"/>
  <c r="I29" i="63"/>
  <c r="G11" i="63"/>
  <c r="G15" i="63"/>
  <c r="G24" i="63"/>
  <c r="I24" i="63" s="1"/>
  <c r="I30" i="63"/>
  <c r="G12" i="63"/>
  <c r="G14" i="63"/>
  <c r="G23" i="63"/>
  <c r="G13" i="63"/>
  <c r="G10" i="63"/>
  <c r="G20" i="63"/>
  <c r="G16" i="63"/>
  <c r="G17" i="63"/>
  <c r="G19" i="63"/>
  <c r="G18" i="63"/>
  <c r="I27" i="63"/>
  <c r="G21" i="63"/>
  <c r="G25" i="63"/>
  <c r="I25" i="63" s="1"/>
  <c r="H38" i="40"/>
  <c r="H40" i="40" s="1"/>
  <c r="H44" i="40" s="1"/>
  <c r="H26" i="40"/>
  <c r="H28" i="40" s="1"/>
  <c r="N13" i="43"/>
  <c r="N13" i="42"/>
  <c r="G29" i="41"/>
  <c r="I29" i="41" s="1"/>
  <c r="G20" i="41"/>
  <c r="G9" i="41"/>
  <c r="I9" i="41" s="1"/>
  <c r="G15" i="41"/>
  <c r="G30" i="41"/>
  <c r="I30" i="41" s="1"/>
  <c r="G14" i="41"/>
  <c r="G19" i="41"/>
  <c r="G18" i="41"/>
  <c r="G17" i="41"/>
  <c r="G16" i="41"/>
  <c r="G27" i="41"/>
  <c r="I27" i="41" s="1"/>
  <c r="G11" i="41"/>
  <c r="G26" i="41"/>
  <c r="G10" i="41"/>
  <c r="G25" i="41"/>
  <c r="G28" i="41"/>
  <c r="I28" i="41" s="1"/>
  <c r="G12" i="41"/>
  <c r="G23" i="41"/>
  <c r="G21" i="41"/>
  <c r="G22" i="41"/>
  <c r="G24" i="41"/>
  <c r="I24" i="41" s="1"/>
  <c r="G13" i="41"/>
  <c r="A64" i="44"/>
  <c r="A65" i="44" s="1"/>
  <c r="A66" i="44" s="1"/>
  <c r="A67" i="44" s="1"/>
  <c r="A68" i="44" s="1"/>
  <c r="A69" i="44" s="1"/>
  <c r="A70" i="44" s="1"/>
  <c r="H8" i="44"/>
  <c r="A46" i="40"/>
  <c r="I46" i="40"/>
  <c r="H46" i="40" l="1"/>
  <c r="N45" i="42"/>
  <c r="O45" i="42" s="1"/>
  <c r="N37" i="42"/>
  <c r="O37" i="42" s="1"/>
  <c r="N29" i="42"/>
  <c r="O29" i="42" s="1"/>
  <c r="N21" i="42"/>
  <c r="O21" i="42" s="1"/>
  <c r="N31" i="42"/>
  <c r="O31" i="42" s="1"/>
  <c r="N43" i="42"/>
  <c r="O43" i="42" s="1"/>
  <c r="N35" i="42"/>
  <c r="O35" i="42" s="1"/>
  <c r="N27" i="42"/>
  <c r="O27" i="42" s="1"/>
  <c r="N19" i="42"/>
  <c r="O19" i="42" s="1"/>
  <c r="N39" i="42"/>
  <c r="O39" i="42" s="1"/>
  <c r="N41" i="42"/>
  <c r="O41" i="42" s="1"/>
  <c r="N33" i="42"/>
  <c r="O33" i="42" s="1"/>
  <c r="N25" i="42"/>
  <c r="O25" i="42" s="1"/>
  <c r="N17" i="42"/>
  <c r="O17" i="42" s="1"/>
  <c r="N47" i="42"/>
  <c r="O47" i="42" s="1"/>
  <c r="N23" i="42"/>
  <c r="O23" i="42" s="1"/>
  <c r="N15" i="42"/>
  <c r="O15" i="42" s="1"/>
  <c r="O13" i="42"/>
  <c r="N47" i="43"/>
  <c r="O47" i="43" s="1"/>
  <c r="N39" i="43"/>
  <c r="O39" i="43" s="1"/>
  <c r="N31" i="43"/>
  <c r="O31" i="43" s="1"/>
  <c r="N23" i="43"/>
  <c r="O23" i="43" s="1"/>
  <c r="N15" i="43"/>
  <c r="O15" i="43" s="1"/>
  <c r="N45" i="43"/>
  <c r="O45" i="43" s="1"/>
  <c r="N37" i="43"/>
  <c r="O37" i="43" s="1"/>
  <c r="N29" i="43"/>
  <c r="O29" i="43" s="1"/>
  <c r="N21" i="43"/>
  <c r="O21" i="43" s="1"/>
  <c r="N43" i="43"/>
  <c r="O43" i="43" s="1"/>
  <c r="N35" i="43"/>
  <c r="O35" i="43" s="1"/>
  <c r="N27" i="43"/>
  <c r="O27" i="43" s="1"/>
  <c r="N19" i="43"/>
  <c r="O19" i="43" s="1"/>
  <c r="N41" i="43"/>
  <c r="O41" i="43" s="1"/>
  <c r="N33" i="43"/>
  <c r="O33" i="43" s="1"/>
  <c r="N25" i="43"/>
  <c r="O25" i="43" s="1"/>
  <c r="N17" i="43"/>
  <c r="O17" i="43" s="1"/>
  <c r="O13" i="43"/>
  <c r="A71" i="44"/>
  <c r="A72" i="44" s="1"/>
  <c r="A73" i="44" s="1"/>
  <c r="A74" i="44" s="1"/>
  <c r="F217" i="44"/>
  <c r="F74" i="44"/>
  <c r="A48" i="40"/>
  <c r="A50" i="40" s="1"/>
  <c r="A52" i="40" s="1"/>
  <c r="H52" i="40" l="1"/>
  <c r="E28" i="66"/>
  <c r="O49" i="42"/>
  <c r="O53" i="42" s="1"/>
  <c r="O49" i="43"/>
  <c r="O53" i="43" s="1"/>
  <c r="A75" i="44"/>
  <c r="A76" i="44" s="1"/>
  <c r="F191" i="44"/>
  <c r="I54" i="40"/>
  <c r="I56" i="40"/>
  <c r="A54" i="40"/>
  <c r="A56" i="40" s="1"/>
  <c r="I52" i="40"/>
  <c r="E10" i="66" l="1"/>
  <c r="F10" i="66" s="1"/>
  <c r="G10" i="66" s="1"/>
  <c r="E26" i="66"/>
  <c r="F26" i="66" s="1"/>
  <c r="G26" i="66" s="1"/>
  <c r="H26" i="41" s="1"/>
  <c r="I26" i="41" s="1"/>
  <c r="E20" i="66"/>
  <c r="F20" i="66" s="1"/>
  <c r="G20" i="66" s="1"/>
  <c r="E21" i="66"/>
  <c r="F21" i="66" s="1"/>
  <c r="G21" i="66" s="1"/>
  <c r="E13" i="66"/>
  <c r="F13" i="66" s="1"/>
  <c r="G13" i="66" s="1"/>
  <c r="E23" i="66"/>
  <c r="F23" i="66" s="1"/>
  <c r="G23" i="66" s="1"/>
  <c r="E12" i="66"/>
  <c r="F12" i="66" s="1"/>
  <c r="G12" i="66" s="1"/>
  <c r="E15" i="66"/>
  <c r="F15" i="66" s="1"/>
  <c r="G15" i="66" s="1"/>
  <c r="E16" i="66"/>
  <c r="F16" i="66" s="1"/>
  <c r="G16" i="66" s="1"/>
  <c r="E22" i="66"/>
  <c r="F22" i="66" s="1"/>
  <c r="G22" i="66" s="1"/>
  <c r="E9" i="66"/>
  <c r="E19" i="66"/>
  <c r="F19" i="66" s="1"/>
  <c r="G19" i="66" s="1"/>
  <c r="E14" i="66"/>
  <c r="F14" i="66" s="1"/>
  <c r="G14" i="66" s="1"/>
  <c r="E18" i="66"/>
  <c r="F18" i="66" s="1"/>
  <c r="G18" i="66" s="1"/>
  <c r="E17" i="66"/>
  <c r="F17" i="66" s="1"/>
  <c r="G17" i="66" s="1"/>
  <c r="E11" i="66"/>
  <c r="F11" i="66" s="1"/>
  <c r="G11" i="66" s="1"/>
  <c r="E25" i="66"/>
  <c r="F25" i="66" s="1"/>
  <c r="G25" i="66" s="1"/>
  <c r="H25" i="41" s="1"/>
  <c r="I25" i="41" s="1"/>
  <c r="H54" i="40"/>
  <c r="H64" i="40" s="1"/>
  <c r="H56" i="40"/>
  <c r="O55" i="43"/>
  <c r="O65" i="43" s="1"/>
  <c r="O57" i="43"/>
  <c r="O55" i="42"/>
  <c r="O65" i="42" s="1"/>
  <c r="O57" i="42"/>
  <c r="A77" i="44"/>
  <c r="A78" i="44" s="1"/>
  <c r="A79" i="44" s="1"/>
  <c r="A80" i="44" s="1"/>
  <c r="H10" i="44"/>
  <c r="A58" i="40"/>
  <c r="A59" i="40" s="1"/>
  <c r="A61" i="40" s="1"/>
  <c r="A62" i="40" s="1"/>
  <c r="A64" i="40" s="1"/>
  <c r="A66" i="40" s="1"/>
  <c r="A67" i="40" s="1"/>
  <c r="A68" i="40" s="1"/>
  <c r="A69" i="40" s="1"/>
  <c r="I24" i="40" s="1"/>
  <c r="I59" i="40"/>
  <c r="I58" i="40"/>
  <c r="C2" i="38"/>
  <c r="H14" i="63" l="1"/>
  <c r="I14" i="63" s="1"/>
  <c r="H14" i="41"/>
  <c r="I14" i="41" s="1"/>
  <c r="H13" i="41"/>
  <c r="I13" i="41" s="1"/>
  <c r="H13" i="63"/>
  <c r="I13" i="63" s="1"/>
  <c r="H11" i="63"/>
  <c r="I11" i="63" s="1"/>
  <c r="H11" i="41"/>
  <c r="I11" i="41" s="1"/>
  <c r="H19" i="41"/>
  <c r="I19" i="41" s="1"/>
  <c r="H19" i="63"/>
  <c r="I19" i="63" s="1"/>
  <c r="H15" i="63"/>
  <c r="I15" i="63" s="1"/>
  <c r="H15" i="41"/>
  <c r="I15" i="41" s="1"/>
  <c r="H21" i="41"/>
  <c r="I21" i="41" s="1"/>
  <c r="H21" i="63"/>
  <c r="I21" i="63" s="1"/>
  <c r="H59" i="40"/>
  <c r="H62" i="40" s="1"/>
  <c r="H58" i="40"/>
  <c r="H61" i="40" s="1"/>
  <c r="H17" i="63"/>
  <c r="I17" i="63" s="1"/>
  <c r="H17" i="41"/>
  <c r="I17" i="41" s="1"/>
  <c r="H12" i="41"/>
  <c r="I12" i="41" s="1"/>
  <c r="H12" i="63"/>
  <c r="I12" i="63" s="1"/>
  <c r="H20" i="41"/>
  <c r="I20" i="41" s="1"/>
  <c r="H20" i="63"/>
  <c r="I20" i="63" s="1"/>
  <c r="H18" i="63"/>
  <c r="I18" i="63" s="1"/>
  <c r="H18" i="41"/>
  <c r="I18" i="41" s="1"/>
  <c r="H22" i="41"/>
  <c r="I22" i="41" s="1"/>
  <c r="H22" i="63"/>
  <c r="I22" i="63" s="1"/>
  <c r="H23" i="41"/>
  <c r="I23" i="41" s="1"/>
  <c r="H23" i="63"/>
  <c r="I23" i="63" s="1"/>
  <c r="H16" i="41"/>
  <c r="I16" i="41" s="1"/>
  <c r="H16" i="63"/>
  <c r="I16" i="63" s="1"/>
  <c r="H10" i="63"/>
  <c r="I10" i="63" s="1"/>
  <c r="H10" i="41"/>
  <c r="I10" i="41" s="1"/>
  <c r="O60" i="42"/>
  <c r="O63" i="42" s="1"/>
  <c r="O59" i="42"/>
  <c r="O62" i="42" s="1"/>
  <c r="O59" i="43"/>
  <c r="O62" i="43" s="1"/>
  <c r="O60" i="43"/>
  <c r="O63" i="43" s="1"/>
  <c r="F171" i="44"/>
  <c r="A81" i="44"/>
  <c r="A82" i="44" s="1"/>
  <c r="A83" i="44" s="1"/>
  <c r="A84" i="44" s="1"/>
  <c r="G69" i="20"/>
  <c r="P61" i="20"/>
  <c r="L61" i="20"/>
  <c r="H61" i="20"/>
  <c r="F61" i="20"/>
  <c r="D61" i="20"/>
  <c r="Q121" i="29"/>
  <c r="P121" i="29"/>
  <c r="O121" i="29"/>
  <c r="N121" i="29"/>
  <c r="M121" i="29"/>
  <c r="L121" i="29"/>
  <c r="K121" i="29"/>
  <c r="J121" i="29"/>
  <c r="R121" i="29" s="1"/>
  <c r="I121" i="29"/>
  <c r="H121" i="29"/>
  <c r="G121" i="29"/>
  <c r="Q120" i="29"/>
  <c r="P120" i="29"/>
  <c r="O120" i="29"/>
  <c r="N120" i="29"/>
  <c r="M120" i="29"/>
  <c r="M122" i="29" s="1"/>
  <c r="L120" i="29"/>
  <c r="K120" i="29"/>
  <c r="J120" i="29"/>
  <c r="I120" i="29"/>
  <c r="I122" i="29" s="1"/>
  <c r="H120" i="29"/>
  <c r="G120" i="29"/>
  <c r="F121" i="29"/>
  <c r="F120" i="29"/>
  <c r="R120" i="29" s="1"/>
  <c r="R122" i="29" s="1"/>
  <c r="F119" i="29"/>
  <c r="Q119" i="29"/>
  <c r="P119" i="29"/>
  <c r="O119" i="29"/>
  <c r="N119" i="29"/>
  <c r="M119" i="29"/>
  <c r="L119" i="29"/>
  <c r="L122" i="29" s="1"/>
  <c r="K119" i="29"/>
  <c r="J119" i="29"/>
  <c r="I119" i="29"/>
  <c r="H119" i="29"/>
  <c r="G119" i="29"/>
  <c r="G122" i="29" s="1"/>
  <c r="Q118" i="29"/>
  <c r="P118" i="29"/>
  <c r="O118" i="29"/>
  <c r="O122" i="29" s="1"/>
  <c r="N118" i="29"/>
  <c r="N122" i="29" s="1"/>
  <c r="M118" i="29"/>
  <c r="L118" i="29"/>
  <c r="K118" i="29"/>
  <c r="J118" i="29"/>
  <c r="J122" i="29" s="1"/>
  <c r="I118" i="29"/>
  <c r="H118" i="29"/>
  <c r="G118" i="29"/>
  <c r="D141" i="25" s="1"/>
  <c r="G141" i="25" s="1"/>
  <c r="F118" i="29"/>
  <c r="F122" i="29" s="1"/>
  <c r="F29" i="21"/>
  <c r="E40" i="21"/>
  <c r="A27" i="37"/>
  <c r="A28" i="37" s="1"/>
  <c r="A29" i="37" s="1"/>
  <c r="A30" i="37" s="1"/>
  <c r="A31" i="37" s="1"/>
  <c r="A32" i="37" s="1"/>
  <c r="A33" i="37" s="1"/>
  <c r="A34" i="37" s="1"/>
  <c r="A35" i="37" s="1"/>
  <c r="A36" i="37" s="1"/>
  <c r="A37" i="37" s="1"/>
  <c r="A38" i="37" s="1"/>
  <c r="A39" i="37" s="1"/>
  <c r="A40" i="37" s="1"/>
  <c r="A41" i="37" s="1"/>
  <c r="A42" i="37" s="1"/>
  <c r="A43" i="37" s="1"/>
  <c r="A44" i="37" s="1"/>
  <c r="A45" i="37" s="1"/>
  <c r="A46" i="37" s="1"/>
  <c r="D52" i="23"/>
  <c r="G56" i="16"/>
  <c r="G53" i="16"/>
  <c r="F52" i="16"/>
  <c r="G52" i="16" s="1"/>
  <c r="G51" i="16"/>
  <c r="G49" i="16"/>
  <c r="G47" i="16"/>
  <c r="G46" i="16"/>
  <c r="G45" i="16"/>
  <c r="G44" i="16"/>
  <c r="D96" i="25"/>
  <c r="G48" i="16" s="1"/>
  <c r="M23" i="15"/>
  <c r="D91" i="25" s="1"/>
  <c r="M15" i="15"/>
  <c r="D35" i="7" s="1"/>
  <c r="M36" i="15"/>
  <c r="M34" i="15"/>
  <c r="E78" i="9"/>
  <c r="Q573" i="78"/>
  <c r="Q591" i="78" s="1"/>
  <c r="Q511" i="78"/>
  <c r="Q529" i="78" s="1"/>
  <c r="Q294" i="78"/>
  <c r="Q312" i="78" s="1"/>
  <c r="F77" i="9"/>
  <c r="P93" i="77"/>
  <c r="P85" i="77"/>
  <c r="P74" i="77"/>
  <c r="P70" i="77"/>
  <c r="D80" i="9"/>
  <c r="D78" i="9"/>
  <c r="D77" i="9"/>
  <c r="O93" i="14"/>
  <c r="N93" i="14"/>
  <c r="K93" i="14"/>
  <c r="J93" i="14"/>
  <c r="F93" i="14"/>
  <c r="R86" i="14"/>
  <c r="I87" i="14"/>
  <c r="U57" i="13"/>
  <c r="U53" i="13"/>
  <c r="K49" i="13"/>
  <c r="K45" i="13"/>
  <c r="E185" i="75"/>
  <c r="F185" i="75" s="1"/>
  <c r="E157" i="75"/>
  <c r="F157" i="75" s="1"/>
  <c r="F159" i="75" s="1"/>
  <c r="E150" i="75"/>
  <c r="G150" i="75" s="1"/>
  <c r="E142" i="75"/>
  <c r="G142" i="75" s="1"/>
  <c r="E140" i="75"/>
  <c r="G140" i="75" s="1"/>
  <c r="E132" i="75"/>
  <c r="F132" i="75" s="1"/>
  <c r="G132" i="75" s="1"/>
  <c r="E130" i="75"/>
  <c r="F130" i="75" s="1"/>
  <c r="E128" i="75"/>
  <c r="E124" i="75"/>
  <c r="F124" i="75" s="1"/>
  <c r="E191" i="74"/>
  <c r="E162" i="74"/>
  <c r="D164" i="74"/>
  <c r="E138" i="74"/>
  <c r="E126" i="74"/>
  <c r="F126" i="74" s="1"/>
  <c r="G126" i="74" s="1"/>
  <c r="D133" i="74"/>
  <c r="D119" i="74"/>
  <c r="D172" i="74"/>
  <c r="E194" i="75"/>
  <c r="E186" i="75"/>
  <c r="E183" i="75"/>
  <c r="E182" i="75"/>
  <c r="F182" i="75" s="1"/>
  <c r="G182" i="75" s="1"/>
  <c r="E171" i="75"/>
  <c r="G171" i="75" s="1"/>
  <c r="E119" i="75"/>
  <c r="F119" i="75" s="1"/>
  <c r="G119" i="75" s="1"/>
  <c r="C146" i="74"/>
  <c r="Q139" i="78"/>
  <c r="Q157" i="78" s="1"/>
  <c r="K54" i="29"/>
  <c r="L54" i="29"/>
  <c r="K55" i="29"/>
  <c r="L55" i="29"/>
  <c r="K56" i="29"/>
  <c r="L56" i="29"/>
  <c r="K57" i="29"/>
  <c r="L57" i="29"/>
  <c r="J604" i="78"/>
  <c r="J622" i="78" s="1"/>
  <c r="J542" i="78"/>
  <c r="J560" i="78" s="1"/>
  <c r="J511" i="78"/>
  <c r="J529" i="78" s="1"/>
  <c r="J449" i="78"/>
  <c r="J467" i="78" s="1"/>
  <c r="J387" i="78"/>
  <c r="J405" i="78" s="1"/>
  <c r="J294" i="78"/>
  <c r="J312" i="78" s="1"/>
  <c r="C606" i="78"/>
  <c r="C575" i="78"/>
  <c r="C544" i="78"/>
  <c r="E543" i="78" s="1"/>
  <c r="E544" i="78" s="1"/>
  <c r="E545" i="78" s="1"/>
  <c r="E546" i="78" s="1"/>
  <c r="E547" i="78" s="1"/>
  <c r="E548" i="78" s="1"/>
  <c r="C513" i="78"/>
  <c r="E512" i="78" s="1"/>
  <c r="E513" i="78" s="1"/>
  <c r="C451" i="78"/>
  <c r="C389" i="78"/>
  <c r="C327" i="78"/>
  <c r="C296" i="78"/>
  <c r="C265" i="78"/>
  <c r="C234" i="78"/>
  <c r="C203" i="78"/>
  <c r="C172" i="78"/>
  <c r="C141" i="78"/>
  <c r="C110" i="78"/>
  <c r="C79" i="78"/>
  <c r="C48" i="78"/>
  <c r="E47" i="78" s="1"/>
  <c r="E48" i="78" s="1"/>
  <c r="Q542" i="78"/>
  <c r="Q560" i="78" s="1"/>
  <c r="Q387" i="78"/>
  <c r="Q405" i="78" s="1"/>
  <c r="E141" i="75"/>
  <c r="G141" i="75" s="1"/>
  <c r="C202" i="74"/>
  <c r="H605" i="78"/>
  <c r="H543" i="78"/>
  <c r="H546" i="78" s="1"/>
  <c r="H512" i="78"/>
  <c r="H523" i="78" s="1"/>
  <c r="H450" i="78"/>
  <c r="H388" i="78"/>
  <c r="H295" i="78"/>
  <c r="H304" i="78" s="1"/>
  <c r="G164" i="25"/>
  <c r="G162" i="25"/>
  <c r="E76" i="9"/>
  <c r="P51" i="29"/>
  <c r="P54" i="29"/>
  <c r="P55" i="29"/>
  <c r="P56" i="29"/>
  <c r="P57" i="29"/>
  <c r="A2" i="78"/>
  <c r="A1" i="78"/>
  <c r="D615" i="78"/>
  <c r="E605" i="78"/>
  <c r="E606" i="78"/>
  <c r="E607" i="78" s="1"/>
  <c r="E608" i="78" s="1"/>
  <c r="E609" i="78" s="1"/>
  <c r="E610" i="78" s="1"/>
  <c r="E611" i="78" s="1"/>
  <c r="E612" i="78" s="1"/>
  <c r="D584" i="78"/>
  <c r="D583" i="78" s="1"/>
  <c r="E574" i="78"/>
  <c r="E575" i="78" s="1"/>
  <c r="D553" i="78"/>
  <c r="D552" i="78"/>
  <c r="D551" i="78" s="1"/>
  <c r="D522" i="78"/>
  <c r="D521" i="78"/>
  <c r="D520" i="78" s="1"/>
  <c r="D519" i="78" s="1"/>
  <c r="D518" i="78" s="1"/>
  <c r="D517" i="78" s="1"/>
  <c r="D516" i="78" s="1"/>
  <c r="D460" i="78"/>
  <c r="E450" i="78"/>
  <c r="D398" i="78"/>
  <c r="E388" i="78"/>
  <c r="D336" i="78"/>
  <c r="D335" i="78" s="1"/>
  <c r="D334" i="78" s="1"/>
  <c r="D333" i="78" s="1"/>
  <c r="D332" i="78" s="1"/>
  <c r="E326" i="78"/>
  <c r="E327" i="78"/>
  <c r="E328" i="78" s="1"/>
  <c r="E329" i="78" s="1"/>
  <c r="D305" i="78"/>
  <c r="D304" i="78" s="1"/>
  <c r="D303" i="78" s="1"/>
  <c r="D302" i="78" s="1"/>
  <c r="D301" i="78" s="1"/>
  <c r="D300" i="78" s="1"/>
  <c r="D299" i="78" s="1"/>
  <c r="E295" i="78"/>
  <c r="E296" i="78" s="1"/>
  <c r="E297" i="78" s="1"/>
  <c r="E298" i="78" s="1"/>
  <c r="E299" i="78" s="1"/>
  <c r="E300" i="78" s="1"/>
  <c r="E301" i="78" s="1"/>
  <c r="D274" i="78"/>
  <c r="D273" i="78"/>
  <c r="D272" i="78" s="1"/>
  <c r="D271" i="78" s="1"/>
  <c r="D270" i="78" s="1"/>
  <c r="D269" i="78" s="1"/>
  <c r="D268" i="78" s="1"/>
  <c r="D267" i="78" s="1"/>
  <c r="E264" i="78"/>
  <c r="D243" i="78"/>
  <c r="E233" i="78"/>
  <c r="D212" i="78"/>
  <c r="E202" i="78"/>
  <c r="E203" i="78" s="1"/>
  <c r="E204" i="78" s="1"/>
  <c r="E205" i="78" s="1"/>
  <c r="E206" i="78" s="1"/>
  <c r="E207" i="78" s="1"/>
  <c r="E208" i="78" s="1"/>
  <c r="D181" i="78"/>
  <c r="D180" i="78" s="1"/>
  <c r="D179" i="78" s="1"/>
  <c r="D178" i="78" s="1"/>
  <c r="D177" i="78" s="1"/>
  <c r="D176" i="78" s="1"/>
  <c r="D175" i="78" s="1"/>
  <c r="D174" i="78" s="1"/>
  <c r="E171" i="78"/>
  <c r="E172" i="78" s="1"/>
  <c r="D150" i="78"/>
  <c r="D149" i="78" s="1"/>
  <c r="D148" i="78" s="1"/>
  <c r="D147" i="78" s="1"/>
  <c r="E140" i="78"/>
  <c r="D119" i="78"/>
  <c r="E109" i="78"/>
  <c r="E110" i="78"/>
  <c r="E111" i="78" s="1"/>
  <c r="E112" i="78" s="1"/>
  <c r="E113" i="78" s="1"/>
  <c r="E114" i="78" s="1"/>
  <c r="E115" i="78" s="1"/>
  <c r="E116" i="78" s="1"/>
  <c r="E117" i="78" s="1"/>
  <c r="D88" i="78"/>
  <c r="E78" i="78"/>
  <c r="E79" i="78" s="1"/>
  <c r="E80" i="78" s="1"/>
  <c r="E81" i="78" s="1"/>
  <c r="E82" i="78" s="1"/>
  <c r="E83" i="78" s="1"/>
  <c r="E84" i="78" s="1"/>
  <c r="D57" i="78"/>
  <c r="D56" i="78"/>
  <c r="D55" i="78" s="1"/>
  <c r="D54" i="78" s="1"/>
  <c r="D53" i="78" s="1"/>
  <c r="D52" i="78" s="1"/>
  <c r="D51" i="78" s="1"/>
  <c r="D50" i="78" s="1"/>
  <c r="D49" i="78" s="1"/>
  <c r="D48" i="78" s="1"/>
  <c r="D26" i="78"/>
  <c r="D25" i="78"/>
  <c r="D24" i="78" s="1"/>
  <c r="D23" i="78" s="1"/>
  <c r="D22" i="78" s="1"/>
  <c r="D21" i="78" s="1"/>
  <c r="D20" i="78" s="1"/>
  <c r="D19" i="78" s="1"/>
  <c r="E16" i="78"/>
  <c r="E17" i="78"/>
  <c r="E18" i="78" s="1"/>
  <c r="E19" i="78" s="1"/>
  <c r="E20" i="78" s="1"/>
  <c r="A10" i="78"/>
  <c r="A11" i="78"/>
  <c r="A12" i="78" s="1"/>
  <c r="A13" i="78" s="1"/>
  <c r="A14" i="78" s="1"/>
  <c r="A15" i="78" s="1"/>
  <c r="A16" i="78" s="1"/>
  <c r="A17" i="78" s="1"/>
  <c r="A18" i="78" s="1"/>
  <c r="A19" i="78" s="1"/>
  <c r="A20" i="78" s="1"/>
  <c r="A21" i="78" s="1"/>
  <c r="A22" i="78" s="1"/>
  <c r="A23" i="78" s="1"/>
  <c r="A24" i="78" s="1"/>
  <c r="A25" i="78" s="1"/>
  <c r="A26" i="78" s="1"/>
  <c r="A27" i="78" s="1"/>
  <c r="Q2" i="78"/>
  <c r="E141" i="78"/>
  <c r="E142" i="78" s="1"/>
  <c r="E143" i="78" s="1"/>
  <c r="E144" i="78" s="1"/>
  <c r="E145" i="78" s="1"/>
  <c r="E146" i="78" s="1"/>
  <c r="E147" i="78" s="1"/>
  <c r="E148" i="78" s="1"/>
  <c r="E234" i="78"/>
  <c r="E235" i="78"/>
  <c r="E236" i="78" s="1"/>
  <c r="E237" i="78" s="1"/>
  <c r="E238" i="78" s="1"/>
  <c r="E239" i="78" s="1"/>
  <c r="E265" i="78"/>
  <c r="E266" i="78" s="1"/>
  <c r="E267" i="78" s="1"/>
  <c r="D211" i="78"/>
  <c r="E389" i="78"/>
  <c r="E390" i="78"/>
  <c r="E391" i="78" s="1"/>
  <c r="E392" i="78" s="1"/>
  <c r="E393" i="78" s="1"/>
  <c r="E394" i="78" s="1"/>
  <c r="D242" i="78"/>
  <c r="D241" i="78"/>
  <c r="D397" i="78"/>
  <c r="D582" i="78"/>
  <c r="D581" i="78"/>
  <c r="D459" i="78"/>
  <c r="E576" i="78"/>
  <c r="E577" i="78"/>
  <c r="E578" i="78"/>
  <c r="E579" i="78" s="1"/>
  <c r="E580" i="78" s="1"/>
  <c r="E581" i="78" s="1"/>
  <c r="F581" i="78" s="1"/>
  <c r="D614" i="78"/>
  <c r="D210" i="78"/>
  <c r="D209" i="78" s="1"/>
  <c r="D208" i="78" s="1"/>
  <c r="D207" i="78" s="1"/>
  <c r="D613" i="78"/>
  <c r="D612" i="78" s="1"/>
  <c r="D611" i="78" s="1"/>
  <c r="D458" i="78"/>
  <c r="E175" i="75"/>
  <c r="G175" i="75" s="1"/>
  <c r="E174" i="75"/>
  <c r="G174" i="75" s="1"/>
  <c r="E113" i="75"/>
  <c r="E114" i="75" s="1"/>
  <c r="E42" i="75"/>
  <c r="G42" i="75" s="1"/>
  <c r="E41" i="75"/>
  <c r="G41" i="75" s="1"/>
  <c r="E32" i="75"/>
  <c r="F32" i="75" s="1"/>
  <c r="E31" i="75"/>
  <c r="F31" i="75" s="1"/>
  <c r="G31" i="75" s="1"/>
  <c r="E30" i="75"/>
  <c r="F30" i="75" s="1"/>
  <c r="G30" i="75" s="1"/>
  <c r="E28" i="75"/>
  <c r="F28" i="75" s="1"/>
  <c r="G28" i="75" s="1"/>
  <c r="E27" i="75"/>
  <c r="F27" i="75" s="1"/>
  <c r="E26" i="75"/>
  <c r="G26" i="75" s="1"/>
  <c r="E24" i="75"/>
  <c r="F24" i="75" s="1"/>
  <c r="E23" i="75"/>
  <c r="F23" i="75" s="1"/>
  <c r="E13" i="75"/>
  <c r="G13" i="75" s="1"/>
  <c r="G14" i="75" s="1"/>
  <c r="E201" i="74"/>
  <c r="F201" i="74" s="1"/>
  <c r="G201" i="74" s="1"/>
  <c r="E200" i="74"/>
  <c r="F200" i="74" s="1"/>
  <c r="G200" i="74" s="1"/>
  <c r="E199" i="74"/>
  <c r="G199" i="74" s="1"/>
  <c r="E198" i="74"/>
  <c r="F198" i="74" s="1"/>
  <c r="E193" i="74"/>
  <c r="F193" i="74" s="1"/>
  <c r="G193" i="74" s="1"/>
  <c r="E180" i="74"/>
  <c r="G180" i="74" s="1"/>
  <c r="E131" i="74"/>
  <c r="F131" i="74" s="1"/>
  <c r="G131" i="74" s="1"/>
  <c r="E130" i="74"/>
  <c r="F130" i="74" s="1"/>
  <c r="E95" i="74"/>
  <c r="F95" i="74" s="1"/>
  <c r="E76" i="74"/>
  <c r="E58" i="74"/>
  <c r="E57" i="74"/>
  <c r="G57" i="74" s="1"/>
  <c r="E51" i="74"/>
  <c r="E44" i="74"/>
  <c r="F44" i="74" s="1"/>
  <c r="E31" i="74"/>
  <c r="G31" i="74" s="1"/>
  <c r="E30" i="74"/>
  <c r="E23" i="74"/>
  <c r="F23" i="74" s="1"/>
  <c r="G23" i="74" s="1"/>
  <c r="E21" i="74"/>
  <c r="F21" i="74" s="1"/>
  <c r="G21" i="74" s="1"/>
  <c r="E20" i="74"/>
  <c r="F20" i="74" s="1"/>
  <c r="G20" i="74" s="1"/>
  <c r="E19" i="74"/>
  <c r="G19" i="74" s="1"/>
  <c r="E18" i="74"/>
  <c r="F18" i="74" s="1"/>
  <c r="E17" i="74"/>
  <c r="F17" i="74" s="1"/>
  <c r="G17" i="74" s="1"/>
  <c r="E11" i="74"/>
  <c r="F11" i="74" s="1"/>
  <c r="N57" i="29"/>
  <c r="N56" i="29"/>
  <c r="N55" i="29"/>
  <c r="N54" i="29"/>
  <c r="M57" i="29"/>
  <c r="M56" i="29"/>
  <c r="M55" i="29"/>
  <c r="M54" i="29"/>
  <c r="N115" i="29"/>
  <c r="M115" i="29"/>
  <c r="P35" i="20"/>
  <c r="E41" i="21"/>
  <c r="D76" i="9"/>
  <c r="D79" i="9"/>
  <c r="D124" i="25"/>
  <c r="D128" i="25" s="1"/>
  <c r="D132" i="25" s="1"/>
  <c r="G165" i="25"/>
  <c r="H115" i="29"/>
  <c r="E115" i="29"/>
  <c r="E46" i="37"/>
  <c r="D42" i="23"/>
  <c r="C42" i="23"/>
  <c r="E67" i="16"/>
  <c r="F55" i="16" s="1"/>
  <c r="F54" i="16"/>
  <c r="F81" i="9"/>
  <c r="D119" i="14"/>
  <c r="B119" i="14"/>
  <c r="D118" i="14"/>
  <c r="B118" i="14"/>
  <c r="D111" i="14"/>
  <c r="D110" i="14"/>
  <c r="D109" i="14"/>
  <c r="D108" i="14"/>
  <c r="D107" i="14"/>
  <c r="D106" i="14"/>
  <c r="D105" i="14"/>
  <c r="D104" i="14"/>
  <c r="D103" i="14"/>
  <c r="D102" i="14"/>
  <c r="D101" i="14"/>
  <c r="D100" i="14"/>
  <c r="D99" i="14"/>
  <c r="D98" i="14"/>
  <c r="D97" i="14"/>
  <c r="D96" i="14"/>
  <c r="P93" i="14"/>
  <c r="L93" i="14"/>
  <c r="H93" i="14"/>
  <c r="D92" i="14"/>
  <c r="B92" i="14"/>
  <c r="D86" i="14"/>
  <c r="B86" i="14"/>
  <c r="D85" i="14"/>
  <c r="B85" i="14"/>
  <c r="D84" i="14"/>
  <c r="B84" i="14"/>
  <c r="D78" i="14"/>
  <c r="B78" i="14"/>
  <c r="D77" i="14"/>
  <c r="B77" i="14"/>
  <c r="D76" i="14"/>
  <c r="B76" i="14"/>
  <c r="D75" i="14"/>
  <c r="B75" i="14"/>
  <c r="N57" i="13"/>
  <c r="M52" i="13"/>
  <c r="O50" i="13"/>
  <c r="N49" i="13"/>
  <c r="G51" i="74"/>
  <c r="D81" i="9"/>
  <c r="F78" i="9"/>
  <c r="F79" i="74"/>
  <c r="E37" i="74"/>
  <c r="E38" i="74"/>
  <c r="E35" i="9"/>
  <c r="E34" i="9"/>
  <c r="J129" i="76"/>
  <c r="H129" i="76"/>
  <c r="E24" i="9" s="1"/>
  <c r="F95" i="76"/>
  <c r="F94" i="76"/>
  <c r="F93" i="76"/>
  <c r="F92" i="76"/>
  <c r="F91" i="76"/>
  <c r="F90" i="76"/>
  <c r="F89" i="76"/>
  <c r="Q96" i="76"/>
  <c r="N96" i="76"/>
  <c r="F88" i="76"/>
  <c r="F86" i="76"/>
  <c r="F84" i="76"/>
  <c r="F75" i="76"/>
  <c r="F74" i="76"/>
  <c r="F73" i="76"/>
  <c r="F72" i="76"/>
  <c r="F71" i="76"/>
  <c r="F70" i="76"/>
  <c r="Q77" i="76"/>
  <c r="J77" i="76"/>
  <c r="F69" i="76"/>
  <c r="F68" i="76"/>
  <c r="F67" i="76"/>
  <c r="F65" i="76"/>
  <c r="F64" i="76"/>
  <c r="D38" i="9"/>
  <c r="D37" i="9"/>
  <c r="D35" i="9"/>
  <c r="D34" i="9"/>
  <c r="D33" i="9"/>
  <c r="D32" i="9"/>
  <c r="D36" i="9"/>
  <c r="C46" i="76"/>
  <c r="C50" i="76" s="1"/>
  <c r="D25" i="9" s="1"/>
  <c r="G23" i="76"/>
  <c r="G27" i="76" s="1"/>
  <c r="D12" i="9" s="1"/>
  <c r="G153" i="3" s="1"/>
  <c r="E23" i="76"/>
  <c r="E27" i="76" s="1"/>
  <c r="K154" i="77"/>
  <c r="D60" i="25" s="1"/>
  <c r="H154" i="77"/>
  <c r="D109" i="25" s="1"/>
  <c r="G109" i="25" s="1"/>
  <c r="G154" i="77"/>
  <c r="D154" i="77"/>
  <c r="D108" i="25" s="1"/>
  <c r="G108" i="25" s="1"/>
  <c r="C154" i="77"/>
  <c r="I153" i="77"/>
  <c r="I154" i="77" s="1"/>
  <c r="D57" i="25" s="1"/>
  <c r="G57" i="25" s="1"/>
  <c r="E153" i="77"/>
  <c r="E154" i="77" s="1"/>
  <c r="D56" i="25" s="1"/>
  <c r="G56" i="25" s="1"/>
  <c r="I152" i="77"/>
  <c r="E152" i="77"/>
  <c r="I151" i="77"/>
  <c r="E151" i="77"/>
  <c r="I150" i="77"/>
  <c r="E150" i="77"/>
  <c r="I149" i="77"/>
  <c r="E149" i="77"/>
  <c r="I148" i="77"/>
  <c r="E148" i="77"/>
  <c r="I147" i="77"/>
  <c r="E147" i="77"/>
  <c r="I146" i="77"/>
  <c r="E146" i="77"/>
  <c r="I145" i="77"/>
  <c r="E145" i="77"/>
  <c r="I144" i="77"/>
  <c r="E144" i="77"/>
  <c r="I143" i="77"/>
  <c r="E143" i="77"/>
  <c r="I142" i="77"/>
  <c r="E142" i="77"/>
  <c r="I141" i="77"/>
  <c r="E141" i="77"/>
  <c r="A11" i="77"/>
  <c r="A12" i="77" s="1"/>
  <c r="A13" i="77" s="1"/>
  <c r="A14" i="77" s="1"/>
  <c r="A15" i="77" s="1"/>
  <c r="A16" i="77" s="1"/>
  <c r="A17" i="77" s="1"/>
  <c r="A18" i="77" s="1"/>
  <c r="A19" i="77" s="1"/>
  <c r="A20" i="77" s="1"/>
  <c r="A21" i="77" s="1"/>
  <c r="A22" i="77" s="1"/>
  <c r="B23" i="77" s="1"/>
  <c r="K154" i="76"/>
  <c r="D60" i="3" s="1"/>
  <c r="H154" i="76"/>
  <c r="D109" i="3" s="1"/>
  <c r="G109" i="3" s="1"/>
  <c r="J109" i="3" s="1"/>
  <c r="G154" i="76"/>
  <c r="D154" i="76"/>
  <c r="D108" i="3" s="1"/>
  <c r="G108" i="3" s="1"/>
  <c r="J108" i="3" s="1"/>
  <c r="C154" i="76"/>
  <c r="I153" i="76"/>
  <c r="I154" i="76" s="1"/>
  <c r="D57" i="3" s="1"/>
  <c r="G57" i="3" s="1"/>
  <c r="J57" i="3" s="1"/>
  <c r="E153" i="76"/>
  <c r="E154" i="76" s="1"/>
  <c r="D56" i="3" s="1"/>
  <c r="G56" i="3" s="1"/>
  <c r="J56" i="3" s="1"/>
  <c r="I152" i="76"/>
  <c r="E152" i="76"/>
  <c r="I151" i="76"/>
  <c r="E151" i="76"/>
  <c r="I150" i="76"/>
  <c r="E150" i="76"/>
  <c r="I149" i="76"/>
  <c r="E149" i="76"/>
  <c r="I148" i="76"/>
  <c r="E148" i="76"/>
  <c r="I147" i="76"/>
  <c r="E147" i="76"/>
  <c r="I146" i="76"/>
  <c r="E146" i="76"/>
  <c r="I145" i="76"/>
  <c r="E145" i="76"/>
  <c r="I144" i="76"/>
  <c r="E144" i="76"/>
  <c r="I143" i="76"/>
  <c r="E143" i="76"/>
  <c r="I142" i="76"/>
  <c r="E142" i="76"/>
  <c r="I141" i="76"/>
  <c r="E141" i="76"/>
  <c r="I129" i="76"/>
  <c r="C96" i="76"/>
  <c r="C77" i="76"/>
  <c r="A11" i="76"/>
  <c r="A12" i="76" s="1"/>
  <c r="A13" i="76" s="1"/>
  <c r="A14" i="76" s="1"/>
  <c r="A15" i="76" s="1"/>
  <c r="A16" i="76" s="1"/>
  <c r="A17" i="76" s="1"/>
  <c r="A18" i="76" s="1"/>
  <c r="A19" i="76" s="1"/>
  <c r="A20" i="76" s="1"/>
  <c r="A21" i="76" s="1"/>
  <c r="A22" i="76" s="1"/>
  <c r="F176" i="75"/>
  <c r="F145" i="75"/>
  <c r="F114" i="75"/>
  <c r="D114" i="75"/>
  <c r="C114" i="75"/>
  <c r="A111" i="75"/>
  <c r="A112" i="75" s="1"/>
  <c r="A113" i="75" s="1"/>
  <c r="A114" i="75" s="1"/>
  <c r="A115" i="75" s="1"/>
  <c r="A116" i="75" s="1"/>
  <c r="A117" i="75" s="1"/>
  <c r="A118" i="75" s="1"/>
  <c r="A119" i="75" s="1"/>
  <c r="A120" i="75" s="1"/>
  <c r="A121" i="75" s="1"/>
  <c r="A122" i="75" s="1"/>
  <c r="A123" i="75" s="1"/>
  <c r="A124" i="75" s="1"/>
  <c r="A125" i="75" s="1"/>
  <c r="A126" i="75" s="1"/>
  <c r="A127" i="75" s="1"/>
  <c r="A128" i="75" s="1"/>
  <c r="A129" i="75" s="1"/>
  <c r="A130" i="75" s="1"/>
  <c r="A131" i="75" s="1"/>
  <c r="A132" i="75" s="1"/>
  <c r="A133" i="75" s="1"/>
  <c r="A134" i="75" s="1"/>
  <c r="A135" i="75" s="1"/>
  <c r="A136" i="75" s="1"/>
  <c r="A137" i="75" s="1"/>
  <c r="A138" i="75" s="1"/>
  <c r="A139" i="75" s="1"/>
  <c r="A140" i="75" s="1"/>
  <c r="A141" i="75" s="1"/>
  <c r="A142" i="75" s="1"/>
  <c r="A143" i="75" s="1"/>
  <c r="A144" i="75" s="1"/>
  <c r="A145" i="75" s="1"/>
  <c r="A146" i="75" s="1"/>
  <c r="A147" i="75" s="1"/>
  <c r="A148" i="75" s="1"/>
  <c r="A149" i="75" s="1"/>
  <c r="A150" i="75" s="1"/>
  <c r="A151" i="75" s="1"/>
  <c r="A152" i="75" s="1"/>
  <c r="A153" i="75" s="1"/>
  <c r="A154" i="75" s="1"/>
  <c r="A104" i="75"/>
  <c r="A103" i="75"/>
  <c r="G102" i="75"/>
  <c r="A102" i="75"/>
  <c r="A101" i="75"/>
  <c r="F73" i="75"/>
  <c r="F57" i="75"/>
  <c r="F45" i="75"/>
  <c r="F14" i="75"/>
  <c r="D14" i="75"/>
  <c r="C14" i="75"/>
  <c r="A11" i="75"/>
  <c r="A12" i="75" s="1"/>
  <c r="A13" i="75" s="1"/>
  <c r="A14" i="75" s="1"/>
  <c r="A15" i="75" s="1"/>
  <c r="A16" i="75" s="1"/>
  <c r="A17" i="75" s="1"/>
  <c r="A18" i="75" s="1"/>
  <c r="A19" i="75" s="1"/>
  <c r="A20" i="75" s="1"/>
  <c r="A21" i="75" s="1"/>
  <c r="A22" i="75" s="1"/>
  <c r="A23" i="75" s="1"/>
  <c r="A24" i="75" s="1"/>
  <c r="A25" i="75" s="1"/>
  <c r="A26" i="75" s="1"/>
  <c r="A27" i="75" s="1"/>
  <c r="A28" i="75" s="1"/>
  <c r="A29" i="75" s="1"/>
  <c r="A30" i="75" s="1"/>
  <c r="A31" i="75" s="1"/>
  <c r="A32" i="75" s="1"/>
  <c r="A33" i="75" s="1"/>
  <c r="A34" i="75" s="1"/>
  <c r="A35" i="75" s="1"/>
  <c r="A36" i="75" s="1"/>
  <c r="A37" i="75" s="1"/>
  <c r="A38" i="75" s="1"/>
  <c r="A39" i="75" s="1"/>
  <c r="A40" i="75" s="1"/>
  <c r="A41" i="75" s="1"/>
  <c r="A42" i="75" s="1"/>
  <c r="A43" i="75" s="1"/>
  <c r="A44" i="75" s="1"/>
  <c r="A45" i="75" s="1"/>
  <c r="A46" i="75" s="1"/>
  <c r="A47" i="75" s="1"/>
  <c r="A48" i="75" s="1"/>
  <c r="A49" i="75" s="1"/>
  <c r="A50" i="75" s="1"/>
  <c r="A51" i="75" s="1"/>
  <c r="A52" i="75" s="1"/>
  <c r="A53" i="75" s="1"/>
  <c r="A54" i="75" s="1"/>
  <c r="G101" i="75"/>
  <c r="A117" i="74"/>
  <c r="A118" i="74" s="1"/>
  <c r="A119" i="74" s="1"/>
  <c r="A120" i="74" s="1"/>
  <c r="A110" i="74"/>
  <c r="A109" i="74"/>
  <c r="G108" i="74"/>
  <c r="A108" i="74"/>
  <c r="A107" i="74"/>
  <c r="D38" i="74"/>
  <c r="C38" i="74"/>
  <c r="D13" i="74"/>
  <c r="A11" i="74"/>
  <c r="A12" i="74" s="1"/>
  <c r="A13" i="74" s="1"/>
  <c r="A14" i="74" s="1"/>
  <c r="A15" i="74" s="1"/>
  <c r="A16" i="74" s="1"/>
  <c r="A17" i="74" s="1"/>
  <c r="A18" i="74" s="1"/>
  <c r="A19" i="74" s="1"/>
  <c r="A20" i="74" s="1"/>
  <c r="A21" i="74" s="1"/>
  <c r="A22" i="74" s="1"/>
  <c r="A23" i="74" s="1"/>
  <c r="A24" i="74" s="1"/>
  <c r="A25" i="74" s="1"/>
  <c r="A26" i="74" s="1"/>
  <c r="A27" i="74" s="1"/>
  <c r="A28" i="74" s="1"/>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0" i="74" s="1"/>
  <c r="A51" i="74" s="1"/>
  <c r="A52" i="74" s="1"/>
  <c r="A53" i="74" s="1"/>
  <c r="A54" i="74" s="1"/>
  <c r="A55" i="74" s="1"/>
  <c r="A56" i="74" s="1"/>
  <c r="A57" i="74" s="1"/>
  <c r="A58" i="74" s="1"/>
  <c r="A59" i="74" s="1"/>
  <c r="A60" i="74" s="1"/>
  <c r="A61" i="74" s="1"/>
  <c r="A62" i="74" s="1"/>
  <c r="A63" i="74" s="1"/>
  <c r="A64" i="74" s="1"/>
  <c r="A65" i="74" s="1"/>
  <c r="A66" i="74" s="1"/>
  <c r="A67" i="74" s="1"/>
  <c r="A68" i="74" s="1"/>
  <c r="A69" i="74" s="1"/>
  <c r="A70" i="74" s="1"/>
  <c r="A71" i="74" s="1"/>
  <c r="A72" i="74" s="1"/>
  <c r="A73" i="74" s="1"/>
  <c r="A74" i="74" s="1"/>
  <c r="A75" i="74" s="1"/>
  <c r="A76" i="74" s="1"/>
  <c r="A77" i="74" s="1"/>
  <c r="A78" i="74" s="1"/>
  <c r="A79" i="74" s="1"/>
  <c r="A80" i="74" s="1"/>
  <c r="A81" i="74" s="1"/>
  <c r="A82" i="74" s="1"/>
  <c r="A83" i="74" s="1"/>
  <c r="A84" i="74" s="1"/>
  <c r="A85" i="74" s="1"/>
  <c r="A86" i="74" s="1"/>
  <c r="A87" i="74" s="1"/>
  <c r="A88" i="74" s="1"/>
  <c r="A89" i="74" s="1"/>
  <c r="A92" i="74" s="1"/>
  <c r="A93" i="74" s="1"/>
  <c r="A94" i="74" s="1"/>
  <c r="A95" i="74" s="1"/>
  <c r="A96" i="74" s="1"/>
  <c r="A97" i="74" s="1"/>
  <c r="A98" i="74" s="1"/>
  <c r="A99" i="74" s="1"/>
  <c r="G107" i="74"/>
  <c r="H23" i="15"/>
  <c r="D91" i="3" s="1"/>
  <c r="I24" i="28"/>
  <c r="F15" i="37"/>
  <c r="E29" i="23"/>
  <c r="C29" i="23"/>
  <c r="D18" i="23"/>
  <c r="E81" i="28"/>
  <c r="J54" i="29"/>
  <c r="I54" i="29"/>
  <c r="H54" i="29"/>
  <c r="D18" i="7" s="1"/>
  <c r="G54" i="29"/>
  <c r="D140" i="3" s="1"/>
  <c r="G140" i="3" s="1"/>
  <c r="J140" i="3" s="1"/>
  <c r="F54" i="29"/>
  <c r="D139" i="3" s="1"/>
  <c r="G139" i="3" s="1"/>
  <c r="J139" i="3" s="1"/>
  <c r="F55" i="29"/>
  <c r="G55" i="29"/>
  <c r="H55" i="29"/>
  <c r="I55" i="29"/>
  <c r="J55" i="29"/>
  <c r="H56" i="29"/>
  <c r="F56" i="29"/>
  <c r="G56" i="29"/>
  <c r="I56" i="29"/>
  <c r="J56" i="29"/>
  <c r="F57" i="29"/>
  <c r="G57" i="29"/>
  <c r="H57" i="29"/>
  <c r="I57" i="29"/>
  <c r="J57" i="29"/>
  <c r="Q57" i="29"/>
  <c r="Q56" i="29"/>
  <c r="Q55" i="29"/>
  <c r="Q54" i="29"/>
  <c r="S27" i="27"/>
  <c r="S26" i="27"/>
  <c r="S25" i="27"/>
  <c r="S23" i="27"/>
  <c r="S21" i="27"/>
  <c r="S20" i="27"/>
  <c r="S19" i="27"/>
  <c r="U22" i="13"/>
  <c r="U19" i="13"/>
  <c r="U18" i="13"/>
  <c r="U17" i="13"/>
  <c r="U16" i="13"/>
  <c r="R25" i="13"/>
  <c r="K23" i="13"/>
  <c r="M22" i="13"/>
  <c r="K21" i="13"/>
  <c r="H25" i="13"/>
  <c r="K18" i="13"/>
  <c r="K16" i="13"/>
  <c r="O14" i="13"/>
  <c r="O21" i="13"/>
  <c r="O20" i="13"/>
  <c r="F20" i="13"/>
  <c r="O19" i="13"/>
  <c r="N19" i="13"/>
  <c r="O18" i="13"/>
  <c r="N18" i="13"/>
  <c r="M17" i="13"/>
  <c r="O15" i="13"/>
  <c r="N12" i="13"/>
  <c r="F12" i="13"/>
  <c r="D118" i="3"/>
  <c r="N24" i="20"/>
  <c r="J24" i="20"/>
  <c r="Q23" i="20"/>
  <c r="O24" i="20"/>
  <c r="M24" i="20"/>
  <c r="L24" i="20"/>
  <c r="K24" i="20"/>
  <c r="I24" i="20"/>
  <c r="H24" i="20"/>
  <c r="G24" i="20"/>
  <c r="D24" i="20"/>
  <c r="P16" i="20"/>
  <c r="O16" i="20"/>
  <c r="N16" i="20"/>
  <c r="M16" i="20"/>
  <c r="L16" i="20"/>
  <c r="K16" i="20"/>
  <c r="J16" i="20"/>
  <c r="J26" i="20" s="1"/>
  <c r="G16" i="20"/>
  <c r="F16" i="20"/>
  <c r="E16" i="20"/>
  <c r="D16" i="20"/>
  <c r="Q18" i="20"/>
  <c r="D177" i="3" s="1"/>
  <c r="Q13" i="20"/>
  <c r="F11" i="21"/>
  <c r="F12" i="48"/>
  <c r="D13" i="48" s="1"/>
  <c r="F22" i="16"/>
  <c r="G22" i="16" s="1"/>
  <c r="G52" i="5"/>
  <c r="E52" i="5"/>
  <c r="E85" i="5"/>
  <c r="F52" i="5"/>
  <c r="A54" i="5"/>
  <c r="A55" i="5"/>
  <c r="A56" i="5" s="1"/>
  <c r="A57" i="5" s="1"/>
  <c r="A58" i="5" s="1"/>
  <c r="A59" i="5" s="1"/>
  <c r="A60" i="5" s="1"/>
  <c r="A61" i="5" s="1"/>
  <c r="A62" i="5" s="1"/>
  <c r="I1" i="5"/>
  <c r="I2" i="5"/>
  <c r="I2" i="28"/>
  <c r="G101" i="28"/>
  <c r="G100" i="28"/>
  <c r="E89" i="28"/>
  <c r="E88" i="28"/>
  <c r="E87" i="28"/>
  <c r="E85" i="28"/>
  <c r="E83" i="28"/>
  <c r="E84" i="28"/>
  <c r="E82" i="28"/>
  <c r="E80" i="28"/>
  <c r="E79" i="28"/>
  <c r="E78" i="28"/>
  <c r="E77" i="28"/>
  <c r="E76" i="28"/>
  <c r="E75" i="28"/>
  <c r="E73" i="28"/>
  <c r="E71" i="28"/>
  <c r="E72" i="28"/>
  <c r="E70" i="28"/>
  <c r="E68" i="28"/>
  <c r="E67" i="28"/>
  <c r="E66" i="28"/>
  <c r="E65" i="28"/>
  <c r="E64" i="28"/>
  <c r="E63" i="28"/>
  <c r="E62" i="28"/>
  <c r="E61" i="28"/>
  <c r="E60" i="28"/>
  <c r="E59" i="28"/>
  <c r="E58" i="28"/>
  <c r="E56" i="28"/>
  <c r="E55" i="28"/>
  <c r="E54" i="28"/>
  <c r="E53" i="28"/>
  <c r="E52" i="28"/>
  <c r="E50" i="28"/>
  <c r="E49" i="28"/>
  <c r="E47" i="28"/>
  <c r="E48" i="28"/>
  <c r="E46" i="28"/>
  <c r="E45" i="28"/>
  <c r="I35" i="28"/>
  <c r="I33" i="28"/>
  <c r="I31" i="28"/>
  <c r="I37" i="28" s="1"/>
  <c r="I16" i="28"/>
  <c r="I17" i="28"/>
  <c r="I96" i="28" s="1"/>
  <c r="I14" i="28"/>
  <c r="E34" i="58"/>
  <c r="E36" i="58" s="1"/>
  <c r="G161" i="3"/>
  <c r="G163" i="3"/>
  <c r="G164" i="3"/>
  <c r="G165" i="3"/>
  <c r="D49" i="48"/>
  <c r="D189" i="3"/>
  <c r="D192" i="3" s="1"/>
  <c r="R18" i="14" s="1"/>
  <c r="R26" i="14" s="1"/>
  <c r="R54" i="14" s="1"/>
  <c r="D120" i="3"/>
  <c r="G120" i="3" s="1"/>
  <c r="J120" i="3" s="1"/>
  <c r="J18" i="3"/>
  <c r="J19" i="3"/>
  <c r="J20" i="3"/>
  <c r="J29" i="3"/>
  <c r="J30" i="3"/>
  <c r="J35" i="3"/>
  <c r="J36" i="3"/>
  <c r="J45" i="3"/>
  <c r="J46" i="3"/>
  <c r="J47" i="3"/>
  <c r="J53" i="3"/>
  <c r="J59" i="3"/>
  <c r="J61" i="3"/>
  <c r="J62" i="3"/>
  <c r="J63" i="3"/>
  <c r="J71" i="3"/>
  <c r="J73" i="3"/>
  <c r="J75" i="3"/>
  <c r="J77" i="3"/>
  <c r="J78" i="3"/>
  <c r="J79" i="3"/>
  <c r="J80" i="3"/>
  <c r="J81" i="3"/>
  <c r="J82" i="3"/>
  <c r="J83" i="3"/>
  <c r="J84" i="3"/>
  <c r="J85" i="3"/>
  <c r="J86" i="3"/>
  <c r="J87" i="3"/>
  <c r="J88" i="3"/>
  <c r="J89" i="3"/>
  <c r="J90" i="3"/>
  <c r="J91" i="3"/>
  <c r="J92" i="3"/>
  <c r="J94" i="3"/>
  <c r="J95" i="3"/>
  <c r="J96" i="3"/>
  <c r="J101" i="3"/>
  <c r="J103" i="3"/>
  <c r="J104" i="3"/>
  <c r="J105" i="3"/>
  <c r="J116" i="3"/>
  <c r="J117" i="3"/>
  <c r="J122" i="3"/>
  <c r="J123" i="3"/>
  <c r="J124" i="3"/>
  <c r="J125" i="3"/>
  <c r="J126" i="3"/>
  <c r="J127" i="3"/>
  <c r="J128" i="3"/>
  <c r="J129" i="3"/>
  <c r="J130" i="3"/>
  <c r="J134" i="3"/>
  <c r="J135" i="3"/>
  <c r="J136" i="3"/>
  <c r="J143" i="3"/>
  <c r="M2" i="15"/>
  <c r="A14" i="29"/>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43" i="29" s="1"/>
  <c r="A44" i="29" s="1"/>
  <c r="A45" i="29" s="1"/>
  <c r="A46" i="29" s="1"/>
  <c r="A47" i="29" s="1"/>
  <c r="A48" i="29" s="1"/>
  <c r="A49" i="29" s="1"/>
  <c r="A50" i="29" s="1"/>
  <c r="A51" i="29" s="1"/>
  <c r="A52" i="29" s="1"/>
  <c r="A53" i="29" s="1"/>
  <c r="A54" i="29" s="1"/>
  <c r="A55" i="29" s="1"/>
  <c r="A56" i="29" s="1"/>
  <c r="A57" i="29" s="1"/>
  <c r="A58" i="29" s="1"/>
  <c r="A59" i="29" s="1"/>
  <c r="A60" i="29" s="1"/>
  <c r="A61" i="29" s="1"/>
  <c r="A62" i="29" s="1"/>
  <c r="A63" i="29" s="1"/>
  <c r="Q51" i="29"/>
  <c r="Q15" i="20"/>
  <c r="A13" i="14"/>
  <c r="A14" i="14"/>
  <c r="A15" i="14" s="1"/>
  <c r="A16" i="14" s="1"/>
  <c r="A17" i="14" s="1"/>
  <c r="B24" i="20"/>
  <c r="E2" i="23"/>
  <c r="E1" i="23"/>
  <c r="E42" i="23"/>
  <c r="U2" i="13"/>
  <c r="G2" i="3"/>
  <c r="G2" i="25"/>
  <c r="G1" i="3"/>
  <c r="G1" i="25"/>
  <c r="G2" i="9"/>
  <c r="F2" i="37"/>
  <c r="C99" i="25" s="1"/>
  <c r="F1" i="37"/>
  <c r="G1" i="16"/>
  <c r="G2" i="16"/>
  <c r="F37" i="48"/>
  <c r="F38" i="48"/>
  <c r="F39" i="48"/>
  <c r="F40" i="48"/>
  <c r="F41" i="48"/>
  <c r="F42" i="48"/>
  <c r="F43" i="48"/>
  <c r="F44" i="48"/>
  <c r="F45" i="48"/>
  <c r="F46" i="48"/>
  <c r="F47" i="48"/>
  <c r="F48" i="48"/>
  <c r="F36" i="48"/>
  <c r="A75" i="14"/>
  <c r="A76" i="14"/>
  <c r="A77" i="14"/>
  <c r="A78" i="14" s="1"/>
  <c r="A79" i="14" s="1"/>
  <c r="Q93" i="14"/>
  <c r="E93" i="14"/>
  <c r="G166" i="25"/>
  <c r="M48" i="13"/>
  <c r="N45" i="13"/>
  <c r="N48" i="13"/>
  <c r="N53" i="13"/>
  <c r="O57" i="13"/>
  <c r="O46" i="13"/>
  <c r="O53" i="13"/>
  <c r="O54" i="13"/>
  <c r="Q59" i="20"/>
  <c r="G57" i="16"/>
  <c r="D46" i="37"/>
  <c r="F46" i="37"/>
  <c r="G14" i="18"/>
  <c r="D118" i="25" s="1"/>
  <c r="G18" i="18"/>
  <c r="D120" i="25"/>
  <c r="G120" i="25" s="1"/>
  <c r="E50" i="48"/>
  <c r="D39" i="21"/>
  <c r="D41" i="21" s="1"/>
  <c r="F40" i="21"/>
  <c r="Q2" i="20"/>
  <c r="R2" i="14"/>
  <c r="E2" i="58"/>
  <c r="I93" i="14"/>
  <c r="M93" i="14"/>
  <c r="A74" i="29"/>
  <c r="A75" i="29"/>
  <c r="A76" i="29"/>
  <c r="A77" i="29" s="1"/>
  <c r="A78" i="29" s="1"/>
  <c r="A79" i="29" s="1"/>
  <c r="A80" i="29" s="1"/>
  <c r="A81" i="29" s="1"/>
  <c r="A82" i="29" s="1"/>
  <c r="A83" i="29" s="1"/>
  <c r="A84" i="29" s="1"/>
  <c r="A85" i="29" s="1"/>
  <c r="A86" i="29" s="1"/>
  <c r="A87" i="29" s="1"/>
  <c r="A88" i="29" s="1"/>
  <c r="A89" i="29" s="1"/>
  <c r="A90" i="29" s="1"/>
  <c r="A91" i="29" s="1"/>
  <c r="A92" i="29" s="1"/>
  <c r="A93" i="29" s="1"/>
  <c r="A94" i="29" s="1"/>
  <c r="A95" i="29" s="1"/>
  <c r="A96" i="29" s="1"/>
  <c r="A97" i="29" s="1"/>
  <c r="A98" i="29" s="1"/>
  <c r="A99" i="29" s="1"/>
  <c r="A100" i="29" s="1"/>
  <c r="A101" i="29" s="1"/>
  <c r="A102" i="29" s="1"/>
  <c r="A57" i="20"/>
  <c r="A58" i="20"/>
  <c r="A59" i="20"/>
  <c r="A60" i="20" s="1"/>
  <c r="A12" i="20"/>
  <c r="A13" i="20" s="1"/>
  <c r="A14" i="20" s="1"/>
  <c r="A15" i="20"/>
  <c r="J2" i="24"/>
  <c r="J1" i="24"/>
  <c r="D2" i="7"/>
  <c r="Q14" i="20"/>
  <c r="E1" i="58"/>
  <c r="A54" i="58"/>
  <c r="A55" i="58" s="1"/>
  <c r="A56" i="58" s="1"/>
  <c r="A57" i="58" s="1"/>
  <c r="A58" i="58" s="1"/>
  <c r="A59" i="58" s="1"/>
  <c r="A60" i="58" s="1"/>
  <c r="A61" i="58" s="1"/>
  <c r="A62" i="58" s="1"/>
  <c r="A63" i="58" s="1"/>
  <c r="A64" i="58" s="1"/>
  <c r="A65" i="58" s="1"/>
  <c r="C55" i="58"/>
  <c r="C56" i="58" s="1"/>
  <c r="C57" i="58" s="1"/>
  <c r="C58" i="58" s="1"/>
  <c r="C59" i="58" s="1"/>
  <c r="C60" i="58" s="1"/>
  <c r="C61" i="58" s="1"/>
  <c r="C62" i="58" s="1"/>
  <c r="C63" i="58" s="1"/>
  <c r="C64" i="58" s="1"/>
  <c r="C65" i="58" s="1"/>
  <c r="A12" i="58"/>
  <c r="A13" i="58"/>
  <c r="A14" i="58"/>
  <c r="A15" i="58" s="1"/>
  <c r="A16" i="58" s="1"/>
  <c r="A17" i="58" s="1"/>
  <c r="A18" i="58" s="1"/>
  <c r="A19" i="58" s="1"/>
  <c r="A20" i="58" s="1"/>
  <c r="A21" i="58" s="1"/>
  <c r="A22" i="58" s="1"/>
  <c r="A23" i="58" s="1"/>
  <c r="C13" i="58"/>
  <c r="C14" i="58" s="1"/>
  <c r="C15" i="58" s="1"/>
  <c r="C16" i="58" s="1"/>
  <c r="C17" i="58" s="1"/>
  <c r="C18" i="58" s="1"/>
  <c r="C19" i="58" s="1"/>
  <c r="C20" i="58" s="1"/>
  <c r="C21" i="58" s="1"/>
  <c r="C22" i="58" s="1"/>
  <c r="C23" i="58" s="1"/>
  <c r="A2" i="58"/>
  <c r="A3" i="58"/>
  <c r="S2" i="27"/>
  <c r="C16" i="5" s="1"/>
  <c r="L2" i="47"/>
  <c r="C107" i="3" s="1"/>
  <c r="G54" i="27"/>
  <c r="G56" i="27" s="1"/>
  <c r="I54" i="27"/>
  <c r="I56" i="27" s="1"/>
  <c r="K54" i="27"/>
  <c r="K56" i="27" s="1"/>
  <c r="A10" i="7"/>
  <c r="A11" i="7" s="1"/>
  <c r="A12" i="7" s="1"/>
  <c r="A13" i="7" s="1"/>
  <c r="A14" i="7" s="1"/>
  <c r="A15" i="7" s="1"/>
  <c r="A16" i="7" s="1"/>
  <c r="A17" i="7" s="1"/>
  <c r="A18" i="7" s="1"/>
  <c r="A19" i="7" s="1"/>
  <c r="A20" i="7" s="1"/>
  <c r="Q63" i="20"/>
  <c r="D178" i="25" s="1"/>
  <c r="E178" i="25" s="1"/>
  <c r="G178" i="25" s="1"/>
  <c r="A13" i="24"/>
  <c r="A14" i="24"/>
  <c r="A12" i="24"/>
  <c r="G2" i="18"/>
  <c r="G1" i="18"/>
  <c r="A12" i="13"/>
  <c r="A13" i="13" s="1"/>
  <c r="A14" i="13"/>
  <c r="A15" i="13" s="1"/>
  <c r="A16" i="13" s="1"/>
  <c r="A17" i="13" s="1"/>
  <c r="A18" i="13" s="1"/>
  <c r="A19" i="13" s="1"/>
  <c r="A20" i="13" s="1"/>
  <c r="A21" i="13" s="1"/>
  <c r="A22" i="13" s="1"/>
  <c r="A23" i="13" s="1"/>
  <c r="A24" i="13" s="1"/>
  <c r="A25" i="13" s="1"/>
  <c r="G141" i="3"/>
  <c r="A9" i="5"/>
  <c r="A10" i="5"/>
  <c r="A11" i="5" s="1"/>
  <c r="F2" i="21"/>
  <c r="F1" i="21"/>
  <c r="A10" i="9"/>
  <c r="A11" i="9" s="1"/>
  <c r="A12" i="9"/>
  <c r="A53" i="9"/>
  <c r="A54" i="9" s="1"/>
  <c r="A55" i="9" s="1"/>
  <c r="D1" i="7"/>
  <c r="R1" i="14"/>
  <c r="R2" i="29"/>
  <c r="C140" i="3" s="1"/>
  <c r="A10" i="3"/>
  <c r="D124" i="3"/>
  <c r="D128" i="3"/>
  <c r="D132" i="3" s="1"/>
  <c r="A12" i="15"/>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10" i="25"/>
  <c r="A11" i="25"/>
  <c r="A12" i="25" s="1"/>
  <c r="A13" i="25" s="1"/>
  <c r="A14" i="25" s="1"/>
  <c r="A45" i="13"/>
  <c r="A46" i="13"/>
  <c r="A47" i="13"/>
  <c r="A48" i="13" s="1"/>
  <c r="A49" i="13" s="1"/>
  <c r="A50" i="13"/>
  <c r="A51" i="13" s="1"/>
  <c r="A52" i="13" s="1"/>
  <c r="A53" i="13" s="1"/>
  <c r="A54" i="13" s="1"/>
  <c r="A55" i="13" s="1"/>
  <c r="A56" i="13" s="1"/>
  <c r="A57" i="13" s="1"/>
  <c r="I55" i="47"/>
  <c r="H55" i="47"/>
  <c r="F55" i="47"/>
  <c r="D54" i="25" s="1"/>
  <c r="G54" i="25"/>
  <c r="I25" i="47"/>
  <c r="H25" i="47"/>
  <c r="F25" i="47"/>
  <c r="D54" i="3" s="1"/>
  <c r="G54" i="3"/>
  <c r="J54" i="3" s="1"/>
  <c r="L57" i="47"/>
  <c r="D107" i="25" s="1"/>
  <c r="G107" i="25" s="1"/>
  <c r="E57" i="47"/>
  <c r="K56" i="47"/>
  <c r="E56" i="47"/>
  <c r="J41" i="47"/>
  <c r="J42" i="47"/>
  <c r="J43" i="47"/>
  <c r="J44" i="47"/>
  <c r="J45" i="47"/>
  <c r="J46" i="47"/>
  <c r="J47" i="47"/>
  <c r="J48" i="47"/>
  <c r="J49" i="47"/>
  <c r="J50" i="47"/>
  <c r="J51" i="47"/>
  <c r="J52" i="47"/>
  <c r="J53" i="47"/>
  <c r="J55" i="47"/>
  <c r="D55" i="25" s="1"/>
  <c r="G55" i="25"/>
  <c r="E55" i="47"/>
  <c r="E27" i="47"/>
  <c r="E26" i="47"/>
  <c r="E25" i="47"/>
  <c r="L27" i="47"/>
  <c r="D107" i="3" s="1"/>
  <c r="G107" i="3"/>
  <c r="J107" i="3" s="1"/>
  <c r="K26" i="47"/>
  <c r="J12" i="47"/>
  <c r="J13" i="47"/>
  <c r="J14" i="47"/>
  <c r="J15" i="47"/>
  <c r="J16" i="47"/>
  <c r="J17" i="47"/>
  <c r="J18" i="47"/>
  <c r="J19" i="47"/>
  <c r="J20" i="47"/>
  <c r="J21" i="47"/>
  <c r="J22" i="47"/>
  <c r="J23" i="47"/>
  <c r="J25" i="47" s="1"/>
  <c r="D55" i="3"/>
  <c r="G55" i="3" s="1"/>
  <c r="J55" i="3" s="1"/>
  <c r="J11" i="47"/>
  <c r="F2" i="48"/>
  <c r="A13" i="48"/>
  <c r="A14" i="48"/>
  <c r="A15" i="48" s="1"/>
  <c r="A16" i="48"/>
  <c r="A17" i="48" s="1"/>
  <c r="A18" i="48" s="1"/>
  <c r="A19" i="48" s="1"/>
  <c r="A20" i="48" s="1"/>
  <c r="A21" i="48" s="1"/>
  <c r="A22" i="48" s="1"/>
  <c r="A23" i="48" s="1"/>
  <c r="A24" i="48" s="1"/>
  <c r="L1" i="47"/>
  <c r="F1" i="48"/>
  <c r="A29" i="21"/>
  <c r="A30" i="21"/>
  <c r="A31" i="21" s="1"/>
  <c r="A32" i="21" s="1"/>
  <c r="A33" i="21" s="1"/>
  <c r="A34" i="21" s="1"/>
  <c r="A35" i="21" s="1"/>
  <c r="A36" i="21" s="1"/>
  <c r="A37" i="21" s="1"/>
  <c r="A38" i="21" s="1"/>
  <c r="A39" i="21" s="1"/>
  <c r="A40" i="21" s="1"/>
  <c r="A41" i="21" s="1"/>
  <c r="E17" i="21"/>
  <c r="E18" i="21"/>
  <c r="A11" i="21"/>
  <c r="A12" i="21"/>
  <c r="A13" i="21" s="1"/>
  <c r="A14" i="21"/>
  <c r="A15" i="21" s="1"/>
  <c r="A16" i="21" s="1"/>
  <c r="A17" i="21" s="1"/>
  <c r="A18" i="21" s="1"/>
  <c r="A2" i="48"/>
  <c r="A3" i="48"/>
  <c r="A37" i="48"/>
  <c r="A38" i="48"/>
  <c r="A39" i="48" s="1"/>
  <c r="A40" i="48" s="1"/>
  <c r="A41" i="48" s="1"/>
  <c r="A42" i="48" s="1"/>
  <c r="A43" i="48" s="1"/>
  <c r="A44" i="48" s="1"/>
  <c r="A45" i="48" s="1"/>
  <c r="A46" i="48" s="1"/>
  <c r="A47" i="48" s="1"/>
  <c r="A48" i="48" s="1"/>
  <c r="F17" i="21"/>
  <c r="A2" i="47"/>
  <c r="A3" i="47"/>
  <c r="M42" i="27"/>
  <c r="M43" i="27"/>
  <c r="M44" i="27"/>
  <c r="M45" i="27"/>
  <c r="M46" i="27"/>
  <c r="M47" i="27"/>
  <c r="M48" i="27"/>
  <c r="M49" i="27"/>
  <c r="M50" i="27"/>
  <c r="M51" i="27"/>
  <c r="M52" i="27"/>
  <c r="M53" i="27"/>
  <c r="A11" i="23"/>
  <c r="A12" i="23" s="1"/>
  <c r="A13" i="23" s="1"/>
  <c r="A14" i="23" s="1"/>
  <c r="A15" i="23" s="1"/>
  <c r="A16" i="23" s="1"/>
  <c r="A17" i="23" s="1"/>
  <c r="A18" i="23" s="1"/>
  <c r="A19" i="23" s="1"/>
  <c r="A20" i="23" s="1"/>
  <c r="A21" i="23" s="1"/>
  <c r="A22" i="23" s="1"/>
  <c r="A23" i="23" s="1"/>
  <c r="A9" i="28"/>
  <c r="A10" i="28"/>
  <c r="A11" i="28" s="1"/>
  <c r="A13" i="28"/>
  <c r="A12" i="37"/>
  <c r="A13" i="37"/>
  <c r="A14" i="37" s="1"/>
  <c r="A15" i="37" s="1"/>
  <c r="A16" i="37" s="1"/>
  <c r="A17" i="37" s="1"/>
  <c r="F45" i="37"/>
  <c r="F44" i="37"/>
  <c r="F26" i="37"/>
  <c r="A2" i="37"/>
  <c r="A3" i="37"/>
  <c r="A2" i="2"/>
  <c r="A2" i="27"/>
  <c r="A3" i="27"/>
  <c r="R1" i="29"/>
  <c r="F115" i="29"/>
  <c r="G115" i="29"/>
  <c r="I115" i="29"/>
  <c r="R115" i="29" s="1"/>
  <c r="J115" i="29"/>
  <c r="Q115" i="29"/>
  <c r="A2" i="29"/>
  <c r="S1" i="27"/>
  <c r="Q1" i="20"/>
  <c r="M1" i="15"/>
  <c r="U1" i="13"/>
  <c r="G1" i="9"/>
  <c r="A2" i="28"/>
  <c r="A3" i="28"/>
  <c r="A3" i="2"/>
  <c r="A2" i="24"/>
  <c r="A3" i="24"/>
  <c r="A2" i="25"/>
  <c r="A3" i="25"/>
  <c r="A12" i="16"/>
  <c r="A13" i="16" s="1"/>
  <c r="A14" i="16" s="1"/>
  <c r="A15" i="16" s="1"/>
  <c r="A16" i="16" s="1"/>
  <c r="A17" i="16" s="1"/>
  <c r="A18" i="16" s="1"/>
  <c r="A19" i="16" s="1"/>
  <c r="A20" i="16" s="1"/>
  <c r="A21" i="16" s="1"/>
  <c r="A22" i="16" s="1"/>
  <c r="A23" i="16" s="1"/>
  <c r="A24" i="16" s="1"/>
  <c r="A25" i="16" s="1"/>
  <c r="A11" i="18"/>
  <c r="A12" i="18" s="1"/>
  <c r="A13" i="18" s="1"/>
  <c r="A14" i="18" s="1"/>
  <c r="A2" i="15"/>
  <c r="A3" i="15"/>
  <c r="A2" i="23"/>
  <c r="A3" i="23"/>
  <c r="A2" i="9"/>
  <c r="A3" i="9"/>
  <c r="A3" i="14"/>
  <c r="A2" i="21"/>
  <c r="A3" i="21"/>
  <c r="A2" i="20"/>
  <c r="A3" i="20"/>
  <c r="P42" i="20"/>
  <c r="E61" i="20"/>
  <c r="I61" i="20"/>
  <c r="J61" i="20"/>
  <c r="K61" i="20"/>
  <c r="M61" i="20"/>
  <c r="N61" i="20"/>
  <c r="O61" i="20"/>
  <c r="P87" i="20"/>
  <c r="A2" i="18"/>
  <c r="A3" i="18"/>
  <c r="A2" i="16"/>
  <c r="A3" i="16"/>
  <c r="A45" i="16"/>
  <c r="A46" i="16" s="1"/>
  <c r="A47" i="16" s="1"/>
  <c r="A48" i="16" s="1"/>
  <c r="A49" i="16" s="1"/>
  <c r="A50" i="16" s="1"/>
  <c r="A51" i="16" s="1"/>
  <c r="A52" i="16" s="1"/>
  <c r="A53" i="16" s="1"/>
  <c r="A54" i="16" s="1"/>
  <c r="A55" i="16" s="1"/>
  <c r="A56" i="16" s="1"/>
  <c r="A57" i="16" s="1"/>
  <c r="A58" i="16" s="1"/>
  <c r="A2" i="14"/>
  <c r="A2" i="13"/>
  <c r="A3" i="13"/>
  <c r="A2" i="7"/>
  <c r="A2" i="5"/>
  <c r="A3" i="5"/>
  <c r="A2" i="3"/>
  <c r="A3" i="3"/>
  <c r="A21" i="7"/>
  <c r="A22" i="7"/>
  <c r="A23" i="7" s="1"/>
  <c r="A24" i="7"/>
  <c r="C29" i="7"/>
  <c r="A13" i="9"/>
  <c r="C20" i="7"/>
  <c r="B25" i="13"/>
  <c r="B24" i="58"/>
  <c r="A24" i="58"/>
  <c r="A25" i="58"/>
  <c r="A26" i="58" s="1"/>
  <c r="A27" i="58" s="1"/>
  <c r="A28" i="58" s="1"/>
  <c r="A29" i="58" s="1"/>
  <c r="A30" i="58" s="1"/>
  <c r="A31" i="58" s="1"/>
  <c r="A32" i="58" s="1"/>
  <c r="A33" i="58" s="1"/>
  <c r="A34" i="58" s="1"/>
  <c r="A35" i="58" s="1"/>
  <c r="A36" i="58" s="1"/>
  <c r="A37" i="58" s="1"/>
  <c r="A38" i="58" s="1"/>
  <c r="A39" i="58" s="1"/>
  <c r="A40" i="58" s="1"/>
  <c r="A41" i="58" s="1"/>
  <c r="A66" i="58"/>
  <c r="A67" i="58"/>
  <c r="A68" i="58" s="1"/>
  <c r="A69" i="58" s="1"/>
  <c r="A70" i="58" s="1"/>
  <c r="A71" i="58" s="1"/>
  <c r="A72" i="58" s="1"/>
  <c r="A73" i="58" s="1"/>
  <c r="A74" i="58" s="1"/>
  <c r="A75" i="58" s="1"/>
  <c r="A76" i="58" s="1"/>
  <c r="A77" i="58" s="1"/>
  <c r="A78" i="58" s="1"/>
  <c r="A79" i="58" s="1"/>
  <c r="A80" i="58" s="1"/>
  <c r="A81" i="58" s="1"/>
  <c r="A82" i="58" s="1"/>
  <c r="A83" i="58" s="1"/>
  <c r="B66" i="58"/>
  <c r="A15" i="24"/>
  <c r="A16" i="24" s="1"/>
  <c r="A17" i="24"/>
  <c r="C17" i="24"/>
  <c r="A56" i="9"/>
  <c r="A57" i="9" s="1"/>
  <c r="A58" i="9" s="1"/>
  <c r="A59" i="9" s="1"/>
  <c r="A60" i="9" s="1"/>
  <c r="A16" i="20"/>
  <c r="C16" i="20"/>
  <c r="C61" i="20"/>
  <c r="A61" i="20"/>
  <c r="C21" i="24"/>
  <c r="A17" i="20"/>
  <c r="A18" i="20"/>
  <c r="B26" i="20" s="1"/>
  <c r="A14" i="9"/>
  <c r="C28" i="7"/>
  <c r="C26" i="7"/>
  <c r="A15" i="9"/>
  <c r="A16" i="9" s="1"/>
  <c r="A19" i="20"/>
  <c r="A20" i="20" s="1"/>
  <c r="A21" i="20"/>
  <c r="A22" i="20" s="1"/>
  <c r="A23" i="20" s="1"/>
  <c r="A24" i="20" s="1"/>
  <c r="A25" i="20" s="1"/>
  <c r="A26" i="20" s="1"/>
  <c r="A27" i="20" s="1"/>
  <c r="A28" i="20" s="1"/>
  <c r="A29" i="20" s="1"/>
  <c r="A17" i="9"/>
  <c r="H44" i="15"/>
  <c r="D92" i="3" s="1"/>
  <c r="A11" i="3"/>
  <c r="E51" i="28"/>
  <c r="E57" i="28"/>
  <c r="E69" i="28"/>
  <c r="E74" i="28"/>
  <c r="E86" i="28"/>
  <c r="A12" i="3"/>
  <c r="A13" i="3"/>
  <c r="A14" i="3"/>
  <c r="A15" i="3"/>
  <c r="A16" i="3" s="1"/>
  <c r="A63" i="5"/>
  <c r="A64" i="5"/>
  <c r="A65" i="5" s="1"/>
  <c r="A66" i="5" s="1"/>
  <c r="A67" i="5" s="1"/>
  <c r="A68" i="5" s="1"/>
  <c r="A69" i="5" s="1"/>
  <c r="A70" i="5"/>
  <c r="A71" i="5" s="1"/>
  <c r="A72" i="5" s="1"/>
  <c r="A73" i="5" s="1"/>
  <c r="A74" i="5" s="1"/>
  <c r="A75" i="5" s="1"/>
  <c r="A76" i="5" s="1"/>
  <c r="A77" i="5" s="1"/>
  <c r="A78" i="5" s="1"/>
  <c r="A79" i="5" s="1"/>
  <c r="A80" i="5" s="1"/>
  <c r="A81" i="5" s="1"/>
  <c r="A82" i="5" s="1"/>
  <c r="A83" i="5" s="1"/>
  <c r="A84" i="5" s="1"/>
  <c r="A85" i="5" s="1"/>
  <c r="A87" i="5"/>
  <c r="A88" i="5" s="1"/>
  <c r="A89" i="5" s="1"/>
  <c r="A90" i="5" s="1"/>
  <c r="A91" i="5" s="1"/>
  <c r="A92" i="5" s="1"/>
  <c r="A93" i="5" s="1"/>
  <c r="A94" i="5" s="1"/>
  <c r="C13" i="5"/>
  <c r="A12" i="5"/>
  <c r="A13" i="5"/>
  <c r="B14" i="28"/>
  <c r="A14" i="28"/>
  <c r="A15" i="28"/>
  <c r="B16" i="28" s="1"/>
  <c r="G24" i="16"/>
  <c r="G23" i="16"/>
  <c r="G20" i="16"/>
  <c r="G18" i="16"/>
  <c r="G16" i="16"/>
  <c r="G14" i="16"/>
  <c r="G13" i="16"/>
  <c r="G12" i="16"/>
  <c r="H38" i="15"/>
  <c r="H37" i="15"/>
  <c r="H35" i="15"/>
  <c r="H32" i="15"/>
  <c r="H30" i="15"/>
  <c r="H25" i="15"/>
  <c r="H24" i="15"/>
  <c r="H22" i="15"/>
  <c r="H21" i="15"/>
  <c r="H20" i="15"/>
  <c r="H16" i="15"/>
  <c r="D87" i="3" s="1"/>
  <c r="H15" i="15"/>
  <c r="D86" i="3" s="1"/>
  <c r="H13" i="15"/>
  <c r="A16" i="28"/>
  <c r="H14" i="15"/>
  <c r="H17" i="15"/>
  <c r="D13" i="7" s="1"/>
  <c r="M12" i="13"/>
  <c r="N24" i="13"/>
  <c r="U13" i="13"/>
  <c r="F19" i="16"/>
  <c r="G19" i="16" s="1"/>
  <c r="O24" i="13"/>
  <c r="U20" i="13"/>
  <c r="F15" i="13"/>
  <c r="M15" i="13"/>
  <c r="O16" i="13"/>
  <c r="O17" i="13"/>
  <c r="G11" i="16"/>
  <c r="E24" i="20"/>
  <c r="D29" i="23"/>
  <c r="F14" i="37"/>
  <c r="F24" i="13"/>
  <c r="O13" i="13"/>
  <c r="K19" i="13"/>
  <c r="N21" i="13"/>
  <c r="D119" i="3"/>
  <c r="E25" i="13"/>
  <c r="G154" i="3"/>
  <c r="M20" i="13"/>
  <c r="F21" i="13"/>
  <c r="N23" i="13"/>
  <c r="G15" i="16"/>
  <c r="D96" i="3"/>
  <c r="D98" i="3" s="1"/>
  <c r="G28" i="27"/>
  <c r="G30" i="27" s="1"/>
  <c r="F66" i="76"/>
  <c r="M77" i="76"/>
  <c r="F85" i="76"/>
  <c r="E12" i="21"/>
  <c r="E13" i="21" s="1"/>
  <c r="D13" i="21"/>
  <c r="K17" i="13"/>
  <c r="S22" i="27"/>
  <c r="E18" i="23"/>
  <c r="O12" i="13"/>
  <c r="N16" i="13"/>
  <c r="C13" i="74"/>
  <c r="J126" i="78" s="1"/>
  <c r="D129" i="76"/>
  <c r="E13" i="9" s="1"/>
  <c r="I23" i="76"/>
  <c r="I27" i="76" s="1"/>
  <c r="D14" i="9" s="1"/>
  <c r="F129" i="76"/>
  <c r="E22" i="9" s="1"/>
  <c r="C129" i="76"/>
  <c r="G129" i="76"/>
  <c r="K129" i="76"/>
  <c r="D14" i="48"/>
  <c r="F14" i="48" s="1"/>
  <c r="E13" i="48"/>
  <c r="F13" i="48" s="1"/>
  <c r="E25" i="16"/>
  <c r="F21" i="16"/>
  <c r="G21" i="16" s="1"/>
  <c r="H16" i="20"/>
  <c r="H29" i="15"/>
  <c r="H31" i="15"/>
  <c r="M24" i="13"/>
  <c r="M18" i="13"/>
  <c r="F18" i="13"/>
  <c r="O28" i="27"/>
  <c r="O30" i="27" s="1"/>
  <c r="M14" i="13"/>
  <c r="K14" i="13"/>
  <c r="S18" i="27"/>
  <c r="M16" i="13"/>
  <c r="F16" i="13"/>
  <c r="N17" i="13"/>
  <c r="D25" i="13"/>
  <c r="F17" i="13"/>
  <c r="N22" i="13"/>
  <c r="F22" i="13"/>
  <c r="M96" i="76"/>
  <c r="H18" i="15"/>
  <c r="D14" i="7" s="1"/>
  <c r="H34" i="15"/>
  <c r="F14" i="13"/>
  <c r="N14" i="13"/>
  <c r="U23" i="13"/>
  <c r="S24" i="27"/>
  <c r="F83" i="76"/>
  <c r="F76" i="76"/>
  <c r="N77" i="76"/>
  <c r="E32" i="9"/>
  <c r="E33" i="9"/>
  <c r="I28" i="27"/>
  <c r="I30" i="27" s="1"/>
  <c r="G77" i="76"/>
  <c r="H36" i="15"/>
  <c r="U24" i="13"/>
  <c r="U21" i="13"/>
  <c r="G96" i="76"/>
  <c r="A1" i="18"/>
  <c r="A1" i="25"/>
  <c r="A1" i="27"/>
  <c r="A1" i="5"/>
  <c r="A1" i="20"/>
  <c r="A1" i="9"/>
  <c r="A1" i="28"/>
  <c r="A1" i="48"/>
  <c r="A1" i="24"/>
  <c r="A1" i="21"/>
  <c r="A1" i="2"/>
  <c r="A1" i="23"/>
  <c r="A1" i="13"/>
  <c r="A1" i="16"/>
  <c r="A1" i="3"/>
  <c r="A1" i="15"/>
  <c r="A1" i="37"/>
  <c r="A1" i="29"/>
  <c r="A1" i="58"/>
  <c r="A1" i="47"/>
  <c r="A1" i="7"/>
  <c r="A1" i="14"/>
  <c r="E14" i="48"/>
  <c r="E15" i="48"/>
  <c r="E16" i="48"/>
  <c r="E17" i="48" s="1"/>
  <c r="E18" i="48" s="1"/>
  <c r="E19" i="48" s="1"/>
  <c r="E20" i="48" s="1"/>
  <c r="E21" i="48" s="1"/>
  <c r="E22" i="48" s="1"/>
  <c r="E23" i="48" s="1"/>
  <c r="N20" i="13"/>
  <c r="I25" i="13"/>
  <c r="O22" i="13"/>
  <c r="P22" i="13" s="1"/>
  <c r="K22" i="13"/>
  <c r="J25" i="13"/>
  <c r="F23" i="76"/>
  <c r="F27" i="76" s="1"/>
  <c r="K46" i="76"/>
  <c r="K50" i="76" s="1"/>
  <c r="D27" i="9" s="1"/>
  <c r="D77" i="76"/>
  <c r="H19" i="15"/>
  <c r="D90" i="3" s="1"/>
  <c r="F26" i="15"/>
  <c r="F46" i="15"/>
  <c r="F24" i="20"/>
  <c r="Q22" i="20"/>
  <c r="F13" i="13"/>
  <c r="M13" i="13"/>
  <c r="C25" i="13"/>
  <c r="E16" i="37"/>
  <c r="F12" i="37"/>
  <c r="H12" i="15"/>
  <c r="G26" i="15"/>
  <c r="D16" i="37"/>
  <c r="F16" i="37" s="1"/>
  <c r="F11" i="37"/>
  <c r="G46" i="15"/>
  <c r="S25" i="13"/>
  <c r="U14" i="13"/>
  <c r="S17" i="27"/>
  <c r="M28" i="27"/>
  <c r="M30" i="27" s="1"/>
  <c r="F87" i="76"/>
  <c r="D96" i="76"/>
  <c r="T25" i="13"/>
  <c r="D114" i="3" s="1"/>
  <c r="G114" i="3" s="1"/>
  <c r="J114" i="3" s="1"/>
  <c r="U15" i="13"/>
  <c r="K28" i="27"/>
  <c r="K30" i="27" s="1"/>
  <c r="S16" i="27"/>
  <c r="F39" i="15"/>
  <c r="I16" i="20"/>
  <c r="Q12" i="20"/>
  <c r="Q16" i="20" s="1"/>
  <c r="P24" i="20"/>
  <c r="Q20" i="20"/>
  <c r="C23" i="76"/>
  <c r="C27" i="76" s="1"/>
  <c r="D15" i="9" s="1"/>
  <c r="D23" i="76"/>
  <c r="D27" i="76" s="1"/>
  <c r="H23" i="76"/>
  <c r="H27" i="76" s="1"/>
  <c r="D13" i="9" s="1"/>
  <c r="J46" i="76"/>
  <c r="J50" i="76" s="1"/>
  <c r="D26" i="9" s="1"/>
  <c r="J96" i="76"/>
  <c r="G39" i="15"/>
  <c r="H33" i="15"/>
  <c r="N15" i="13"/>
  <c r="O23" i="13"/>
  <c r="K12" i="13"/>
  <c r="F19" i="13"/>
  <c r="M19" i="13"/>
  <c r="M21" i="13"/>
  <c r="F23" i="13"/>
  <c r="M23" i="13"/>
  <c r="J23" i="76"/>
  <c r="J27" i="76" s="1"/>
  <c r="D16" i="9" s="1"/>
  <c r="K13" i="13"/>
  <c r="K24" i="13"/>
  <c r="Q28" i="27"/>
  <c r="Q30" i="27" s="1"/>
  <c r="C18" i="23"/>
  <c r="D23" i="18"/>
  <c r="N13" i="13"/>
  <c r="K15" i="13"/>
  <c r="K20" i="13"/>
  <c r="K23" i="76"/>
  <c r="K27" i="76" s="1"/>
  <c r="D17" i="9" s="1"/>
  <c r="E129" i="76"/>
  <c r="E14" i="9" s="1"/>
  <c r="D15" i="48"/>
  <c r="F15" i="48" s="1"/>
  <c r="D16" i="48" s="1"/>
  <c r="F16" i="48" s="1"/>
  <c r="D17" i="48" s="1"/>
  <c r="F17" i="48" s="1"/>
  <c r="D18" i="48" s="1"/>
  <c r="F18" i="48" s="1"/>
  <c r="D19" i="48"/>
  <c r="F19" i="48" s="1"/>
  <c r="D20" i="48" s="1"/>
  <c r="F20" i="48" s="1"/>
  <c r="D21" i="48" s="1"/>
  <c r="F21" i="48" s="1"/>
  <c r="D22" i="48" s="1"/>
  <c r="F22" i="48" s="1"/>
  <c r="D23" i="48" s="1"/>
  <c r="F23" i="48" s="1"/>
  <c r="D24" i="48" s="1"/>
  <c r="F24" i="48" s="1"/>
  <c r="M56" i="13"/>
  <c r="G113" i="75"/>
  <c r="G114" i="75" s="1"/>
  <c r="E14" i="75"/>
  <c r="G76" i="74"/>
  <c r="A121" i="74"/>
  <c r="A122" i="74" s="1"/>
  <c r="A123" i="74" s="1"/>
  <c r="A124" i="74" s="1"/>
  <c r="A125" i="74" s="1"/>
  <c r="A126" i="74" s="1"/>
  <c r="A127" i="74" s="1"/>
  <c r="A128" i="74" s="1"/>
  <c r="A129" i="74" s="1"/>
  <c r="A130" i="74" s="1"/>
  <c r="A131" i="74" s="1"/>
  <c r="A132" i="74" s="1"/>
  <c r="A133" i="74" s="1"/>
  <c r="A134" i="74" s="1"/>
  <c r="A135" i="74" s="1"/>
  <c r="A136" i="74" s="1"/>
  <c r="A137" i="74" s="1"/>
  <c r="A138" i="74" s="1"/>
  <c r="A139" i="74" s="1"/>
  <c r="A140" i="74" s="1"/>
  <c r="A141" i="74" s="1"/>
  <c r="A142" i="74" s="1"/>
  <c r="A143" i="74" s="1"/>
  <c r="A144" i="74" s="1"/>
  <c r="A145" i="74" s="1"/>
  <c r="A146" i="74" s="1"/>
  <c r="A147" i="74" s="1"/>
  <c r="A148" i="74" s="1"/>
  <c r="C48" i="25"/>
  <c r="F37" i="74"/>
  <c r="F38" i="74" s="1"/>
  <c r="D266" i="78"/>
  <c r="D265" i="78" s="1"/>
  <c r="E582" i="78"/>
  <c r="E583" i="78" s="1"/>
  <c r="F583" i="78" s="1"/>
  <c r="D396" i="78"/>
  <c r="D550" i="78"/>
  <c r="D549" i="78" s="1"/>
  <c r="D146" i="78"/>
  <c r="D145" i="78" s="1"/>
  <c r="J141" i="3"/>
  <c r="D395" i="78"/>
  <c r="D394" i="78" s="1"/>
  <c r="D393" i="78" s="1"/>
  <c r="E584" i="78"/>
  <c r="E585" i="78" s="1"/>
  <c r="F582" i="78"/>
  <c r="D240" i="78"/>
  <c r="D239" i="78" s="1"/>
  <c r="D238" i="78" s="1"/>
  <c r="D118" i="78"/>
  <c r="E451" i="78"/>
  <c r="E452" i="78"/>
  <c r="E453" i="78" s="1"/>
  <c r="E454" i="78" s="1"/>
  <c r="E455" i="78" s="1"/>
  <c r="E456" i="78" s="1"/>
  <c r="F584" i="78"/>
  <c r="E268" i="78"/>
  <c r="E269" i="78" s="1"/>
  <c r="F146" i="78"/>
  <c r="D87" i="78"/>
  <c r="D86" i="78" s="1"/>
  <c r="D457" i="78"/>
  <c r="D331" i="78"/>
  <c r="D330" i="78" s="1"/>
  <c r="D329" i="78" s="1"/>
  <c r="D328" i="78" s="1"/>
  <c r="D327" i="78" s="1"/>
  <c r="D326" i="78" s="1"/>
  <c r="D47" i="78"/>
  <c r="F47" i="78" s="1"/>
  <c r="D515" i="78"/>
  <c r="F267" i="78"/>
  <c r="D580" i="78"/>
  <c r="D579" i="78" s="1"/>
  <c r="E173" i="78"/>
  <c r="E174" i="78" s="1"/>
  <c r="E175" i="78" s="1"/>
  <c r="E176" i="78" s="1"/>
  <c r="D117" i="78"/>
  <c r="D116" i="78" s="1"/>
  <c r="D115" i="78" s="1"/>
  <c r="D514" i="78"/>
  <c r="D456" i="78"/>
  <c r="D455" i="78" s="1"/>
  <c r="D548" i="78"/>
  <c r="D547" i="78" s="1"/>
  <c r="D513" i="78"/>
  <c r="E164" i="75"/>
  <c r="G164" i="75" s="1"/>
  <c r="E145" i="74"/>
  <c r="E146" i="74" s="1"/>
  <c r="D146" i="74"/>
  <c r="L140" i="78"/>
  <c r="D145" i="75"/>
  <c r="D190" i="25"/>
  <c r="D193" i="25" s="1"/>
  <c r="R80" i="14" s="1"/>
  <c r="A103" i="29"/>
  <c r="A104" i="29"/>
  <c r="A105" i="29" s="1"/>
  <c r="A106" i="29" s="1"/>
  <c r="A107" i="29" s="1"/>
  <c r="A108" i="29"/>
  <c r="A109" i="29" s="1"/>
  <c r="A110" i="29" s="1"/>
  <c r="A111" i="29" s="1"/>
  <c r="A112" i="29" s="1"/>
  <c r="A113" i="29" s="1"/>
  <c r="A114" i="29" s="1"/>
  <c r="A115" i="29" s="1"/>
  <c r="A116" i="29" s="1"/>
  <c r="A117" i="29" s="1"/>
  <c r="A118" i="29" s="1"/>
  <c r="A119" i="29" s="1"/>
  <c r="A120" i="29" s="1"/>
  <c r="A121" i="29" s="1"/>
  <c r="A122" i="29" s="1"/>
  <c r="A123" i="29" s="1"/>
  <c r="A124" i="29" s="1"/>
  <c r="A125" i="29" s="1"/>
  <c r="A126" i="29" s="1"/>
  <c r="A127" i="29" s="1"/>
  <c r="R118" i="29"/>
  <c r="H122" i="29"/>
  <c r="P122" i="29"/>
  <c r="D42" i="7"/>
  <c r="Q122" i="29"/>
  <c r="R119" i="29"/>
  <c r="D99" i="25"/>
  <c r="G99" i="25"/>
  <c r="F39" i="21"/>
  <c r="F41" i="21"/>
  <c r="D138" i="25" s="1"/>
  <c r="F49" i="48"/>
  <c r="D52" i="25"/>
  <c r="A80" i="14"/>
  <c r="A81" i="14"/>
  <c r="A82" i="14"/>
  <c r="A83" i="14" s="1"/>
  <c r="A84" i="14" s="1"/>
  <c r="A85" i="14" s="1"/>
  <c r="A86" i="14" s="1"/>
  <c r="A87" i="14" s="1"/>
  <c r="A18" i="14"/>
  <c r="A19" i="14"/>
  <c r="A20" i="14"/>
  <c r="A21" i="14" s="1"/>
  <c r="A22" i="14" s="1"/>
  <c r="A23" i="14" s="1"/>
  <c r="A24" i="14"/>
  <c r="A25" i="14" s="1"/>
  <c r="A26" i="14" s="1"/>
  <c r="A27" i="14" s="1"/>
  <c r="A28" i="14" s="1"/>
  <c r="A29" i="14" s="1"/>
  <c r="A30" i="14" s="1"/>
  <c r="A31" i="14" s="1"/>
  <c r="A155" i="75"/>
  <c r="A156" i="75"/>
  <c r="A157" i="75" s="1"/>
  <c r="A158" i="75" s="1"/>
  <c r="A159" i="75" s="1"/>
  <c r="A160" i="75" s="1"/>
  <c r="A161" i="75" s="1"/>
  <c r="A162" i="75" s="1"/>
  <c r="A163" i="75" s="1"/>
  <c r="A164" i="75" s="1"/>
  <c r="A165" i="75" s="1"/>
  <c r="A166" i="75" s="1"/>
  <c r="A167" i="75" s="1"/>
  <c r="A168" i="75" s="1"/>
  <c r="A169" i="75" s="1"/>
  <c r="A170" i="75" s="1"/>
  <c r="A171" i="75" s="1"/>
  <c r="A172" i="75" s="1"/>
  <c r="A173" i="75" s="1"/>
  <c r="A174" i="75" s="1"/>
  <c r="A175" i="75" s="1"/>
  <c r="A176" i="75" s="1"/>
  <c r="A177" i="75" s="1"/>
  <c r="A178" i="75" s="1"/>
  <c r="A179" i="75" s="1"/>
  <c r="A180" i="75" s="1"/>
  <c r="A181" i="75" s="1"/>
  <c r="A182" i="75" s="1"/>
  <c r="A183" i="75" s="1"/>
  <c r="A184" i="75" s="1"/>
  <c r="A185" i="75" s="1"/>
  <c r="A186" i="75" s="1"/>
  <c r="A187" i="75" s="1"/>
  <c r="A188" i="75" s="1"/>
  <c r="A189" i="75" s="1"/>
  <c r="A190" i="75" s="1"/>
  <c r="A191" i="75" s="1"/>
  <c r="A192" i="75" s="1"/>
  <c r="A193" i="75" s="1"/>
  <c r="A194" i="75" s="1"/>
  <c r="A195" i="75" s="1"/>
  <c r="A196" i="75" s="1"/>
  <c r="A197" i="75" s="1"/>
  <c r="A198" i="75" s="1"/>
  <c r="A199" i="75" s="1"/>
  <c r="A200" i="75" s="1"/>
  <c r="C51" i="25" s="1"/>
  <c r="E167" i="75"/>
  <c r="G167" i="75" s="1"/>
  <c r="E153" i="75"/>
  <c r="G153" i="75" s="1"/>
  <c r="E170" i="74"/>
  <c r="G170" i="74" s="1"/>
  <c r="E179" i="74"/>
  <c r="G179" i="74" s="1"/>
  <c r="E193" i="75"/>
  <c r="F193" i="75" s="1"/>
  <c r="R88" i="14"/>
  <c r="F182" i="74"/>
  <c r="F183" i="75"/>
  <c r="R113" i="14"/>
  <c r="I33" i="41" l="1"/>
  <c r="C40" i="41" s="1"/>
  <c r="I33" i="63"/>
  <c r="C40" i="63" s="1"/>
  <c r="D55" i="23"/>
  <c r="F26" i="20"/>
  <c r="I26" i="20"/>
  <c r="O26" i="20"/>
  <c r="F102" i="76"/>
  <c r="F36" i="9" s="1"/>
  <c r="D121" i="3"/>
  <c r="A23" i="77"/>
  <c r="A24" i="77" s="1"/>
  <c r="A26" i="77" s="1"/>
  <c r="A27" i="77" s="1"/>
  <c r="C57" i="9" s="1"/>
  <c r="G81" i="9"/>
  <c r="D113" i="25" s="1"/>
  <c r="H609" i="78"/>
  <c r="H647" i="78"/>
  <c r="H644" i="78"/>
  <c r="H643" i="78"/>
  <c r="H637" i="78"/>
  <c r="H645" i="78"/>
  <c r="H642" i="78"/>
  <c r="H640" i="78"/>
  <c r="H638" i="78"/>
  <c r="H646" i="78"/>
  <c r="H641" i="78"/>
  <c r="H639" i="78"/>
  <c r="H459" i="78"/>
  <c r="I489" i="78"/>
  <c r="I485" i="78"/>
  <c r="I490" i="78"/>
  <c r="I488" i="78"/>
  <c r="I484" i="78"/>
  <c r="I492" i="78"/>
  <c r="I491" i="78"/>
  <c r="I487" i="78"/>
  <c r="I483" i="78"/>
  <c r="I486" i="78"/>
  <c r="D144" i="78"/>
  <c r="F145" i="78"/>
  <c r="H399" i="78"/>
  <c r="I427" i="78"/>
  <c r="I423" i="78"/>
  <c r="I430" i="78"/>
  <c r="I429" i="78"/>
  <c r="I421" i="78"/>
  <c r="I426" i="78"/>
  <c r="I422" i="78"/>
  <c r="I428" i="78"/>
  <c r="I424" i="78"/>
  <c r="I425" i="78"/>
  <c r="F268" i="78"/>
  <c r="D264" i="78"/>
  <c r="F265" i="78"/>
  <c r="D237" i="78"/>
  <c r="D236" i="78" s="1"/>
  <c r="D235" i="78" s="1"/>
  <c r="D234" i="78" s="1"/>
  <c r="D233" i="78" s="1"/>
  <c r="F238" i="78"/>
  <c r="F299" i="78"/>
  <c r="D298" i="78"/>
  <c r="F33" i="78"/>
  <c r="F266" i="78"/>
  <c r="N33" i="78"/>
  <c r="F301" i="78"/>
  <c r="F329" i="78"/>
  <c r="A23" i="76"/>
  <c r="A24" i="76" s="1"/>
  <c r="A26" i="76" s="1"/>
  <c r="A27" i="76" s="1"/>
  <c r="B23" i="76"/>
  <c r="N26" i="20"/>
  <c r="H549" i="78"/>
  <c r="R55" i="29"/>
  <c r="Q58" i="29"/>
  <c r="J58" i="29"/>
  <c r="R57" i="29"/>
  <c r="H58" i="29"/>
  <c r="N58" i="29"/>
  <c r="K58" i="29"/>
  <c r="I58" i="29"/>
  <c r="F58" i="29"/>
  <c r="P58" i="29"/>
  <c r="L58" i="29"/>
  <c r="H553" i="78"/>
  <c r="H544" i="78"/>
  <c r="H552" i="78"/>
  <c r="K26" i="20"/>
  <c r="D26" i="20"/>
  <c r="P26" i="20"/>
  <c r="E26" i="20"/>
  <c r="L26" i="20"/>
  <c r="H520" i="78"/>
  <c r="F41" i="15"/>
  <c r="D15" i="7"/>
  <c r="G41" i="15"/>
  <c r="D162" i="3" s="1"/>
  <c r="D166" i="3" s="1"/>
  <c r="E37" i="58"/>
  <c r="P18" i="13"/>
  <c r="P15" i="13"/>
  <c r="M25" i="13"/>
  <c r="D31" i="3" s="1"/>
  <c r="G31" i="3" s="1"/>
  <c r="J31" i="3" s="1"/>
  <c r="F25" i="13"/>
  <c r="P16" i="13"/>
  <c r="H516" i="78"/>
  <c r="A55" i="75"/>
  <c r="A56" i="75" s="1"/>
  <c r="A57" i="75" s="1"/>
  <c r="A58" i="75" s="1"/>
  <c r="A59" i="75" s="1"/>
  <c r="A60" i="75" s="1"/>
  <c r="A61" i="75" s="1"/>
  <c r="A62" i="75" s="1"/>
  <c r="A63" i="75" s="1"/>
  <c r="A64" i="75" s="1"/>
  <c r="A65" i="75" s="1"/>
  <c r="A66" i="75" s="1"/>
  <c r="A67" i="75" s="1"/>
  <c r="A68" i="75" s="1"/>
  <c r="A69" i="75" s="1"/>
  <c r="H114" i="78"/>
  <c r="G27" i="75"/>
  <c r="G23" i="75"/>
  <c r="G44" i="74"/>
  <c r="H610" i="78"/>
  <c r="H396" i="78"/>
  <c r="H612" i="78"/>
  <c r="H452" i="78"/>
  <c r="H613" i="78"/>
  <c r="H453" i="78"/>
  <c r="H305" i="78"/>
  <c r="H301" i="78"/>
  <c r="I301" i="78" s="1"/>
  <c r="H297" i="78"/>
  <c r="F239" i="78"/>
  <c r="E240" i="78"/>
  <c r="F240" i="78" s="1"/>
  <c r="F20" i="78"/>
  <c r="E21" i="78"/>
  <c r="F548" i="78"/>
  <c r="E549" i="78"/>
  <c r="E270" i="78"/>
  <c r="F269" i="78"/>
  <c r="E49" i="78"/>
  <c r="F48" i="78"/>
  <c r="E514" i="78"/>
  <c r="E515" i="78" s="1"/>
  <c r="F513" i="78"/>
  <c r="F585" i="78"/>
  <c r="E586" i="78"/>
  <c r="E209" i="78"/>
  <c r="E210" i="78" s="1"/>
  <c r="F208" i="78"/>
  <c r="F328" i="78"/>
  <c r="D59" i="78"/>
  <c r="E302" i="78"/>
  <c r="E330" i="78"/>
  <c r="D512" i="78"/>
  <c r="F207" i="78"/>
  <c r="F236" i="78"/>
  <c r="F235" i="78"/>
  <c r="F327" i="78"/>
  <c r="F237" i="78"/>
  <c r="F579" i="78"/>
  <c r="F300" i="78"/>
  <c r="M54" i="27"/>
  <c r="S30" i="27"/>
  <c r="D24" i="7" s="1"/>
  <c r="S28" i="27"/>
  <c r="H26" i="20"/>
  <c r="G26" i="20"/>
  <c r="M26" i="20"/>
  <c r="Q24" i="20"/>
  <c r="D178" i="3" s="1"/>
  <c r="D140" i="25"/>
  <c r="G140" i="25" s="1"/>
  <c r="K122" i="29"/>
  <c r="R54" i="29"/>
  <c r="M58" i="29"/>
  <c r="G58" i="29"/>
  <c r="R51" i="29"/>
  <c r="R56" i="29"/>
  <c r="F12" i="21"/>
  <c r="F13" i="21" s="1"/>
  <c r="D137" i="3" s="1"/>
  <c r="G137" i="3" s="1"/>
  <c r="J137" i="3" s="1"/>
  <c r="D99" i="3"/>
  <c r="G99" i="3" s="1"/>
  <c r="J99" i="3" s="1"/>
  <c r="A24" i="23"/>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C55" i="23"/>
  <c r="D56" i="23"/>
  <c r="E55" i="23"/>
  <c r="F17" i="16" s="1"/>
  <c r="G17" i="16" s="1"/>
  <c r="G25" i="16" s="1"/>
  <c r="D95" i="3" s="1"/>
  <c r="D97" i="3" s="1"/>
  <c r="D100" i="3" s="1"/>
  <c r="G17" i="9"/>
  <c r="D16" i="3" s="1"/>
  <c r="D88" i="3"/>
  <c r="H461" i="78"/>
  <c r="H458" i="78"/>
  <c r="H392" i="78"/>
  <c r="H607" i="78"/>
  <c r="H611" i="78"/>
  <c r="G33" i="9"/>
  <c r="D106" i="3" s="1"/>
  <c r="G106" i="3" s="1"/>
  <c r="J106" i="3" s="1"/>
  <c r="D11" i="9"/>
  <c r="D18" i="9" s="1"/>
  <c r="D39" i="9"/>
  <c r="G32" i="9"/>
  <c r="G38" i="9"/>
  <c r="D113" i="3" s="1"/>
  <c r="H616" i="78"/>
  <c r="H606" i="78"/>
  <c r="H615" i="78"/>
  <c r="H608" i="78"/>
  <c r="H614" i="78"/>
  <c r="H389" i="78"/>
  <c r="H393" i="78"/>
  <c r="H451" i="78"/>
  <c r="H457" i="78"/>
  <c r="H456" i="78"/>
  <c r="H390" i="78"/>
  <c r="H394" i="78"/>
  <c r="H398" i="78"/>
  <c r="H397" i="78"/>
  <c r="H455" i="78"/>
  <c r="H454" i="78"/>
  <c r="H460" i="78"/>
  <c r="H391" i="78"/>
  <c r="H395" i="78"/>
  <c r="E21" i="9"/>
  <c r="E39" i="9"/>
  <c r="E23" i="9"/>
  <c r="H298" i="78"/>
  <c r="H302" i="78"/>
  <c r="H306" i="78"/>
  <c r="H299" i="78"/>
  <c r="I299" i="78" s="1"/>
  <c r="H303" i="78"/>
  <c r="H296" i="78"/>
  <c r="H300" i="78"/>
  <c r="H513" i="78"/>
  <c r="H521" i="78"/>
  <c r="H554" i="78"/>
  <c r="H548" i="78"/>
  <c r="H547" i="78"/>
  <c r="H514" i="78"/>
  <c r="H518" i="78"/>
  <c r="H522" i="78"/>
  <c r="H517" i="78"/>
  <c r="H550" i="78"/>
  <c r="H545" i="78"/>
  <c r="H551" i="78"/>
  <c r="H515" i="78"/>
  <c r="H519" i="78"/>
  <c r="G35" i="9"/>
  <c r="D110" i="3" s="1"/>
  <c r="G13" i="9"/>
  <c r="D12" i="3" s="1"/>
  <c r="G12" i="3" s="1"/>
  <c r="J12" i="3" s="1"/>
  <c r="G14" i="9"/>
  <c r="D13" i="3" s="1"/>
  <c r="G34" i="9"/>
  <c r="G155" i="3"/>
  <c r="P23" i="13"/>
  <c r="P17" i="13"/>
  <c r="P14" i="13"/>
  <c r="P24" i="13"/>
  <c r="P21" i="13"/>
  <c r="P20" i="13"/>
  <c r="O25" i="13"/>
  <c r="D33" i="3" s="1"/>
  <c r="G33" i="3" s="1"/>
  <c r="J33" i="3" s="1"/>
  <c r="P19" i="13"/>
  <c r="F199" i="74"/>
  <c r="C96" i="77"/>
  <c r="E117" i="75"/>
  <c r="F117" i="75" s="1"/>
  <c r="G117" i="75" s="1"/>
  <c r="D135" i="75"/>
  <c r="E125" i="75"/>
  <c r="F125" i="75" s="1"/>
  <c r="G125" i="75" s="1"/>
  <c r="E127" i="75"/>
  <c r="F127" i="75" s="1"/>
  <c r="G127" i="75" s="1"/>
  <c r="E139" i="75"/>
  <c r="G139" i="75" s="1"/>
  <c r="F45" i="13"/>
  <c r="M47" i="13"/>
  <c r="O49" i="13"/>
  <c r="M51" i="13"/>
  <c r="N52" i="13"/>
  <c r="F53" i="13"/>
  <c r="M55" i="13"/>
  <c r="N56" i="13"/>
  <c r="F57" i="13"/>
  <c r="K52" i="13"/>
  <c r="K56" i="13"/>
  <c r="U48" i="13"/>
  <c r="U52" i="13"/>
  <c r="U56" i="13"/>
  <c r="G87" i="14"/>
  <c r="K87" i="14"/>
  <c r="E187" i="74"/>
  <c r="F187" i="74" s="1"/>
  <c r="C194" i="74"/>
  <c r="D119" i="25"/>
  <c r="E128" i="74"/>
  <c r="F128" i="74" s="1"/>
  <c r="G128" i="74" s="1"/>
  <c r="E159" i="74"/>
  <c r="G159" i="74" s="1"/>
  <c r="E52" i="23"/>
  <c r="E56" i="23" s="1"/>
  <c r="G50" i="16" s="1"/>
  <c r="D69" i="20"/>
  <c r="D71" i="20" s="1"/>
  <c r="L69" i="20"/>
  <c r="D194" i="74"/>
  <c r="E165" i="75"/>
  <c r="G165" i="75" s="1"/>
  <c r="E169" i="75"/>
  <c r="G169" i="75" s="1"/>
  <c r="E173" i="75"/>
  <c r="G173" i="75" s="1"/>
  <c r="O48" i="13"/>
  <c r="P48" i="13" s="1"/>
  <c r="U55" i="13"/>
  <c r="O87" i="14"/>
  <c r="F172" i="44"/>
  <c r="A85" i="44"/>
  <c r="A86" i="44" s="1"/>
  <c r="A87" i="44" s="1"/>
  <c r="A88" i="44" s="1"/>
  <c r="A89" i="44" s="1"/>
  <c r="A90" i="44" s="1"/>
  <c r="C49" i="3"/>
  <c r="A149" i="74"/>
  <c r="A150" i="74" s="1"/>
  <c r="A151" i="74" s="1"/>
  <c r="A152" i="74" s="1"/>
  <c r="A153" i="74" s="1"/>
  <c r="A154" i="74" s="1"/>
  <c r="A155" i="74" s="1"/>
  <c r="A156" i="74" s="1"/>
  <c r="A157" i="74" s="1"/>
  <c r="A158" i="74" s="1"/>
  <c r="A159" i="74" s="1"/>
  <c r="A160" i="74" s="1"/>
  <c r="A161" i="74" s="1"/>
  <c r="A162" i="74" s="1"/>
  <c r="A163" i="74" s="1"/>
  <c r="A164" i="74" s="1"/>
  <c r="A165" i="74" s="1"/>
  <c r="A166" i="74" s="1"/>
  <c r="A167" i="74" s="1"/>
  <c r="A168" i="74" s="1"/>
  <c r="A169" i="74" s="1"/>
  <c r="A170" i="74" s="1"/>
  <c r="A171" i="74" s="1"/>
  <c r="A172" i="74" s="1"/>
  <c r="A173" i="74" s="1"/>
  <c r="A174" i="74" s="1"/>
  <c r="A175" i="74" s="1"/>
  <c r="A176" i="74" s="1"/>
  <c r="A177" i="74" s="1"/>
  <c r="A178" i="74" s="1"/>
  <c r="A179" i="74" s="1"/>
  <c r="A180" i="74" s="1"/>
  <c r="A181" i="74" s="1"/>
  <c r="A182" i="74" s="1"/>
  <c r="A183" i="74" s="1"/>
  <c r="A184" i="74" s="1"/>
  <c r="A185" i="74" s="1"/>
  <c r="A186" i="74" s="1"/>
  <c r="A187" i="74" s="1"/>
  <c r="A188" i="74" s="1"/>
  <c r="A189" i="74" s="1"/>
  <c r="A190" i="74" s="1"/>
  <c r="A191" i="74" s="1"/>
  <c r="A192" i="74" s="1"/>
  <c r="A193" i="74" s="1"/>
  <c r="A194" i="74" s="1"/>
  <c r="A195" i="74" s="1"/>
  <c r="A196" i="74" s="1"/>
  <c r="C49" i="25"/>
  <c r="F13" i="74"/>
  <c r="G11" i="74"/>
  <c r="G13" i="74" s="1"/>
  <c r="G48" i="3" s="1"/>
  <c r="J48" i="3" s="1"/>
  <c r="E171" i="74"/>
  <c r="F171" i="74" s="1"/>
  <c r="F172" i="74" s="1"/>
  <c r="G18" i="74"/>
  <c r="G130" i="74"/>
  <c r="E153" i="74"/>
  <c r="F153" i="74" s="1"/>
  <c r="G153" i="74" s="1"/>
  <c r="E178" i="74"/>
  <c r="G178" i="74" s="1"/>
  <c r="E197" i="74"/>
  <c r="F197" i="74" s="1"/>
  <c r="G197" i="74" s="1"/>
  <c r="E117" i="74"/>
  <c r="F117" i="74" s="1"/>
  <c r="F119" i="74" s="1"/>
  <c r="E124" i="74"/>
  <c r="F124" i="74" s="1"/>
  <c r="E136" i="74"/>
  <c r="E177" i="74"/>
  <c r="G177" i="74" s="1"/>
  <c r="E188" i="74"/>
  <c r="F188" i="74" s="1"/>
  <c r="L264" i="78"/>
  <c r="L275" i="78" s="1"/>
  <c r="C48" i="3"/>
  <c r="F191" i="74"/>
  <c r="G191" i="74" s="1"/>
  <c r="D202" i="74"/>
  <c r="D120" i="75"/>
  <c r="E123" i="74"/>
  <c r="E189" i="74"/>
  <c r="F189" i="74" s="1"/>
  <c r="E123" i="75"/>
  <c r="F123" i="75" s="1"/>
  <c r="G123" i="75" s="1"/>
  <c r="F49" i="13"/>
  <c r="O45" i="13"/>
  <c r="K48" i="13"/>
  <c r="E129" i="75"/>
  <c r="G129" i="75" s="1"/>
  <c r="E131" i="75"/>
  <c r="E133" i="75"/>
  <c r="F133" i="75" s="1"/>
  <c r="G133" i="75" s="1"/>
  <c r="E143" i="75"/>
  <c r="G143" i="75" s="1"/>
  <c r="E156" i="75"/>
  <c r="G156" i="75" s="1"/>
  <c r="E125" i="74"/>
  <c r="G125" i="74" s="1"/>
  <c r="E154" i="74"/>
  <c r="F154" i="74" s="1"/>
  <c r="G154" i="74" s="1"/>
  <c r="D159" i="75"/>
  <c r="D176" i="75"/>
  <c r="E188" i="75"/>
  <c r="F188" i="75" s="1"/>
  <c r="G188" i="75" s="1"/>
  <c r="D197" i="75"/>
  <c r="C172" i="74"/>
  <c r="C120" i="75"/>
  <c r="C159" i="75"/>
  <c r="C176" i="75"/>
  <c r="E170" i="75"/>
  <c r="G170" i="75" s="1"/>
  <c r="C197" i="75"/>
  <c r="F47" i="13"/>
  <c r="F52" i="13"/>
  <c r="M54" i="13"/>
  <c r="I58" i="13"/>
  <c r="J58" i="13"/>
  <c r="K51" i="13"/>
  <c r="U50" i="13"/>
  <c r="U51" i="13"/>
  <c r="U54" i="13"/>
  <c r="F79" i="14"/>
  <c r="J79" i="14"/>
  <c r="N79" i="14"/>
  <c r="I79" i="14"/>
  <c r="M79" i="14"/>
  <c r="Q79" i="14"/>
  <c r="L79" i="14"/>
  <c r="P79" i="14"/>
  <c r="K79" i="14"/>
  <c r="O79" i="14"/>
  <c r="J87" i="14"/>
  <c r="N87" i="14"/>
  <c r="M87" i="14"/>
  <c r="Q87" i="14"/>
  <c r="H87" i="14"/>
  <c r="L87" i="14"/>
  <c r="P87" i="14"/>
  <c r="F112" i="14"/>
  <c r="J112" i="14"/>
  <c r="J115" i="14" s="1"/>
  <c r="J122" i="14" s="1"/>
  <c r="N112" i="14"/>
  <c r="I112" i="14"/>
  <c r="I115" i="14" s="1"/>
  <c r="I122" i="14" s="1"/>
  <c r="M112" i="14"/>
  <c r="Q112" i="14"/>
  <c r="H112" i="14"/>
  <c r="P112" i="14"/>
  <c r="R99" i="14"/>
  <c r="K112" i="14"/>
  <c r="O112" i="14"/>
  <c r="R100" i="14"/>
  <c r="R101" i="14"/>
  <c r="R102" i="14"/>
  <c r="R103" i="14"/>
  <c r="R104" i="14"/>
  <c r="R106" i="14"/>
  <c r="R108" i="14"/>
  <c r="R109" i="14"/>
  <c r="R110" i="14"/>
  <c r="R111" i="14"/>
  <c r="J129" i="77"/>
  <c r="E184" i="75"/>
  <c r="D121" i="25"/>
  <c r="G23" i="18"/>
  <c r="G117" i="74"/>
  <c r="C182" i="74"/>
  <c r="Q263" i="78" s="1"/>
  <c r="Q281" i="78" s="1"/>
  <c r="E166" i="75"/>
  <c r="E169" i="74"/>
  <c r="G169" i="74" s="1"/>
  <c r="E151" i="75"/>
  <c r="G151" i="75" s="1"/>
  <c r="C119" i="74"/>
  <c r="D182" i="74"/>
  <c r="O51" i="13"/>
  <c r="M45" i="13"/>
  <c r="R75" i="14"/>
  <c r="O47" i="13"/>
  <c r="C77" i="77"/>
  <c r="R96" i="14"/>
  <c r="M35" i="15"/>
  <c r="M18" i="15"/>
  <c r="D38" i="7" s="1"/>
  <c r="M20" i="15"/>
  <c r="M24" i="15"/>
  <c r="F194" i="75"/>
  <c r="G194" i="75" s="1"/>
  <c r="D58" i="13"/>
  <c r="Q66" i="20"/>
  <c r="F54" i="13"/>
  <c r="Q57" i="20"/>
  <c r="Q61" i="20" s="1"/>
  <c r="Q65" i="20"/>
  <c r="J69" i="20"/>
  <c r="J71" i="20" s="1"/>
  <c r="N69" i="20"/>
  <c r="N71" i="20" s="1"/>
  <c r="D190" i="75"/>
  <c r="C135" i="75"/>
  <c r="O52" i="13"/>
  <c r="G130" i="75"/>
  <c r="N47" i="13"/>
  <c r="M49" i="13"/>
  <c r="P49" i="13" s="1"/>
  <c r="K47" i="13"/>
  <c r="L26" i="15"/>
  <c r="L39" i="15"/>
  <c r="L46" i="15"/>
  <c r="P80" i="20"/>
  <c r="D12" i="7"/>
  <c r="H26" i="15"/>
  <c r="D10" i="7"/>
  <c r="K26" i="15"/>
  <c r="E160" i="74"/>
  <c r="C164" i="74"/>
  <c r="Q232" i="78" s="1"/>
  <c r="Q250" i="78" s="1"/>
  <c r="C133" i="74"/>
  <c r="E138" i="75"/>
  <c r="G138" i="75" s="1"/>
  <c r="C145" i="75"/>
  <c r="L47" i="78" s="1"/>
  <c r="E181" i="75"/>
  <c r="F181" i="75" s="1"/>
  <c r="G181" i="75" s="1"/>
  <c r="C190" i="75"/>
  <c r="E196" i="75"/>
  <c r="F196" i="75" s="1"/>
  <c r="G196" i="75" s="1"/>
  <c r="C58" i="13"/>
  <c r="M46" i="13"/>
  <c r="F46" i="13"/>
  <c r="F48" i="13"/>
  <c r="E58" i="13"/>
  <c r="G155" i="25" s="1"/>
  <c r="M50" i="13"/>
  <c r="P50" i="13" s="1"/>
  <c r="F50" i="13"/>
  <c r="F51" i="13"/>
  <c r="N51" i="13"/>
  <c r="F55" i="13"/>
  <c r="N55" i="13"/>
  <c r="O56" i="13"/>
  <c r="F56" i="13"/>
  <c r="K46" i="13"/>
  <c r="N46" i="13"/>
  <c r="K50" i="13"/>
  <c r="N50" i="13"/>
  <c r="M53" i="13"/>
  <c r="P53" i="13" s="1"/>
  <c r="K53" i="13"/>
  <c r="K54" i="13"/>
  <c r="N54" i="13"/>
  <c r="P54" i="13" s="1"/>
  <c r="O55" i="13"/>
  <c r="K55" i="13"/>
  <c r="M57" i="13"/>
  <c r="P57" i="13" s="1"/>
  <c r="H58" i="13"/>
  <c r="K57" i="13"/>
  <c r="U46" i="13"/>
  <c r="S58" i="13"/>
  <c r="T58" i="13"/>
  <c r="D114" i="25" s="1"/>
  <c r="G114" i="25" s="1"/>
  <c r="U47" i="13"/>
  <c r="R58" i="13"/>
  <c r="U49" i="13"/>
  <c r="R76" i="14"/>
  <c r="E79" i="14"/>
  <c r="R77" i="14"/>
  <c r="H79" i="14"/>
  <c r="G79" i="14"/>
  <c r="R78" i="14"/>
  <c r="F87" i="14"/>
  <c r="R84" i="14"/>
  <c r="R85" i="14"/>
  <c r="E87" i="14"/>
  <c r="R92" i="14"/>
  <c r="R93" i="14" s="1"/>
  <c r="D68" i="25" s="1"/>
  <c r="G93" i="14"/>
  <c r="R97" i="14"/>
  <c r="E112" i="14"/>
  <c r="L295" i="78"/>
  <c r="L305" i="78" s="1"/>
  <c r="P107" i="77"/>
  <c r="L512" i="78"/>
  <c r="M512" i="78" s="1"/>
  <c r="N512" i="78" s="1"/>
  <c r="Q604" i="78"/>
  <c r="Q622" i="78" s="1"/>
  <c r="L605" i="78"/>
  <c r="L142" i="78"/>
  <c r="L149" i="78"/>
  <c r="G112" i="14"/>
  <c r="F145" i="74"/>
  <c r="F146" i="74" s="1"/>
  <c r="E202" i="74"/>
  <c r="E189" i="75"/>
  <c r="E127" i="74"/>
  <c r="F127" i="74" s="1"/>
  <c r="G127" i="74" s="1"/>
  <c r="E139" i="74"/>
  <c r="G139" i="74" s="1"/>
  <c r="E161" i="74"/>
  <c r="G161" i="74" s="1"/>
  <c r="E190" i="74"/>
  <c r="F190" i="74" s="1"/>
  <c r="G190" i="74" s="1"/>
  <c r="C141" i="74"/>
  <c r="Q170" i="78" s="1"/>
  <c r="Q188" i="78" s="1"/>
  <c r="D156" i="74"/>
  <c r="E129" i="74"/>
  <c r="E152" i="74"/>
  <c r="F152" i="74" s="1"/>
  <c r="G152" i="74" s="1"/>
  <c r="P69" i="77"/>
  <c r="P73" i="77"/>
  <c r="P88" i="77"/>
  <c r="P92" i="77"/>
  <c r="A32" i="14"/>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D56" i="14"/>
  <c r="A88" i="14"/>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A120" i="14" s="1"/>
  <c r="A121" i="14" s="1"/>
  <c r="A122" i="14" s="1"/>
  <c r="D115" i="14"/>
  <c r="E149" i="78"/>
  <c r="F148" i="78"/>
  <c r="D173" i="78"/>
  <c r="F174" i="78"/>
  <c r="F456" i="78"/>
  <c r="E457" i="78"/>
  <c r="A15" i="25"/>
  <c r="G37" i="74"/>
  <c r="G38" i="74" s="1"/>
  <c r="F455" i="78"/>
  <c r="D454" i="78"/>
  <c r="E177" i="78"/>
  <c r="F176" i="78"/>
  <c r="A28" i="78"/>
  <c r="A29" i="78" s="1"/>
  <c r="A30" i="78" s="1"/>
  <c r="A31" i="78" s="1"/>
  <c r="A32" i="78" s="1"/>
  <c r="A33" i="78" s="1"/>
  <c r="F34" i="78"/>
  <c r="N34" i="78"/>
  <c r="E118" i="78"/>
  <c r="F117" i="78"/>
  <c r="P13" i="13"/>
  <c r="N25" i="13"/>
  <c r="D32" i="3" s="1"/>
  <c r="F234" i="78"/>
  <c r="D338" i="78"/>
  <c r="F326" i="78"/>
  <c r="D546" i="78"/>
  <c r="F547" i="78"/>
  <c r="F612" i="78"/>
  <c r="E613" i="78"/>
  <c r="D206" i="78"/>
  <c r="F115" i="78"/>
  <c r="D114" i="78"/>
  <c r="D578" i="78"/>
  <c r="F147" i="78"/>
  <c r="D143" i="78"/>
  <c r="F144" i="78"/>
  <c r="C59" i="9"/>
  <c r="C56" i="9"/>
  <c r="E395" i="78"/>
  <c r="F394" i="78"/>
  <c r="E550" i="78"/>
  <c r="F549" i="78"/>
  <c r="F298" i="78"/>
  <c r="D297" i="78"/>
  <c r="C14" i="9"/>
  <c r="A28" i="76"/>
  <c r="A29" i="76" s="1"/>
  <c r="A30" i="76" s="1"/>
  <c r="A31" i="76" s="1"/>
  <c r="A32" i="76" s="1"/>
  <c r="A33" i="76" s="1"/>
  <c r="C11" i="9"/>
  <c r="C13" i="9"/>
  <c r="C16" i="9"/>
  <c r="C15" i="9"/>
  <c r="C12" i="9"/>
  <c r="C17" i="9"/>
  <c r="F96" i="76"/>
  <c r="F25" i="9" s="1"/>
  <c r="E12" i="9"/>
  <c r="G12" i="9" s="1"/>
  <c r="D11" i="3" s="1"/>
  <c r="G156" i="3"/>
  <c r="E11" i="9"/>
  <c r="B17" i="28"/>
  <c r="A17" i="28"/>
  <c r="C23" i="18"/>
  <c r="A15" i="18"/>
  <c r="A16" i="18" s="1"/>
  <c r="A17" i="18" s="1"/>
  <c r="A18" i="18" s="1"/>
  <c r="A19" i="18" s="1"/>
  <c r="A20" i="18" s="1"/>
  <c r="A21" i="18" s="1"/>
  <c r="A22" i="18" s="1"/>
  <c r="A23" i="18" s="1"/>
  <c r="A25" i="48"/>
  <c r="A26" i="48" s="1"/>
  <c r="B26" i="48"/>
  <c r="B25" i="48"/>
  <c r="G187" i="74"/>
  <c r="F116" i="78"/>
  <c r="F580" i="78"/>
  <c r="F175" i="78"/>
  <c r="D85" i="78"/>
  <c r="F393" i="78"/>
  <c r="D392" i="78"/>
  <c r="E85" i="78"/>
  <c r="E86" i="78" s="1"/>
  <c r="E87" i="78" s="1"/>
  <c r="K25" i="13"/>
  <c r="P37" i="20"/>
  <c r="F176" i="3" s="1"/>
  <c r="D176" i="3"/>
  <c r="U25" i="13"/>
  <c r="E26" i="48"/>
  <c r="D16" i="21" s="1"/>
  <c r="F25" i="48"/>
  <c r="D52" i="3" s="1"/>
  <c r="D25" i="48"/>
  <c r="D89" i="3"/>
  <c r="P12" i="13"/>
  <c r="C19" i="5"/>
  <c r="A14" i="5"/>
  <c r="A15" i="5" s="1"/>
  <c r="A16" i="5" s="1"/>
  <c r="A17" i="5" s="1"/>
  <c r="A18" i="5" s="1"/>
  <c r="A19" i="5" s="1"/>
  <c r="H39" i="15"/>
  <c r="A17" i="3"/>
  <c r="A18" i="3" s="1"/>
  <c r="A19" i="3" s="1"/>
  <c r="A20" i="3" s="1"/>
  <c r="A21" i="3" s="1"/>
  <c r="C17" i="3"/>
  <c r="A49" i="48"/>
  <c r="A50" i="48" s="1"/>
  <c r="B50" i="48"/>
  <c r="B49" i="48"/>
  <c r="C35" i="20"/>
  <c r="A30" i="20"/>
  <c r="A31" i="20" s="1"/>
  <c r="A32" i="20" s="1"/>
  <c r="A33" i="20" s="1"/>
  <c r="A34" i="20" s="1"/>
  <c r="A35" i="20" s="1"/>
  <c r="A61" i="9"/>
  <c r="A62" i="9" s="1"/>
  <c r="A63" i="9" s="1"/>
  <c r="A64" i="9" s="1"/>
  <c r="C61" i="9"/>
  <c r="B58" i="13"/>
  <c r="A58" i="13"/>
  <c r="F77" i="76"/>
  <c r="F15" i="9" s="1"/>
  <c r="A18" i="9"/>
  <c r="A19" i="9" s="1"/>
  <c r="A20" i="9" s="1"/>
  <c r="A21" i="9" s="1"/>
  <c r="C18" i="9"/>
  <c r="C52" i="25"/>
  <c r="C24" i="20"/>
  <c r="A18" i="24"/>
  <c r="A19" i="24" s="1"/>
  <c r="A20" i="24" s="1"/>
  <c r="A21" i="24" s="1"/>
  <c r="C19" i="24"/>
  <c r="C27" i="7"/>
  <c r="A25" i="7"/>
  <c r="A26" i="7" s="1"/>
  <c r="A27" i="7" s="1"/>
  <c r="A28" i="7" s="1"/>
  <c r="A29" i="7" s="1"/>
  <c r="A30" i="7" s="1"/>
  <c r="A31" i="7" s="1"/>
  <c r="A32" i="7" s="1"/>
  <c r="A33" i="7" s="1"/>
  <c r="A34" i="7" s="1"/>
  <c r="A62" i="20"/>
  <c r="A63" i="20" s="1"/>
  <c r="A64" i="20" s="1"/>
  <c r="A65" i="20" s="1"/>
  <c r="C16" i="7"/>
  <c r="C139" i="25"/>
  <c r="C119" i="25"/>
  <c r="C95" i="25"/>
  <c r="C66" i="25"/>
  <c r="I39" i="28"/>
  <c r="M56" i="27"/>
  <c r="E90" i="28"/>
  <c r="I93" i="28" s="1"/>
  <c r="C64" i="5"/>
  <c r="C65" i="25"/>
  <c r="F611" i="78"/>
  <c r="D610" i="78"/>
  <c r="F19" i="78"/>
  <c r="D18" i="78"/>
  <c r="C12" i="3"/>
  <c r="C162" i="3"/>
  <c r="L71" i="20"/>
  <c r="C31" i="25"/>
  <c r="C81" i="5"/>
  <c r="G95" i="74"/>
  <c r="G24" i="75"/>
  <c r="G32" i="75"/>
  <c r="G198" i="74"/>
  <c r="E76" i="58"/>
  <c r="P66" i="77"/>
  <c r="P89" i="77"/>
  <c r="L543" i="78"/>
  <c r="K129" i="77"/>
  <c r="F129" i="77"/>
  <c r="E65" i="9" s="1"/>
  <c r="C52" i="23"/>
  <c r="C56" i="23" s="1"/>
  <c r="M29" i="15"/>
  <c r="M31" i="15"/>
  <c r="M33" i="15"/>
  <c r="M37" i="15"/>
  <c r="M12" i="15"/>
  <c r="M14" i="15"/>
  <c r="M16" i="15"/>
  <c r="D36" i="7" s="1"/>
  <c r="M22" i="15"/>
  <c r="E69" i="20"/>
  <c r="E71" i="20" s="1"/>
  <c r="I69" i="20"/>
  <c r="I71" i="20" s="1"/>
  <c r="M69" i="20"/>
  <c r="M71" i="20" s="1"/>
  <c r="H69" i="20"/>
  <c r="H71" i="20" s="1"/>
  <c r="P69" i="20"/>
  <c r="P71" i="20" s="1"/>
  <c r="Q68" i="20"/>
  <c r="K69" i="20"/>
  <c r="O69" i="20"/>
  <c r="O71" i="20" s="1"/>
  <c r="D98" i="25"/>
  <c r="M30" i="15"/>
  <c r="M32" i="15"/>
  <c r="M38" i="15"/>
  <c r="M13" i="15"/>
  <c r="M17" i="15"/>
  <c r="D37" i="7" s="1"/>
  <c r="M19" i="15"/>
  <c r="M21" i="15"/>
  <c r="M25" i="15"/>
  <c r="G54" i="16"/>
  <c r="E58" i="16"/>
  <c r="G55" i="16"/>
  <c r="F202" i="74"/>
  <c r="L151" i="78"/>
  <c r="G157" i="75"/>
  <c r="E152" i="75"/>
  <c r="G152" i="75" s="1"/>
  <c r="E172" i="75"/>
  <c r="G172" i="75" s="1"/>
  <c r="E187" i="75"/>
  <c r="R98" i="14"/>
  <c r="L112" i="14"/>
  <c r="R105" i="14"/>
  <c r="R107" i="14"/>
  <c r="L145" i="78"/>
  <c r="D31" i="21"/>
  <c r="E30" i="21"/>
  <c r="E31" i="21" s="1"/>
  <c r="G202" i="74"/>
  <c r="K71" i="20"/>
  <c r="G166" i="75"/>
  <c r="L150" i="78"/>
  <c r="L147" i="78"/>
  <c r="L144" i="78"/>
  <c r="G61" i="20"/>
  <c r="G71" i="20" s="1"/>
  <c r="F69" i="20"/>
  <c r="F71" i="20" s="1"/>
  <c r="C156" i="74"/>
  <c r="Q67" i="20"/>
  <c r="L141" i="78"/>
  <c r="L143" i="78"/>
  <c r="L148" i="78"/>
  <c r="D23" i="77"/>
  <c r="D27" i="77" s="1"/>
  <c r="H23" i="77"/>
  <c r="H27" i="77" s="1"/>
  <c r="D56" i="9" s="1"/>
  <c r="C23" i="77"/>
  <c r="C27" i="77" s="1"/>
  <c r="D58" i="9" s="1"/>
  <c r="G23" i="77"/>
  <c r="G27" i="77" s="1"/>
  <c r="D55" i="9" s="1"/>
  <c r="G154" i="25" s="1"/>
  <c r="K23" i="77"/>
  <c r="K27" i="77" s="1"/>
  <c r="D60" i="9" s="1"/>
  <c r="F23" i="77"/>
  <c r="F27" i="77" s="1"/>
  <c r="J23" i="77"/>
  <c r="J27" i="77" s="1"/>
  <c r="D59" i="9" s="1"/>
  <c r="F46" i="77"/>
  <c r="F50" i="77" s="1"/>
  <c r="J46" i="77"/>
  <c r="J50" i="77" s="1"/>
  <c r="D69" i="9" s="1"/>
  <c r="E46" i="77"/>
  <c r="E50" i="77" s="1"/>
  <c r="I46" i="77"/>
  <c r="I50" i="77" s="1"/>
  <c r="D67" i="9" s="1"/>
  <c r="D46" i="77"/>
  <c r="D50" i="77" s="1"/>
  <c r="H46" i="77"/>
  <c r="H50" i="77" s="1"/>
  <c r="D66" i="9" s="1"/>
  <c r="D75" i="9"/>
  <c r="D82" i="9" s="1"/>
  <c r="G78" i="9"/>
  <c r="D110" i="25" s="1"/>
  <c r="P64" i="77"/>
  <c r="J77" i="77"/>
  <c r="F57" i="9" s="1"/>
  <c r="F56" i="9"/>
  <c r="P68" i="77"/>
  <c r="P71" i="77"/>
  <c r="P72" i="77"/>
  <c r="P75" i="77"/>
  <c r="F60" i="9"/>
  <c r="P83" i="77"/>
  <c r="F67" i="9"/>
  <c r="G96" i="77"/>
  <c r="F66" i="9" s="1"/>
  <c r="P87" i="77"/>
  <c r="P90" i="77"/>
  <c r="P91" i="77"/>
  <c r="P94" i="77"/>
  <c r="Q96" i="77"/>
  <c r="F70" i="9" s="1"/>
  <c r="F79" i="9"/>
  <c r="G79" i="9" s="1"/>
  <c r="D111" i="25" s="1"/>
  <c r="P102" i="77"/>
  <c r="F80" i="9" s="1"/>
  <c r="G80" i="9" s="1"/>
  <c r="D112" i="25" s="1"/>
  <c r="L388" i="78"/>
  <c r="D129" i="77"/>
  <c r="E56" i="9" s="1"/>
  <c r="H129" i="77"/>
  <c r="E67" i="9" s="1"/>
  <c r="C129" i="77"/>
  <c r="G157" i="25" s="1"/>
  <c r="G129" i="77"/>
  <c r="E66" i="9" s="1"/>
  <c r="I129" i="77"/>
  <c r="G76" i="9"/>
  <c r="D106" i="25" s="1"/>
  <c r="G106" i="25" s="1"/>
  <c r="L78" i="78"/>
  <c r="E168" i="75"/>
  <c r="G168" i="75" s="1"/>
  <c r="E192" i="74"/>
  <c r="E118" i="75"/>
  <c r="Q77" i="78"/>
  <c r="Q95" i="78" s="1"/>
  <c r="E154" i="75"/>
  <c r="G154" i="75" s="1"/>
  <c r="E155" i="75"/>
  <c r="G155" i="75" s="1"/>
  <c r="G46" i="77"/>
  <c r="G50" i="77" s="1"/>
  <c r="D65" i="9" s="1"/>
  <c r="D77" i="77"/>
  <c r="N96" i="77"/>
  <c r="P95" i="77"/>
  <c r="Q325" i="78"/>
  <c r="L326" i="78"/>
  <c r="Q449" i="78"/>
  <c r="L450" i="78"/>
  <c r="P108" i="77"/>
  <c r="L574" i="78"/>
  <c r="E129" i="77"/>
  <c r="E57" i="9" s="1"/>
  <c r="E75" i="9"/>
  <c r="E77" i="9"/>
  <c r="G77" i="9" s="1"/>
  <c r="G124" i="75"/>
  <c r="G189" i="74"/>
  <c r="E172" i="74"/>
  <c r="F128" i="75"/>
  <c r="E23" i="77"/>
  <c r="E27" i="77" s="1"/>
  <c r="K46" i="77"/>
  <c r="K50" i="77" s="1"/>
  <c r="D70" i="9" s="1"/>
  <c r="M77" i="77"/>
  <c r="P65" i="77"/>
  <c r="I23" i="77"/>
  <c r="I27" i="77" s="1"/>
  <c r="D57" i="9" s="1"/>
  <c r="C46" i="77"/>
  <c r="C50" i="77" s="1"/>
  <c r="D68" i="9" s="1"/>
  <c r="P67" i="77"/>
  <c r="O77" i="77"/>
  <c r="N77" i="77"/>
  <c r="P76" i="77"/>
  <c r="D96" i="77"/>
  <c r="P84" i="77"/>
  <c r="M96" i="77"/>
  <c r="O96" i="77"/>
  <c r="P86" i="77"/>
  <c r="G193" i="75"/>
  <c r="G183" i="75"/>
  <c r="F186" i="75"/>
  <c r="L146" i="78"/>
  <c r="P52" i="13"/>
  <c r="E137" i="74"/>
  <c r="D141" i="74"/>
  <c r="Q15" i="78"/>
  <c r="E126" i="75"/>
  <c r="L16" i="78"/>
  <c r="G185" i="75"/>
  <c r="E195" i="75"/>
  <c r="C55" i="25"/>
  <c r="M44" i="15"/>
  <c r="D92" i="25" s="1"/>
  <c r="D86" i="25"/>
  <c r="K39" i="15"/>
  <c r="K46" i="15"/>
  <c r="H46" i="15"/>
  <c r="D85" i="3" s="1"/>
  <c r="D11" i="7"/>
  <c r="C64" i="25"/>
  <c r="C65" i="5"/>
  <c r="C10" i="7"/>
  <c r="C84" i="25"/>
  <c r="C118" i="25"/>
  <c r="C99" i="3"/>
  <c r="C95" i="3"/>
  <c r="C66" i="5"/>
  <c r="C96" i="3"/>
  <c r="C178" i="25"/>
  <c r="C64" i="3"/>
  <c r="C67" i="5"/>
  <c r="C65" i="3"/>
  <c r="C137" i="25"/>
  <c r="C90" i="3"/>
  <c r="C86" i="3"/>
  <c r="C137" i="3"/>
  <c r="C84" i="3"/>
  <c r="C89" i="3"/>
  <c r="C163" i="25"/>
  <c r="C35" i="7"/>
  <c r="C11" i="7"/>
  <c r="C87" i="25"/>
  <c r="C31" i="3"/>
  <c r="C32" i="3"/>
  <c r="C33" i="3"/>
  <c r="C139" i="3"/>
  <c r="C42" i="7"/>
  <c r="C85" i="3"/>
  <c r="C33" i="25"/>
  <c r="C140" i="25"/>
  <c r="C14" i="24"/>
  <c r="C92" i="3"/>
  <c r="C88" i="3"/>
  <c r="C141" i="25"/>
  <c r="C155" i="25"/>
  <c r="C18" i="7"/>
  <c r="C86" i="25"/>
  <c r="C88" i="25"/>
  <c r="C177" i="3"/>
  <c r="C34" i="5"/>
  <c r="C177" i="25"/>
  <c r="C14" i="25"/>
  <c r="C16" i="25"/>
  <c r="C16" i="3"/>
  <c r="C178" i="3"/>
  <c r="C176" i="3"/>
  <c r="C11" i="3"/>
  <c r="C11" i="25"/>
  <c r="C96" i="25"/>
  <c r="C12" i="25"/>
  <c r="C21" i="3"/>
  <c r="C21" i="25"/>
  <c r="C14" i="3"/>
  <c r="C82" i="5"/>
  <c r="C114" i="3"/>
  <c r="C75" i="5"/>
  <c r="C91" i="3"/>
  <c r="C24" i="7"/>
  <c r="C39" i="7"/>
  <c r="C38" i="7"/>
  <c r="C15" i="3"/>
  <c r="C153" i="3"/>
  <c r="C54" i="3"/>
  <c r="C76" i="5"/>
  <c r="C154" i="25"/>
  <c r="C14" i="7"/>
  <c r="C85" i="25"/>
  <c r="C13" i="3"/>
  <c r="C47" i="7"/>
  <c r="C154" i="3"/>
  <c r="C92" i="25"/>
  <c r="C34" i="7"/>
  <c r="C90" i="25"/>
  <c r="C36" i="7"/>
  <c r="C32" i="25"/>
  <c r="C79" i="5"/>
  <c r="C68" i="3"/>
  <c r="C12" i="7"/>
  <c r="C91" i="25"/>
  <c r="C54" i="25"/>
  <c r="C10" i="3"/>
  <c r="C15" i="7"/>
  <c r="C37" i="7"/>
  <c r="C87" i="3"/>
  <c r="C15" i="25"/>
  <c r="C10" i="25"/>
  <c r="C13" i="25"/>
  <c r="C89" i="25"/>
  <c r="C13" i="7"/>
  <c r="C114" i="25"/>
  <c r="C138" i="25"/>
  <c r="C138" i="3"/>
  <c r="C120" i="25"/>
  <c r="C119" i="3"/>
  <c r="C120" i="3"/>
  <c r="C118" i="3"/>
  <c r="C55" i="3"/>
  <c r="C107" i="25"/>
  <c r="C77" i="5"/>
  <c r="C80" i="5"/>
  <c r="C78" i="5"/>
  <c r="C67" i="25"/>
  <c r="C69" i="3"/>
  <c r="C39" i="5"/>
  <c r="C36" i="5"/>
  <c r="C38" i="5"/>
  <c r="C35" i="5"/>
  <c r="C69" i="25"/>
  <c r="C68" i="25"/>
  <c r="C52" i="3"/>
  <c r="C66" i="3"/>
  <c r="C70" i="5"/>
  <c r="C67" i="3"/>
  <c r="C69" i="5"/>
  <c r="C37" i="5"/>
  <c r="C68" i="5"/>
  <c r="C71" i="5"/>
  <c r="G40" i="41" l="1"/>
  <c r="E40" i="41"/>
  <c r="E41" i="41" s="1"/>
  <c r="I35" i="63"/>
  <c r="I35" i="41"/>
  <c r="G42" i="41"/>
  <c r="G41" i="41"/>
  <c r="C41" i="63"/>
  <c r="C42" i="63"/>
  <c r="C42" i="41"/>
  <c r="C41" i="41"/>
  <c r="C60" i="9"/>
  <c r="C54" i="9"/>
  <c r="A28" i="77"/>
  <c r="A29" i="77" s="1"/>
  <c r="A30" i="77" s="1"/>
  <c r="A31" i="77" s="1"/>
  <c r="A32" i="77" s="1"/>
  <c r="A33" i="77" s="1"/>
  <c r="C58" i="9"/>
  <c r="C55" i="9"/>
  <c r="L645" i="78"/>
  <c r="M645" i="78" s="1"/>
  <c r="N645" i="78" s="1"/>
  <c r="L643" i="78"/>
  <c r="L639" i="78"/>
  <c r="M639" i="78" s="1"/>
  <c r="N639" i="78" s="1"/>
  <c r="L647" i="78"/>
  <c r="M647" i="78" s="1"/>
  <c r="N647" i="78" s="1"/>
  <c r="L642" i="78"/>
  <c r="M642" i="78" s="1"/>
  <c r="N642" i="78" s="1"/>
  <c r="L638" i="78"/>
  <c r="L640" i="78"/>
  <c r="M640" i="78" s="1"/>
  <c r="N640" i="78" s="1"/>
  <c r="L646" i="78"/>
  <c r="M646" i="78" s="1"/>
  <c r="N646" i="78" s="1"/>
  <c r="L644" i="78"/>
  <c r="M644" i="78" s="1"/>
  <c r="N644" i="78" s="1"/>
  <c r="L641" i="78"/>
  <c r="L637" i="78"/>
  <c r="M643" i="78"/>
  <c r="N643" i="78" s="1"/>
  <c r="I643" i="78"/>
  <c r="M641" i="78"/>
  <c r="N641" i="78" s="1"/>
  <c r="I641" i="78"/>
  <c r="I642" i="78"/>
  <c r="I644" i="78"/>
  <c r="I639" i="78"/>
  <c r="I646" i="78"/>
  <c r="I645" i="78"/>
  <c r="I647" i="78"/>
  <c r="I640" i="78"/>
  <c r="M638" i="78"/>
  <c r="N638" i="78" s="1"/>
  <c r="I638" i="78"/>
  <c r="M637" i="78"/>
  <c r="J656" i="78"/>
  <c r="H648" i="78"/>
  <c r="I637" i="78"/>
  <c r="C50" i="3"/>
  <c r="I300" i="78"/>
  <c r="I482" i="78"/>
  <c r="H493" i="78"/>
  <c r="J501" i="78"/>
  <c r="L490" i="78"/>
  <c r="L486" i="78"/>
  <c r="L482" i="78"/>
  <c r="L492" i="78"/>
  <c r="L491" i="78"/>
  <c r="L487" i="78"/>
  <c r="L483" i="78"/>
  <c r="L489" i="78"/>
  <c r="L485" i="78"/>
  <c r="L488" i="78"/>
  <c r="L484" i="78"/>
  <c r="L398" i="78"/>
  <c r="M398" i="78" s="1"/>
  <c r="N398" i="78" s="1"/>
  <c r="L428" i="78"/>
  <c r="L424" i="78"/>
  <c r="L420" i="78"/>
  <c r="L427" i="78"/>
  <c r="L423" i="78"/>
  <c r="L426" i="78"/>
  <c r="L422" i="78"/>
  <c r="L430" i="78"/>
  <c r="L429" i="78"/>
  <c r="L425" i="78"/>
  <c r="L421" i="78"/>
  <c r="F233" i="78"/>
  <c r="D245" i="78"/>
  <c r="D276" i="78"/>
  <c r="F264" i="78"/>
  <c r="E28" i="9"/>
  <c r="D179" i="3"/>
  <c r="E176" i="3" s="1"/>
  <c r="G176" i="3" s="1"/>
  <c r="I549" i="78"/>
  <c r="H110" i="78"/>
  <c r="H117" i="78"/>
  <c r="I117" i="78" s="1"/>
  <c r="H112" i="78"/>
  <c r="H41" i="15"/>
  <c r="D84" i="3" s="1"/>
  <c r="D93" i="3" s="1"/>
  <c r="D102" i="3" s="1"/>
  <c r="D16" i="7"/>
  <c r="D20" i="7" s="1"/>
  <c r="D26" i="7" s="1"/>
  <c r="E34" i="5" s="1"/>
  <c r="P25" i="13"/>
  <c r="H111" i="78"/>
  <c r="H115" i="78"/>
  <c r="I115" i="78" s="1"/>
  <c r="H118" i="78"/>
  <c r="H116" i="78"/>
  <c r="H113" i="78"/>
  <c r="H119" i="78"/>
  <c r="H120" i="78"/>
  <c r="A70" i="75"/>
  <c r="A71" i="75" s="1"/>
  <c r="A72" i="75" s="1"/>
  <c r="A73" i="75" s="1"/>
  <c r="A74" i="75" s="1"/>
  <c r="A75" i="75" s="1"/>
  <c r="A76" i="75" s="1"/>
  <c r="A77" i="75" s="1"/>
  <c r="A78" i="75" s="1"/>
  <c r="A79" i="75" s="1"/>
  <c r="A80" i="75" s="1"/>
  <c r="A81" i="75" s="1"/>
  <c r="A82" i="75" s="1"/>
  <c r="A83" i="75" s="1"/>
  <c r="A84" i="75" s="1"/>
  <c r="A85" i="75" s="1"/>
  <c r="E16" i="5"/>
  <c r="G14" i="24" s="1"/>
  <c r="I611" i="78"/>
  <c r="J625" i="78"/>
  <c r="I456" i="78"/>
  <c r="I612" i="78"/>
  <c r="H462" i="78"/>
  <c r="I394" i="78"/>
  <c r="J563" i="78"/>
  <c r="I547" i="78"/>
  <c r="I298" i="78"/>
  <c r="I515" i="78"/>
  <c r="F270" i="78"/>
  <c r="E271" i="78"/>
  <c r="F209" i="78"/>
  <c r="E241" i="78"/>
  <c r="F241" i="78" s="1"/>
  <c r="I548" i="78"/>
  <c r="F514" i="78"/>
  <c r="I514" i="78" s="1"/>
  <c r="F21" i="78"/>
  <c r="E22" i="78"/>
  <c r="D524" i="78"/>
  <c r="F512" i="78"/>
  <c r="I512" i="78" s="1"/>
  <c r="J512" i="78" s="1"/>
  <c r="E516" i="78"/>
  <c r="F515" i="78"/>
  <c r="F330" i="78"/>
  <c r="E331" i="78"/>
  <c r="F302" i="78"/>
  <c r="I302" i="78" s="1"/>
  <c r="E303" i="78"/>
  <c r="E50" i="78"/>
  <c r="F49" i="78"/>
  <c r="Q26" i="20"/>
  <c r="R58" i="29"/>
  <c r="F58" i="16"/>
  <c r="F25" i="16"/>
  <c r="G157" i="3"/>
  <c r="G158" i="3" s="1"/>
  <c r="F68" i="3" s="1"/>
  <c r="G11" i="9"/>
  <c r="D10" i="3" s="1"/>
  <c r="I455" i="78"/>
  <c r="J408" i="78"/>
  <c r="H400" i="78"/>
  <c r="H617" i="78"/>
  <c r="H555" i="78"/>
  <c r="I393" i="78"/>
  <c r="J470" i="78"/>
  <c r="J315" i="78"/>
  <c r="E18" i="9"/>
  <c r="H307" i="78"/>
  <c r="J532" i="78"/>
  <c r="H524" i="78"/>
  <c r="I513" i="78"/>
  <c r="M115" i="14"/>
  <c r="M122" i="14" s="1"/>
  <c r="Q115" i="14"/>
  <c r="Q122" i="14" s="1"/>
  <c r="F115" i="14"/>
  <c r="F122" i="14" s="1"/>
  <c r="K115" i="14"/>
  <c r="K122" i="14" s="1"/>
  <c r="P51" i="13"/>
  <c r="P56" i="13"/>
  <c r="P45" i="13"/>
  <c r="L48" i="78"/>
  <c r="L55" i="78"/>
  <c r="Q46" i="78"/>
  <c r="Q64" i="78" s="1"/>
  <c r="L57" i="78"/>
  <c r="L272" i="78"/>
  <c r="L267" i="78"/>
  <c r="L274" i="78"/>
  <c r="L268" i="78"/>
  <c r="L300" i="78"/>
  <c r="M300" i="78" s="1"/>
  <c r="N300" i="78" s="1"/>
  <c r="G171" i="74"/>
  <c r="L391" i="78"/>
  <c r="M391" i="78" s="1"/>
  <c r="N391" i="78" s="1"/>
  <c r="G115" i="14"/>
  <c r="G122" i="14" s="1"/>
  <c r="R87" i="14"/>
  <c r="R89" i="14" s="1"/>
  <c r="D67" i="25" s="1"/>
  <c r="U58" i="13"/>
  <c r="P47" i="13"/>
  <c r="D200" i="75"/>
  <c r="O115" i="14"/>
  <c r="O122" i="14" s="1"/>
  <c r="P115" i="14"/>
  <c r="P122" i="14" s="1"/>
  <c r="G70" i="9"/>
  <c r="D27" i="25" s="1"/>
  <c r="H115" i="14"/>
  <c r="H122" i="14" s="1"/>
  <c r="N115" i="14"/>
  <c r="N122" i="14" s="1"/>
  <c r="E66" i="58"/>
  <c r="G75" i="9"/>
  <c r="G82" i="9" s="1"/>
  <c r="L393" i="78"/>
  <c r="M393" i="78" s="1"/>
  <c r="N393" i="78" s="1"/>
  <c r="A91" i="44"/>
  <c r="A92" i="44" s="1"/>
  <c r="A93" i="44" s="1"/>
  <c r="A94" i="44" s="1"/>
  <c r="A95" i="44" s="1"/>
  <c r="A96" i="44" s="1"/>
  <c r="A97" i="44" s="1"/>
  <c r="H12" i="44"/>
  <c r="A197" i="74"/>
  <c r="A198" i="74" s="1"/>
  <c r="A199" i="74" s="1"/>
  <c r="A200" i="74" s="1"/>
  <c r="A201" i="74" s="1"/>
  <c r="A202" i="74" s="1"/>
  <c r="A203" i="74" s="1"/>
  <c r="A204" i="74" s="1"/>
  <c r="C50" i="25" s="1"/>
  <c r="L265" i="78"/>
  <c r="L270" i="78"/>
  <c r="L273" i="78"/>
  <c r="G188" i="74"/>
  <c r="D204" i="74"/>
  <c r="L271" i="78"/>
  <c r="L266" i="78"/>
  <c r="L269" i="78"/>
  <c r="D89" i="25"/>
  <c r="D88" i="25"/>
  <c r="L41" i="15"/>
  <c r="D163" i="25" s="1"/>
  <c r="D167" i="25" s="1"/>
  <c r="M58" i="13"/>
  <c r="D31" i="25" s="1"/>
  <c r="G31" i="25" s="1"/>
  <c r="F184" i="75"/>
  <c r="G184" i="75"/>
  <c r="F131" i="75"/>
  <c r="F135" i="75" s="1"/>
  <c r="G131" i="75"/>
  <c r="L115" i="14"/>
  <c r="L122" i="14" s="1"/>
  <c r="K58" i="13"/>
  <c r="O58" i="13"/>
  <c r="D33" i="25" s="1"/>
  <c r="G33" i="25" s="1"/>
  <c r="F123" i="74"/>
  <c r="G123" i="74" s="1"/>
  <c r="K41" i="15"/>
  <c r="D177" i="25"/>
  <c r="P82" i="20"/>
  <c r="F177" i="25" s="1"/>
  <c r="Q108" i="78"/>
  <c r="Q126" i="78" s="1"/>
  <c r="L109" i="78"/>
  <c r="P55" i="13"/>
  <c r="N58" i="13"/>
  <c r="D32" i="25" s="1"/>
  <c r="G32" i="25" s="1"/>
  <c r="F58" i="13"/>
  <c r="L394" i="78"/>
  <c r="E194" i="74"/>
  <c r="F156" i="74"/>
  <c r="E190" i="75"/>
  <c r="F30" i="21"/>
  <c r="F31" i="21" s="1"/>
  <c r="D137" i="25" s="1"/>
  <c r="G142" i="25" s="1"/>
  <c r="D87" i="25"/>
  <c r="D34" i="7"/>
  <c r="L50" i="78"/>
  <c r="E55" i="9"/>
  <c r="G55" i="9" s="1"/>
  <c r="D11" i="25" s="1"/>
  <c r="G11" i="25" s="1"/>
  <c r="G156" i="25"/>
  <c r="G158" i="25" s="1"/>
  <c r="G159" i="25" s="1"/>
  <c r="G145" i="74"/>
  <c r="G146" i="74" s="1"/>
  <c r="L515" i="78"/>
  <c r="M515" i="78" s="1"/>
  <c r="N515" i="78" s="1"/>
  <c r="L522" i="78"/>
  <c r="M522" i="78" s="1"/>
  <c r="N522" i="78" s="1"/>
  <c r="L514" i="78"/>
  <c r="M514" i="78" s="1"/>
  <c r="N514" i="78" s="1"/>
  <c r="L521" i="78"/>
  <c r="M521" i="78" s="1"/>
  <c r="N521" i="78" s="1"/>
  <c r="L516" i="78"/>
  <c r="M516" i="78" s="1"/>
  <c r="N516" i="78" s="1"/>
  <c r="L520" i="78"/>
  <c r="M520" i="78" s="1"/>
  <c r="N520" i="78" s="1"/>
  <c r="L517" i="78"/>
  <c r="M517" i="78" s="1"/>
  <c r="N517" i="78" s="1"/>
  <c r="L513" i="78"/>
  <c r="L518" i="78"/>
  <c r="M518" i="78" s="1"/>
  <c r="N518" i="78" s="1"/>
  <c r="L523" i="78"/>
  <c r="M523" i="78" s="1"/>
  <c r="N523" i="78" s="1"/>
  <c r="L519" i="78"/>
  <c r="M519" i="78" s="1"/>
  <c r="N519" i="78" s="1"/>
  <c r="E115" i="14"/>
  <c r="E122" i="14" s="1"/>
  <c r="M295" i="78"/>
  <c r="N295" i="78" s="1"/>
  <c r="L304" i="78"/>
  <c r="M304" i="78" s="1"/>
  <c r="N304" i="78" s="1"/>
  <c r="L299" i="78"/>
  <c r="M299" i="78" s="1"/>
  <c r="N299" i="78" s="1"/>
  <c r="P299" i="78" s="1"/>
  <c r="L296" i="78"/>
  <c r="M296" i="78" s="1"/>
  <c r="N296" i="78" s="1"/>
  <c r="L302" i="78"/>
  <c r="M302" i="78" s="1"/>
  <c r="N302" i="78" s="1"/>
  <c r="L298" i="78"/>
  <c r="M298" i="78" s="1"/>
  <c r="N298" i="78" s="1"/>
  <c r="L297" i="78"/>
  <c r="M297" i="78" s="1"/>
  <c r="N297" i="78" s="1"/>
  <c r="L306" i="78"/>
  <c r="M306" i="78" s="1"/>
  <c r="N306" i="78" s="1"/>
  <c r="L49" i="78"/>
  <c r="L58" i="78"/>
  <c r="L56" i="78"/>
  <c r="L53" i="78"/>
  <c r="L301" i="78"/>
  <c r="M301" i="78" s="1"/>
  <c r="N301" i="78" s="1"/>
  <c r="L52" i="78"/>
  <c r="C204" i="74"/>
  <c r="L51" i="78"/>
  <c r="F129" i="74"/>
  <c r="G129" i="74" s="1"/>
  <c r="L233" i="78"/>
  <c r="C148" i="74"/>
  <c r="L303" i="78"/>
  <c r="M303" i="78" s="1"/>
  <c r="N303" i="78" s="1"/>
  <c r="L54" i="78"/>
  <c r="C200" i="75"/>
  <c r="F189" i="75"/>
  <c r="G189" i="75" s="1"/>
  <c r="L608" i="78"/>
  <c r="M608" i="78" s="1"/>
  <c r="N608" i="78" s="1"/>
  <c r="O608" i="78" s="1"/>
  <c r="L606" i="78"/>
  <c r="L609" i="78"/>
  <c r="M609" i="78" s="1"/>
  <c r="N609" i="78" s="1"/>
  <c r="O609" i="78" s="1"/>
  <c r="L614" i="78"/>
  <c r="M614" i="78" s="1"/>
  <c r="N614" i="78" s="1"/>
  <c r="O614" i="78" s="1"/>
  <c r="L612" i="78"/>
  <c r="M612" i="78" s="1"/>
  <c r="N612" i="78" s="1"/>
  <c r="L615" i="78"/>
  <c r="M615" i="78" s="1"/>
  <c r="N615" i="78" s="1"/>
  <c r="L616" i="78"/>
  <c r="M616" i="78" s="1"/>
  <c r="N616" i="78" s="1"/>
  <c r="M605" i="78"/>
  <c r="N605" i="78" s="1"/>
  <c r="L607" i="78"/>
  <c r="M607" i="78" s="1"/>
  <c r="N607" i="78" s="1"/>
  <c r="O607" i="78" s="1"/>
  <c r="L610" i="78"/>
  <c r="M610" i="78" s="1"/>
  <c r="N610" i="78" s="1"/>
  <c r="L613" i="78"/>
  <c r="M613" i="78" s="1"/>
  <c r="N613" i="78" s="1"/>
  <c r="O613" i="78" s="1"/>
  <c r="L611" i="78"/>
  <c r="M611" i="78" s="1"/>
  <c r="N611" i="78" s="1"/>
  <c r="R79" i="14"/>
  <c r="R81" i="14" s="1"/>
  <c r="D66" i="25" s="1"/>
  <c r="P46" i="13"/>
  <c r="L392" i="78"/>
  <c r="M392" i="78" s="1"/>
  <c r="N392" i="78" s="1"/>
  <c r="M388" i="78"/>
  <c r="N388" i="78" s="1"/>
  <c r="L389" i="78"/>
  <c r="Q69" i="20"/>
  <c r="D179" i="25" s="1"/>
  <c r="D609" i="78"/>
  <c r="F610" i="78"/>
  <c r="I610" i="78" s="1"/>
  <c r="C21" i="5"/>
  <c r="A20" i="5"/>
  <c r="A21" i="5" s="1"/>
  <c r="A22" i="5" s="1"/>
  <c r="A23" i="5" s="1"/>
  <c r="C23" i="5"/>
  <c r="F392" i="78"/>
  <c r="I392" i="78" s="1"/>
  <c r="D391" i="78"/>
  <c r="A19" i="28"/>
  <c r="A20" i="28" s="1"/>
  <c r="B96" i="28"/>
  <c r="G11" i="3"/>
  <c r="A34" i="78"/>
  <c r="A35" i="78" s="1"/>
  <c r="A36" i="78" s="1"/>
  <c r="A37" i="78" s="1"/>
  <c r="A38" i="78" s="1"/>
  <c r="A39" i="78" s="1"/>
  <c r="A40" i="78" s="1"/>
  <c r="A41" i="78" s="1"/>
  <c r="A42" i="78" s="1"/>
  <c r="A43" i="78" s="1"/>
  <c r="A44" i="78" s="1"/>
  <c r="A45" i="78" s="1"/>
  <c r="A46" i="78" s="1"/>
  <c r="D453" i="78"/>
  <c r="F454" i="78"/>
  <c r="I454" i="78" s="1"/>
  <c r="A22" i="24"/>
  <c r="C22" i="24"/>
  <c r="C24" i="24"/>
  <c r="A65" i="9"/>
  <c r="A66" i="9" s="1"/>
  <c r="A67" i="9" s="1"/>
  <c r="A68" i="9" s="1"/>
  <c r="A69" i="9" s="1"/>
  <c r="A70" i="9" s="1"/>
  <c r="A71" i="9" s="1"/>
  <c r="A72" i="9" s="1"/>
  <c r="A73" i="9" s="1"/>
  <c r="A74" i="9" s="1"/>
  <c r="A75" i="9" s="1"/>
  <c r="A22" i="3"/>
  <c r="E178" i="3"/>
  <c r="G178" i="3" s="1"/>
  <c r="E88" i="78"/>
  <c r="F87" i="78"/>
  <c r="E242" i="78"/>
  <c r="G25" i="9"/>
  <c r="D25" i="3" s="1"/>
  <c r="A34" i="76"/>
  <c r="A35" i="76" s="1"/>
  <c r="A36" i="76" s="1"/>
  <c r="A37" i="76" s="1"/>
  <c r="A38" i="76" s="1"/>
  <c r="A39" i="76" s="1"/>
  <c r="A40" i="76" s="1"/>
  <c r="A41" i="76" s="1"/>
  <c r="A42" i="76" s="1"/>
  <c r="A43" i="76" s="1"/>
  <c r="A44" i="76" s="1"/>
  <c r="A45" i="76" s="1"/>
  <c r="A46" i="76" s="1"/>
  <c r="A47" i="76" s="1"/>
  <c r="A48" i="76" s="1"/>
  <c r="A49" i="76" s="1"/>
  <c r="A50" i="76" s="1"/>
  <c r="F550" i="78"/>
  <c r="I550" i="78" s="1"/>
  <c r="E551" i="78"/>
  <c r="E396" i="78"/>
  <c r="F395" i="78"/>
  <c r="I395" i="78" s="1"/>
  <c r="A34" i="77"/>
  <c r="A35" i="77" s="1"/>
  <c r="A36" i="77" s="1"/>
  <c r="A37" i="77" s="1"/>
  <c r="A38" i="77" s="1"/>
  <c r="A39" i="77" s="1"/>
  <c r="A40" i="77" s="1"/>
  <c r="A41" i="77" s="1"/>
  <c r="A42" i="77" s="1"/>
  <c r="A43" i="77" s="1"/>
  <c r="A44" i="77" s="1"/>
  <c r="A45" i="77" s="1"/>
  <c r="A46" i="77" s="1"/>
  <c r="A47" i="77" s="1"/>
  <c r="A48" i="77" s="1"/>
  <c r="A49" i="77" s="1"/>
  <c r="A50" i="77" s="1"/>
  <c r="F206" i="78"/>
  <c r="D205" i="78"/>
  <c r="A16" i="25"/>
  <c r="D172" i="78"/>
  <c r="F173" i="78"/>
  <c r="E14" i="24"/>
  <c r="I14" i="24" s="1"/>
  <c r="D47" i="7"/>
  <c r="D54" i="9"/>
  <c r="D61" i="9" s="1"/>
  <c r="L395" i="78"/>
  <c r="M395" i="78" s="1"/>
  <c r="N395" i="78" s="1"/>
  <c r="L399" i="78"/>
  <c r="M399" i="78" s="1"/>
  <c r="N399" i="78" s="1"/>
  <c r="L396" i="78"/>
  <c r="M396" i="78" s="1"/>
  <c r="N396" i="78" s="1"/>
  <c r="L548" i="78"/>
  <c r="M548" i="78" s="1"/>
  <c r="N548" i="78" s="1"/>
  <c r="O548" i="78" s="1"/>
  <c r="L553" i="78"/>
  <c r="M553" i="78" s="1"/>
  <c r="N553" i="78" s="1"/>
  <c r="L551" i="78"/>
  <c r="M551" i="78" s="1"/>
  <c r="N551" i="78" s="1"/>
  <c r="L545" i="78"/>
  <c r="M545" i="78" s="1"/>
  <c r="N545" i="78" s="1"/>
  <c r="L554" i="78"/>
  <c r="M554" i="78" s="1"/>
  <c r="N554" i="78" s="1"/>
  <c r="L544" i="78"/>
  <c r="M543" i="78"/>
  <c r="N543" i="78" s="1"/>
  <c r="L547" i="78"/>
  <c r="M547" i="78" s="1"/>
  <c r="N547" i="78" s="1"/>
  <c r="L549" i="78"/>
  <c r="M549" i="78" s="1"/>
  <c r="N549" i="78" s="1"/>
  <c r="L550" i="78"/>
  <c r="M550" i="78" s="1"/>
  <c r="N550" i="78" s="1"/>
  <c r="L546" i="78"/>
  <c r="M546" i="78" s="1"/>
  <c r="N546" i="78" s="1"/>
  <c r="L552" i="78"/>
  <c r="M552" i="78" s="1"/>
  <c r="N552" i="78" s="1"/>
  <c r="E79" i="58"/>
  <c r="E78" i="58"/>
  <c r="F18" i="78"/>
  <c r="D17" i="78"/>
  <c r="I92" i="28"/>
  <c r="F100" i="28"/>
  <c r="A35" i="7"/>
  <c r="A36" i="7" s="1"/>
  <c r="A37" i="7" s="1"/>
  <c r="A38" i="7" s="1"/>
  <c r="A39" i="7" s="1"/>
  <c r="A40" i="7" s="1"/>
  <c r="B37" i="20"/>
  <c r="A36" i="20"/>
  <c r="A37" i="20" s="1"/>
  <c r="A38" i="20" s="1"/>
  <c r="A39" i="20" s="1"/>
  <c r="A40" i="20" s="1"/>
  <c r="D18" i="21"/>
  <c r="F16" i="21"/>
  <c r="F18" i="21" s="1"/>
  <c r="D138" i="3" s="1"/>
  <c r="F210" i="78"/>
  <c r="E211" i="78"/>
  <c r="F85" i="78"/>
  <c r="D84" i="78"/>
  <c r="G36" i="9"/>
  <c r="D142" i="78"/>
  <c r="F143" i="78"/>
  <c r="D577" i="78"/>
  <c r="F578" i="78"/>
  <c r="F546" i="78"/>
  <c r="I546" i="78" s="1"/>
  <c r="D545" i="78"/>
  <c r="D34" i="3"/>
  <c r="G32" i="3"/>
  <c r="E178" i="78"/>
  <c r="F177" i="78"/>
  <c r="E458" i="78"/>
  <c r="F457" i="78"/>
  <c r="I457" i="78" s="1"/>
  <c r="L397" i="78"/>
  <c r="M397" i="78" s="1"/>
  <c r="N397" i="78" s="1"/>
  <c r="L390" i="78"/>
  <c r="M390" i="78" s="1"/>
  <c r="N390" i="78" s="1"/>
  <c r="R112" i="14"/>
  <c r="R114" i="14" s="1"/>
  <c r="D69" i="25" s="1"/>
  <c r="G69" i="25" s="1"/>
  <c r="M46" i="15"/>
  <c r="D85" i="25" s="1"/>
  <c r="M39" i="15"/>
  <c r="O512" i="78"/>
  <c r="P512" i="78"/>
  <c r="I94" i="28"/>
  <c r="I98" i="28" s="1"/>
  <c r="F101" i="28" s="1"/>
  <c r="A66" i="20"/>
  <c r="A67" i="20" s="1"/>
  <c r="A68" i="20" s="1"/>
  <c r="A69" i="20" s="1"/>
  <c r="A22" i="9"/>
  <c r="G15" i="9"/>
  <c r="D14" i="3" s="1"/>
  <c r="F86" i="78"/>
  <c r="D296" i="78"/>
  <c r="F297" i="78"/>
  <c r="I297" i="78" s="1"/>
  <c r="F114" i="78"/>
  <c r="I114" i="78" s="1"/>
  <c r="D113" i="78"/>
  <c r="F613" i="78"/>
  <c r="I613" i="78" s="1"/>
  <c r="E614" i="78"/>
  <c r="F118" i="78"/>
  <c r="E119" i="78"/>
  <c r="F149" i="78"/>
  <c r="E150" i="78"/>
  <c r="D39" i="7"/>
  <c r="M26" i="15"/>
  <c r="M41" i="15" s="1"/>
  <c r="D84" i="25" s="1"/>
  <c r="G58" i="16"/>
  <c r="D95" i="25" s="1"/>
  <c r="D97" i="25" s="1"/>
  <c r="D100" i="25" s="1"/>
  <c r="D90" i="25"/>
  <c r="D115" i="25"/>
  <c r="G67" i="9"/>
  <c r="D24" i="25" s="1"/>
  <c r="G176" i="75"/>
  <c r="G57" i="9"/>
  <c r="D13" i="25" s="1"/>
  <c r="F82" i="9"/>
  <c r="F187" i="75"/>
  <c r="G186" i="75"/>
  <c r="Q71" i="20"/>
  <c r="E64" i="9"/>
  <c r="E71" i="9" s="1"/>
  <c r="F96" i="77"/>
  <c r="F68" i="9" s="1"/>
  <c r="G68" i="9" s="1"/>
  <c r="D25" i="25" s="1"/>
  <c r="F192" i="74"/>
  <c r="G192" i="74" s="1"/>
  <c r="G194" i="74" s="1"/>
  <c r="E82" i="9"/>
  <c r="F77" i="77"/>
  <c r="F58" i="9" s="1"/>
  <c r="G58" i="9" s="1"/>
  <c r="D14" i="25" s="1"/>
  <c r="F118" i="75"/>
  <c r="E120" i="75"/>
  <c r="G66" i="9"/>
  <c r="D23" i="25" s="1"/>
  <c r="G23" i="25" s="1"/>
  <c r="G60" i="9"/>
  <c r="D16" i="25" s="1"/>
  <c r="E176" i="75"/>
  <c r="D64" i="9"/>
  <c r="D71" i="9" s="1"/>
  <c r="G172" i="74"/>
  <c r="E54" i="9"/>
  <c r="E61" i="9" s="1"/>
  <c r="Q201" i="78"/>
  <c r="Q219" i="78" s="1"/>
  <c r="L202" i="78"/>
  <c r="Q160" i="78"/>
  <c r="L81" i="78"/>
  <c r="L87" i="78"/>
  <c r="L85" i="78"/>
  <c r="L89" i="78"/>
  <c r="L84" i="78"/>
  <c r="L80" i="78"/>
  <c r="L82" i="78"/>
  <c r="L88" i="78"/>
  <c r="L79" i="78"/>
  <c r="L83" i="78"/>
  <c r="L86" i="78"/>
  <c r="G56" i="9"/>
  <c r="D12" i="25" s="1"/>
  <c r="M394" i="78"/>
  <c r="N394" i="78" s="1"/>
  <c r="P96" i="77"/>
  <c r="F69" i="9" s="1"/>
  <c r="G69" i="9" s="1"/>
  <c r="D26" i="25" s="1"/>
  <c r="F195" i="75"/>
  <c r="F197" i="75" s="1"/>
  <c r="E197" i="75"/>
  <c r="M305" i="78"/>
  <c r="N305" i="78" s="1"/>
  <c r="L171" i="78"/>
  <c r="D148" i="74"/>
  <c r="L152" i="78"/>
  <c r="L581" i="78"/>
  <c r="L576" i="78"/>
  <c r="L575" i="78"/>
  <c r="L578" i="78"/>
  <c r="L579" i="78"/>
  <c r="L585" i="78"/>
  <c r="L583" i="78"/>
  <c r="L582" i="78"/>
  <c r="L584" i="78"/>
  <c r="L580" i="78"/>
  <c r="L577" i="78"/>
  <c r="M450" i="78"/>
  <c r="L458" i="78"/>
  <c r="L451" i="78"/>
  <c r="L457" i="78"/>
  <c r="L460" i="78"/>
  <c r="L454" i="78"/>
  <c r="L461" i="78"/>
  <c r="L459" i="78"/>
  <c r="L455" i="78"/>
  <c r="L452" i="78"/>
  <c r="L453" i="78"/>
  <c r="L456" i="78"/>
  <c r="Q343" i="78"/>
  <c r="L329" i="78"/>
  <c r="L335" i="78"/>
  <c r="L332" i="78"/>
  <c r="L328" i="78"/>
  <c r="L331" i="78"/>
  <c r="L333" i="78"/>
  <c r="L334" i="78"/>
  <c r="P326" i="78"/>
  <c r="L337" i="78"/>
  <c r="L327" i="78"/>
  <c r="L330" i="78"/>
  <c r="L336" i="78"/>
  <c r="L19" i="78"/>
  <c r="L25" i="78"/>
  <c r="L27" i="78"/>
  <c r="L24" i="78"/>
  <c r="L18" i="78"/>
  <c r="L17" i="78"/>
  <c r="L26" i="78"/>
  <c r="L23" i="78"/>
  <c r="L21" i="78"/>
  <c r="L22" i="78"/>
  <c r="L20" i="78"/>
  <c r="G137" i="74"/>
  <c r="Q467" i="78"/>
  <c r="Q33" i="78"/>
  <c r="G126" i="75"/>
  <c r="G124" i="74"/>
  <c r="P77" i="77"/>
  <c r="F59" i="9" s="1"/>
  <c r="G59" i="9" s="1"/>
  <c r="D15" i="25" s="1"/>
  <c r="G128" i="75"/>
  <c r="G65" i="9"/>
  <c r="D22" i="25" s="1"/>
  <c r="G22" i="25" s="1"/>
  <c r="E42" i="41" l="1"/>
  <c r="E44" i="41" s="1"/>
  <c r="E46" i="41" s="1"/>
  <c r="C47" i="41"/>
  <c r="C48" i="41"/>
  <c r="E43" i="41"/>
  <c r="E45" i="41" s="1"/>
  <c r="C43" i="41"/>
  <c r="C45" i="41" s="1"/>
  <c r="C44" i="41"/>
  <c r="C46" i="41" s="1"/>
  <c r="E47" i="41"/>
  <c r="E48" i="41"/>
  <c r="C44" i="63"/>
  <c r="C46" i="63" s="1"/>
  <c r="C43" i="63"/>
  <c r="C45" i="63" s="1"/>
  <c r="G48" i="41"/>
  <c r="G47" i="41"/>
  <c r="C47" i="63"/>
  <c r="C48" i="63"/>
  <c r="G43" i="41"/>
  <c r="G45" i="41" s="1"/>
  <c r="G44" i="41"/>
  <c r="G46" i="41" s="1"/>
  <c r="A86" i="75"/>
  <c r="A87" i="75" s="1"/>
  <c r="A88" i="75" s="1"/>
  <c r="A89" i="75" s="1"/>
  <c r="A90" i="75" s="1"/>
  <c r="A93" i="75" s="1"/>
  <c r="A94" i="75" s="1"/>
  <c r="A95" i="75" s="1"/>
  <c r="A96" i="75" s="1"/>
  <c r="C51" i="3" s="1"/>
  <c r="E177" i="3"/>
  <c r="G177" i="3" s="1"/>
  <c r="L493" i="78"/>
  <c r="Q501" i="78"/>
  <c r="Q656" i="78"/>
  <c r="L648" i="78"/>
  <c r="I648" i="78"/>
  <c r="J637" i="78"/>
  <c r="J638" i="78" s="1"/>
  <c r="J639" i="78" s="1"/>
  <c r="J640" i="78" s="1"/>
  <c r="J641" i="78" s="1"/>
  <c r="J642" i="78" s="1"/>
  <c r="J643" i="78" s="1"/>
  <c r="J644" i="78" s="1"/>
  <c r="J645" i="78" s="1"/>
  <c r="J646" i="78" s="1"/>
  <c r="J647" i="78" s="1"/>
  <c r="J654" i="78" s="1"/>
  <c r="J655" i="78" s="1"/>
  <c r="J657" i="78" s="1"/>
  <c r="R109" i="76" s="1"/>
  <c r="R110" i="76" s="1"/>
  <c r="P638" i="78"/>
  <c r="O638" i="78"/>
  <c r="O647" i="78"/>
  <c r="P647" i="78"/>
  <c r="O646" i="78"/>
  <c r="P646" i="78"/>
  <c r="P644" i="78"/>
  <c r="O644" i="78"/>
  <c r="P641" i="78"/>
  <c r="O641" i="78"/>
  <c r="N637" i="78"/>
  <c r="M648" i="78"/>
  <c r="P640" i="78"/>
  <c r="O640" i="78"/>
  <c r="O645" i="78"/>
  <c r="P645" i="78"/>
  <c r="P639" i="78"/>
  <c r="O639" i="78"/>
  <c r="O642" i="78"/>
  <c r="P642" i="78"/>
  <c r="P643" i="78"/>
  <c r="O643" i="78"/>
  <c r="M484" i="78"/>
  <c r="N484" i="78" s="1"/>
  <c r="M483" i="78"/>
  <c r="N483" i="78" s="1"/>
  <c r="M482" i="78"/>
  <c r="M488" i="78"/>
  <c r="N488" i="78" s="1"/>
  <c r="M487" i="78"/>
  <c r="N487" i="78" s="1"/>
  <c r="M486" i="78"/>
  <c r="N486" i="78" s="1"/>
  <c r="M485" i="78"/>
  <c r="N485" i="78" s="1"/>
  <c r="M491" i="78"/>
  <c r="N491" i="78" s="1"/>
  <c r="M490" i="78"/>
  <c r="N490" i="78" s="1"/>
  <c r="M489" i="78"/>
  <c r="N489" i="78" s="1"/>
  <c r="M492" i="78"/>
  <c r="N492" i="78" s="1"/>
  <c r="J482" i="78"/>
  <c r="J483" i="78" s="1"/>
  <c r="J484" i="78" s="1"/>
  <c r="J485" i="78" s="1"/>
  <c r="J486" i="78" s="1"/>
  <c r="J487" i="78" s="1"/>
  <c r="J488" i="78" s="1"/>
  <c r="J489" i="78" s="1"/>
  <c r="J490" i="78" s="1"/>
  <c r="J491" i="78" s="1"/>
  <c r="J492" i="78" s="1"/>
  <c r="J499" i="78" s="1"/>
  <c r="J500" i="78" s="1"/>
  <c r="J502" i="78" s="1"/>
  <c r="I493" i="78"/>
  <c r="M427" i="78"/>
  <c r="N427" i="78" s="1"/>
  <c r="M425" i="78"/>
  <c r="N425" i="78" s="1"/>
  <c r="M426" i="78"/>
  <c r="N426" i="78" s="1"/>
  <c r="M424" i="78"/>
  <c r="N424" i="78" s="1"/>
  <c r="M430" i="78"/>
  <c r="N430" i="78" s="1"/>
  <c r="M429" i="78"/>
  <c r="N429" i="78" s="1"/>
  <c r="M423" i="78"/>
  <c r="N423" i="78" s="1"/>
  <c r="M428" i="78"/>
  <c r="N428" i="78" s="1"/>
  <c r="M421" i="78"/>
  <c r="N421" i="78" s="1"/>
  <c r="M422" i="78"/>
  <c r="N422" i="78" s="1"/>
  <c r="L431" i="78"/>
  <c r="Q439" i="78"/>
  <c r="P362" i="78"/>
  <c r="P296" i="78"/>
  <c r="P367" i="78"/>
  <c r="P365" i="78"/>
  <c r="P366" i="78"/>
  <c r="P361" i="78"/>
  <c r="P368" i="78"/>
  <c r="P360" i="78"/>
  <c r="P363" i="78"/>
  <c r="P359" i="78"/>
  <c r="P364" i="78"/>
  <c r="P358" i="78"/>
  <c r="G179" i="3"/>
  <c r="G74" i="3" s="1"/>
  <c r="J74" i="3" s="1"/>
  <c r="I118" i="78"/>
  <c r="J129" i="78"/>
  <c r="D28" i="7"/>
  <c r="E36" i="5" s="1"/>
  <c r="G32" i="24" s="1"/>
  <c r="D29" i="7"/>
  <c r="E37" i="5" s="1"/>
  <c r="G33" i="24" s="1"/>
  <c r="D27" i="7"/>
  <c r="E35" i="5" s="1"/>
  <c r="G31" i="24" s="1"/>
  <c r="H121" i="78"/>
  <c r="I116" i="78"/>
  <c r="Q512" i="78"/>
  <c r="F60" i="3"/>
  <c r="G60" i="3" s="1"/>
  <c r="J60" i="3" s="1"/>
  <c r="F64" i="3"/>
  <c r="F162" i="3"/>
  <c r="G162" i="3" s="1"/>
  <c r="G166" i="3" s="1"/>
  <c r="G168" i="3" s="1"/>
  <c r="G172" i="25" s="1"/>
  <c r="G173" i="25" s="1"/>
  <c r="E332" i="78"/>
  <c r="F331" i="78"/>
  <c r="E517" i="78"/>
  <c r="F516" i="78"/>
  <c r="I516" i="78" s="1"/>
  <c r="F271" i="78"/>
  <c r="E272" i="78"/>
  <c r="F303" i="78"/>
  <c r="I303" i="78" s="1"/>
  <c r="E304" i="78"/>
  <c r="O304" i="78" s="1"/>
  <c r="F50" i="78"/>
  <c r="E51" i="78"/>
  <c r="E23" i="78"/>
  <c r="F22" i="78"/>
  <c r="J513" i="78"/>
  <c r="J514" i="78" s="1"/>
  <c r="J515" i="78" s="1"/>
  <c r="D180" i="25"/>
  <c r="E177" i="25" s="1"/>
  <c r="G177" i="25" s="1"/>
  <c r="F93" i="3"/>
  <c r="G93" i="3" s="1"/>
  <c r="J93" i="3" s="1"/>
  <c r="P548" i="78"/>
  <c r="D34" i="25"/>
  <c r="F133" i="74"/>
  <c r="Q284" i="78"/>
  <c r="G137" i="25"/>
  <c r="P58" i="13"/>
  <c r="E81" i="58"/>
  <c r="D64" i="25" s="1"/>
  <c r="L276" i="78"/>
  <c r="E83" i="58"/>
  <c r="D65" i="25" s="1"/>
  <c r="F105" i="44"/>
  <c r="A98" i="44"/>
  <c r="A99" i="44" s="1"/>
  <c r="A100" i="44" s="1"/>
  <c r="A101" i="44" s="1"/>
  <c r="A102" i="44" s="1"/>
  <c r="A103" i="44" s="1"/>
  <c r="A104" i="44" s="1"/>
  <c r="A105" i="44" s="1"/>
  <c r="D40" i="7"/>
  <c r="D44" i="7" s="1"/>
  <c r="D52" i="7" s="1"/>
  <c r="E33" i="24" s="1"/>
  <c r="I33" i="24" s="1"/>
  <c r="F194" i="74"/>
  <c r="P613" i="78"/>
  <c r="F190" i="75"/>
  <c r="Q408" i="78"/>
  <c r="L59" i="78"/>
  <c r="D41" i="25"/>
  <c r="P614" i="78"/>
  <c r="Q67" i="78"/>
  <c r="L119" i="78"/>
  <c r="M119" i="78" s="1"/>
  <c r="N119" i="78" s="1"/>
  <c r="L115" i="78"/>
  <c r="M115" i="78" s="1"/>
  <c r="N115" i="78" s="1"/>
  <c r="L113" i="78"/>
  <c r="M113" i="78" s="1"/>
  <c r="N113" i="78" s="1"/>
  <c r="M109" i="78"/>
  <c r="N109" i="78" s="1"/>
  <c r="L110" i="78"/>
  <c r="L116" i="78"/>
  <c r="M116" i="78" s="1"/>
  <c r="N116" i="78" s="1"/>
  <c r="L112" i="78"/>
  <c r="M112" i="78" s="1"/>
  <c r="N112" i="78" s="1"/>
  <c r="P112" i="78" s="1"/>
  <c r="L120" i="78"/>
  <c r="M120" i="78" s="1"/>
  <c r="N120" i="78" s="1"/>
  <c r="L111" i="78"/>
  <c r="M111" i="78" s="1"/>
  <c r="N111" i="78" s="1"/>
  <c r="L117" i="78"/>
  <c r="M117" i="78" s="1"/>
  <c r="N117" i="78" s="1"/>
  <c r="L114" i="78"/>
  <c r="M114" i="78" s="1"/>
  <c r="N114" i="78" s="1"/>
  <c r="L118" i="78"/>
  <c r="M118" i="78" s="1"/>
  <c r="N118" i="78" s="1"/>
  <c r="O296" i="78"/>
  <c r="L400" i="78"/>
  <c r="G38" i="25"/>
  <c r="D93" i="25"/>
  <c r="G64" i="9"/>
  <c r="G71" i="9" s="1"/>
  <c r="F68" i="25"/>
  <c r="G68" i="25" s="1"/>
  <c r="F93" i="25"/>
  <c r="F64" i="25"/>
  <c r="G64" i="25" s="1"/>
  <c r="M606" i="78"/>
  <c r="Q625" i="78"/>
  <c r="L617" i="78"/>
  <c r="P514" i="78"/>
  <c r="O514" i="78"/>
  <c r="L462" i="78"/>
  <c r="O299" i="78"/>
  <c r="L524" i="78"/>
  <c r="M513" i="78"/>
  <c r="Q532" i="78"/>
  <c r="O610" i="78"/>
  <c r="P610" i="78"/>
  <c r="L244" i="78"/>
  <c r="L238" i="78"/>
  <c r="L241" i="78"/>
  <c r="L239" i="78"/>
  <c r="L235" i="78"/>
  <c r="L237" i="78"/>
  <c r="L234" i="78"/>
  <c r="L236" i="78"/>
  <c r="L240" i="78"/>
  <c r="L243" i="78"/>
  <c r="L242" i="78"/>
  <c r="P297" i="78"/>
  <c r="O297" i="78"/>
  <c r="Q315" i="78"/>
  <c r="L307" i="78"/>
  <c r="M389" i="78"/>
  <c r="N389" i="78" s="1"/>
  <c r="O389" i="78" s="1"/>
  <c r="P612" i="78"/>
  <c r="O612" i="78"/>
  <c r="O298" i="78"/>
  <c r="P298" i="78"/>
  <c r="P304" i="78"/>
  <c r="O517" i="78"/>
  <c r="O611" i="78"/>
  <c r="P611" i="78"/>
  <c r="P302" i="78"/>
  <c r="O302" i="78"/>
  <c r="P516" i="78"/>
  <c r="O516" i="78"/>
  <c r="P515" i="78"/>
  <c r="O515" i="78"/>
  <c r="G187" i="75"/>
  <c r="G190" i="75" s="1"/>
  <c r="D40" i="25"/>
  <c r="E120" i="78"/>
  <c r="F120" i="78" s="1"/>
  <c r="I120" i="78" s="1"/>
  <c r="F119" i="78"/>
  <c r="I119" i="78" s="1"/>
  <c r="F142" i="78"/>
  <c r="D141" i="78"/>
  <c r="D111" i="3"/>
  <c r="E212" i="78"/>
  <c r="F211" i="78"/>
  <c r="A41" i="7"/>
  <c r="A42" i="7" s="1"/>
  <c r="A43" i="7" s="1"/>
  <c r="A44" i="7" s="1"/>
  <c r="P550" i="78"/>
  <c r="O550" i="78"/>
  <c r="M544" i="78"/>
  <c r="L555" i="78"/>
  <c r="Q563" i="78"/>
  <c r="F205" i="78"/>
  <c r="D204" i="78"/>
  <c r="E552" i="78"/>
  <c r="F551" i="78"/>
  <c r="I551" i="78" s="1"/>
  <c r="A76" i="9"/>
  <c r="F35" i="78"/>
  <c r="J11" i="3"/>
  <c r="E151" i="78"/>
  <c r="F150" i="78"/>
  <c r="E615" i="78"/>
  <c r="O615" i="78" s="1"/>
  <c r="F614" i="78"/>
  <c r="I614" i="78" s="1"/>
  <c r="G10" i="3"/>
  <c r="C69" i="20"/>
  <c r="E179" i="78"/>
  <c r="F178" i="78"/>
  <c r="B42" i="20"/>
  <c r="A41" i="20"/>
  <c r="A42" i="20" s="1"/>
  <c r="C40" i="7"/>
  <c r="D16" i="78"/>
  <c r="F17" i="78"/>
  <c r="O549" i="78"/>
  <c r="P549" i="78"/>
  <c r="F172" i="78"/>
  <c r="D171" i="78"/>
  <c r="B46" i="77"/>
  <c r="B46" i="76"/>
  <c r="F88" i="78"/>
  <c r="E89" i="78"/>
  <c r="F89" i="78" s="1"/>
  <c r="N35" i="78"/>
  <c r="F391" i="78"/>
  <c r="I391" i="78" s="1"/>
  <c r="D390" i="78"/>
  <c r="A70" i="20"/>
  <c r="A71" i="20" s="1"/>
  <c r="A72" i="20" s="1"/>
  <c r="A73" i="20" s="1"/>
  <c r="A74" i="20" s="1"/>
  <c r="C179" i="25"/>
  <c r="F458" i="78"/>
  <c r="I458" i="78" s="1"/>
  <c r="E459" i="78"/>
  <c r="F577" i="78"/>
  <c r="D576" i="78"/>
  <c r="F84" i="78"/>
  <c r="D83" i="78"/>
  <c r="O552" i="78"/>
  <c r="P552" i="78"/>
  <c r="O547" i="78"/>
  <c r="P547" i="78"/>
  <c r="P545" i="78"/>
  <c r="O545" i="78"/>
  <c r="C68" i="9"/>
  <c r="C65" i="9"/>
  <c r="A51" i="77"/>
  <c r="A52" i="77" s="1"/>
  <c r="A53" i="77" s="1"/>
  <c r="A54" i="77" s="1"/>
  <c r="A55" i="77" s="1"/>
  <c r="A56" i="77" s="1"/>
  <c r="C66" i="9"/>
  <c r="C64" i="9"/>
  <c r="C70" i="9"/>
  <c r="C67" i="9"/>
  <c r="C69" i="9"/>
  <c r="E397" i="78"/>
  <c r="F396" i="78"/>
  <c r="I396" i="78" s="1"/>
  <c r="C23" i="9"/>
  <c r="A51" i="76"/>
  <c r="A52" i="76" s="1"/>
  <c r="A53" i="76" s="1"/>
  <c r="A54" i="76" s="1"/>
  <c r="A55" i="76" s="1"/>
  <c r="A56" i="76" s="1"/>
  <c r="C27" i="9"/>
  <c r="C22" i="9"/>
  <c r="C25" i="9"/>
  <c r="C24" i="9"/>
  <c r="C21" i="9"/>
  <c r="C26" i="9"/>
  <c r="F242" i="78"/>
  <c r="E243" i="78"/>
  <c r="A23" i="3"/>
  <c r="A47" i="78"/>
  <c r="A48" i="78" s="1"/>
  <c r="A49" i="78" s="1"/>
  <c r="A50" i="78" s="1"/>
  <c r="A51" i="78" s="1"/>
  <c r="A52" i="78" s="1"/>
  <c r="A53" i="78" s="1"/>
  <c r="A54" i="78" s="1"/>
  <c r="A55" i="78" s="1"/>
  <c r="A56" i="78" s="1"/>
  <c r="A57" i="78" s="1"/>
  <c r="A58" i="78" s="1"/>
  <c r="F64" i="78"/>
  <c r="N64" i="78"/>
  <c r="D608" i="78"/>
  <c r="F609" i="78"/>
  <c r="I609" i="78" s="1"/>
  <c r="P609" i="78"/>
  <c r="E152" i="78"/>
  <c r="E121" i="78"/>
  <c r="D102" i="25"/>
  <c r="F113" i="78"/>
  <c r="I113" i="78" s="1"/>
  <c r="D112" i="78"/>
  <c r="F296" i="78"/>
  <c r="I296" i="78" s="1"/>
  <c r="D295" i="78"/>
  <c r="P295" i="78" s="1"/>
  <c r="D41" i="3"/>
  <c r="A23" i="9"/>
  <c r="C22" i="25"/>
  <c r="C22" i="3"/>
  <c r="J32" i="3"/>
  <c r="G34" i="3"/>
  <c r="J34" i="3" s="1"/>
  <c r="D544" i="78"/>
  <c r="F545" i="78"/>
  <c r="I545" i="78" s="1"/>
  <c r="D142" i="3"/>
  <c r="B71" i="20"/>
  <c r="P546" i="78"/>
  <c r="O546" i="78"/>
  <c r="P551" i="78"/>
  <c r="O551" i="78"/>
  <c r="C17" i="25"/>
  <c r="A17" i="25"/>
  <c r="A18" i="25" s="1"/>
  <c r="A19" i="25" s="1"/>
  <c r="A20" i="25" s="1"/>
  <c r="A21" i="25" s="1"/>
  <c r="C71" i="9"/>
  <c r="C23" i="24"/>
  <c r="A23" i="24"/>
  <c r="A24" i="24" s="1"/>
  <c r="A25" i="24" s="1"/>
  <c r="A26" i="24" s="1"/>
  <c r="A27" i="24" s="1"/>
  <c r="A28" i="24" s="1"/>
  <c r="A29" i="24" s="1"/>
  <c r="A30" i="24" s="1"/>
  <c r="A31" i="24" s="1"/>
  <c r="A32" i="24" s="1"/>
  <c r="A33" i="24" s="1"/>
  <c r="A34" i="24" s="1"/>
  <c r="A35" i="24" s="1"/>
  <c r="D452" i="78"/>
  <c r="F453" i="78"/>
  <c r="I453" i="78" s="1"/>
  <c r="A22" i="28"/>
  <c r="E90" i="78"/>
  <c r="C26" i="5"/>
  <c r="C24" i="5"/>
  <c r="A24" i="5"/>
  <c r="D43" i="25"/>
  <c r="F60" i="25"/>
  <c r="G60" i="25" s="1"/>
  <c r="G54" i="9"/>
  <c r="D10" i="25" s="1"/>
  <c r="F163" i="25"/>
  <c r="G163" i="25" s="1"/>
  <c r="G167" i="25" s="1"/>
  <c r="G169" i="25" s="1"/>
  <c r="G165" i="74" s="1"/>
  <c r="N307" i="78"/>
  <c r="Q36" i="78"/>
  <c r="G195" i="75"/>
  <c r="G197" i="75" s="1"/>
  <c r="L90" i="78"/>
  <c r="Q98" i="78"/>
  <c r="G34" i="25"/>
  <c r="G118" i="75"/>
  <c r="G120" i="75" s="1"/>
  <c r="F120" i="75"/>
  <c r="G12" i="25"/>
  <c r="D39" i="25"/>
  <c r="L28" i="78"/>
  <c r="L205" i="78"/>
  <c r="L206" i="78"/>
  <c r="L209" i="78"/>
  <c r="L210" i="78"/>
  <c r="L203" i="78"/>
  <c r="L208" i="78"/>
  <c r="L211" i="78"/>
  <c r="L204" i="78"/>
  <c r="L212" i="78"/>
  <c r="L207" i="78"/>
  <c r="L213" i="78"/>
  <c r="E179" i="25"/>
  <c r="G179" i="25" s="1"/>
  <c r="G180" i="25" s="1"/>
  <c r="O301" i="78"/>
  <c r="P301" i="78"/>
  <c r="M457" i="78"/>
  <c r="N457" i="78" s="1"/>
  <c r="P396" i="78"/>
  <c r="O396" i="78"/>
  <c r="D42" i="25"/>
  <c r="P336" i="78"/>
  <c r="P327" i="78"/>
  <c r="P334" i="78"/>
  <c r="P332" i="78"/>
  <c r="M453" i="78"/>
  <c r="N453" i="78" s="1"/>
  <c r="M461" i="78"/>
  <c r="N461" i="78" s="1"/>
  <c r="M451" i="78"/>
  <c r="N451" i="78" s="1"/>
  <c r="P395" i="78"/>
  <c r="O395" i="78"/>
  <c r="P394" i="78"/>
  <c r="O394" i="78"/>
  <c r="F71" i="9"/>
  <c r="P303" i="78"/>
  <c r="O303" i="78"/>
  <c r="P391" i="78"/>
  <c r="O391" i="78"/>
  <c r="P337" i="78"/>
  <c r="P333" i="78"/>
  <c r="P335" i="78"/>
  <c r="M452" i="78"/>
  <c r="N452" i="78" s="1"/>
  <c r="M454" i="78"/>
  <c r="N454" i="78" s="1"/>
  <c r="M458" i="78"/>
  <c r="N458" i="78" s="1"/>
  <c r="P397" i="78"/>
  <c r="O397" i="78"/>
  <c r="O390" i="78"/>
  <c r="P390" i="78"/>
  <c r="P330" i="78"/>
  <c r="P328" i="78"/>
  <c r="Q346" i="78"/>
  <c r="M459" i="78"/>
  <c r="N459" i="78" s="1"/>
  <c r="O392" i="78"/>
  <c r="P392" i="78"/>
  <c r="D38" i="25"/>
  <c r="Q470" i="78"/>
  <c r="M307" i="78"/>
  <c r="L338" i="78"/>
  <c r="P331" i="78"/>
  <c r="P329" i="78"/>
  <c r="P300" i="78"/>
  <c r="O300" i="78"/>
  <c r="M456" i="78"/>
  <c r="N456" i="78" s="1"/>
  <c r="M455" i="78"/>
  <c r="N455" i="78" s="1"/>
  <c r="M460" i="78"/>
  <c r="N460" i="78" s="1"/>
  <c r="N450" i="78"/>
  <c r="O393" i="78"/>
  <c r="P393" i="78"/>
  <c r="L586" i="78"/>
  <c r="Q594" i="78"/>
  <c r="L173" i="78"/>
  <c r="L178" i="78"/>
  <c r="L182" i="78"/>
  <c r="L180" i="78"/>
  <c r="L172" i="78"/>
  <c r="L176" i="78"/>
  <c r="L177" i="78"/>
  <c r="L175" i="78"/>
  <c r="L181" i="78"/>
  <c r="L174" i="78"/>
  <c r="L179" i="78"/>
  <c r="F61" i="9"/>
  <c r="E39" i="5"/>
  <c r="G35" i="24" s="1"/>
  <c r="G30" i="24"/>
  <c r="E38" i="5"/>
  <c r="G34" i="24" s="1"/>
  <c r="D74" i="3" l="1"/>
  <c r="D125" i="3"/>
  <c r="K109" i="76"/>
  <c r="K110" i="76" s="1"/>
  <c r="N482" i="78"/>
  <c r="N493" i="78" s="1"/>
  <c r="M493" i="78"/>
  <c r="N648" i="78"/>
  <c r="O637" i="78"/>
  <c r="O648" i="78" s="1"/>
  <c r="P637" i="78"/>
  <c r="P648" i="78" s="1"/>
  <c r="P486" i="78"/>
  <c r="O486" i="78"/>
  <c r="P489" i="78"/>
  <c r="O489" i="78"/>
  <c r="O483" i="78"/>
  <c r="P483" i="78"/>
  <c r="O492" i="78"/>
  <c r="P492" i="78"/>
  <c r="P490" i="78"/>
  <c r="O490" i="78"/>
  <c r="P485" i="78"/>
  <c r="O485" i="78"/>
  <c r="O487" i="78"/>
  <c r="P487" i="78"/>
  <c r="O484" i="78"/>
  <c r="P484" i="78"/>
  <c r="O491" i="78"/>
  <c r="P491" i="78"/>
  <c r="O488" i="78"/>
  <c r="P488" i="78"/>
  <c r="O422" i="78"/>
  <c r="P422" i="78"/>
  <c r="O429" i="78"/>
  <c r="P429" i="78"/>
  <c r="P424" i="78"/>
  <c r="O424" i="78"/>
  <c r="P423" i="78"/>
  <c r="O423" i="78"/>
  <c r="P426" i="78"/>
  <c r="O426" i="78"/>
  <c r="P427" i="78"/>
  <c r="O427" i="78"/>
  <c r="P428" i="78"/>
  <c r="O428" i="78"/>
  <c r="O425" i="78"/>
  <c r="P425" i="78"/>
  <c r="O421" i="78"/>
  <c r="P421" i="78"/>
  <c r="O430" i="78"/>
  <c r="P430" i="78"/>
  <c r="P369" i="78"/>
  <c r="N400" i="78"/>
  <c r="J516" i="78"/>
  <c r="F97" i="3"/>
  <c r="G97" i="3" s="1"/>
  <c r="J97" i="3" s="1"/>
  <c r="G70" i="74"/>
  <c r="F52" i="3"/>
  <c r="G52" i="3" s="1"/>
  <c r="J52" i="3" s="1"/>
  <c r="G46" i="75"/>
  <c r="G171" i="3"/>
  <c r="G172" i="3" s="1"/>
  <c r="F27" i="3" s="1"/>
  <c r="F25" i="3"/>
  <c r="G25" i="3" s="1"/>
  <c r="J25" i="3" s="1"/>
  <c r="G34" i="74"/>
  <c r="G61" i="74" s="1"/>
  <c r="G74" i="75"/>
  <c r="F14" i="3"/>
  <c r="G14" i="3" s="1"/>
  <c r="J14" i="3" s="1"/>
  <c r="F67" i="3"/>
  <c r="F13" i="3"/>
  <c r="G13" i="3" s="1"/>
  <c r="J13" i="3" s="1"/>
  <c r="F24" i="3"/>
  <c r="F118" i="3"/>
  <c r="G118" i="3" s="1"/>
  <c r="J118" i="3" s="1"/>
  <c r="F111" i="3"/>
  <c r="G111" i="3" s="1"/>
  <c r="J111" i="3" s="1"/>
  <c r="F110" i="3"/>
  <c r="G110" i="3" s="1"/>
  <c r="J110" i="3" s="1"/>
  <c r="F138" i="3"/>
  <c r="G138" i="3" s="1"/>
  <c r="J138" i="3" s="1"/>
  <c r="F23" i="78"/>
  <c r="E24" i="78"/>
  <c r="F304" i="78"/>
  <c r="I304" i="78" s="1"/>
  <c r="E305" i="78"/>
  <c r="F272" i="78"/>
  <c r="E273" i="78"/>
  <c r="E518" i="78"/>
  <c r="F517" i="78"/>
  <c r="I517" i="78" s="1"/>
  <c r="J517" i="78" s="1"/>
  <c r="P517" i="78"/>
  <c r="E52" i="78"/>
  <c r="F51" i="78"/>
  <c r="F332" i="78"/>
  <c r="E333" i="78"/>
  <c r="D49" i="7"/>
  <c r="D51" i="7"/>
  <c r="E32" i="24" s="1"/>
  <c r="I32" i="24" s="1"/>
  <c r="D50" i="7"/>
  <c r="E31" i="24" s="1"/>
  <c r="I31" i="24" s="1"/>
  <c r="M400" i="78"/>
  <c r="D70" i="25"/>
  <c r="O112" i="78"/>
  <c r="A106" i="44"/>
  <c r="A107" i="44" s="1"/>
  <c r="A108" i="44" s="1"/>
  <c r="A109" i="44" s="1"/>
  <c r="F113" i="44"/>
  <c r="G146" i="75"/>
  <c r="G177" i="75" s="1"/>
  <c r="G178" i="75" s="1"/>
  <c r="G93" i="25"/>
  <c r="F24" i="25"/>
  <c r="G24" i="25" s="1"/>
  <c r="Q253" i="78"/>
  <c r="F52" i="25"/>
  <c r="G52" i="25" s="1"/>
  <c r="F111" i="25"/>
  <c r="G111" i="25" s="1"/>
  <c r="D21" i="25"/>
  <c r="D37" i="25" s="1"/>
  <c r="D44" i="25" s="1"/>
  <c r="O118" i="78"/>
  <c r="P118" i="78"/>
  <c r="O120" i="78"/>
  <c r="P120" i="78"/>
  <c r="O114" i="78"/>
  <c r="P114" i="78"/>
  <c r="O113" i="78"/>
  <c r="P113" i="78"/>
  <c r="O117" i="78"/>
  <c r="P117" i="78"/>
  <c r="O116" i="78"/>
  <c r="P116" i="78"/>
  <c r="P115" i="78"/>
  <c r="O115" i="78"/>
  <c r="P111" i="78"/>
  <c r="O111" i="78"/>
  <c r="M110" i="78"/>
  <c r="Q129" i="78"/>
  <c r="O119" i="78"/>
  <c r="P119" i="78"/>
  <c r="L121" i="78"/>
  <c r="F25" i="25"/>
  <c r="G25" i="25" s="1"/>
  <c r="F14" i="25"/>
  <c r="G14" i="25" s="1"/>
  <c r="F13" i="25"/>
  <c r="G13" i="25" s="1"/>
  <c r="G142" i="74"/>
  <c r="G173" i="74" s="1"/>
  <c r="G174" i="74" s="1"/>
  <c r="F138" i="25"/>
  <c r="G138" i="25" s="1"/>
  <c r="F110" i="25"/>
  <c r="G110" i="25" s="1"/>
  <c r="F67" i="25"/>
  <c r="G67" i="25" s="1"/>
  <c r="F118" i="25"/>
  <c r="G118" i="25" s="1"/>
  <c r="F97" i="25"/>
  <c r="G97" i="25" s="1"/>
  <c r="G61" i="9"/>
  <c r="N606" i="78"/>
  <c r="M617" i="78"/>
  <c r="L245" i="78"/>
  <c r="N513" i="78"/>
  <c r="M524" i="78"/>
  <c r="A25" i="5"/>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C25" i="5"/>
  <c r="F295" i="78"/>
  <c r="I295" i="78" s="1"/>
  <c r="D307" i="78"/>
  <c r="O295" i="78"/>
  <c r="F16" i="25"/>
  <c r="G16" i="25" s="1"/>
  <c r="F27" i="25"/>
  <c r="G27" i="25" s="1"/>
  <c r="F15" i="25"/>
  <c r="G15" i="25" s="1"/>
  <c r="F113" i="25"/>
  <c r="G113" i="25" s="1"/>
  <c r="F112" i="25"/>
  <c r="G112" i="25" s="1"/>
  <c r="F26" i="25"/>
  <c r="G26" i="25" s="1"/>
  <c r="A24" i="3"/>
  <c r="C39" i="3"/>
  <c r="F243" i="78"/>
  <c r="E244" i="78"/>
  <c r="C32" i="9"/>
  <c r="C36" i="9"/>
  <c r="A57" i="76"/>
  <c r="A58" i="76" s="1"/>
  <c r="A59" i="76" s="1"/>
  <c r="A60" i="76" s="1"/>
  <c r="A61" i="76" s="1"/>
  <c r="A62" i="76" s="1"/>
  <c r="A63" i="76" s="1"/>
  <c r="A64" i="76" s="1"/>
  <c r="C35" i="9"/>
  <c r="C37" i="9"/>
  <c r="C38" i="9"/>
  <c r="C34" i="9"/>
  <c r="C33" i="9"/>
  <c r="F397" i="78"/>
  <c r="I397" i="78" s="1"/>
  <c r="E398" i="78"/>
  <c r="O398" i="78" s="1"/>
  <c r="C80" i="20"/>
  <c r="A75" i="20"/>
  <c r="A76" i="20" s="1"/>
  <c r="A77" i="20" s="1"/>
  <c r="A78" i="20" s="1"/>
  <c r="A79" i="20" s="1"/>
  <c r="A80" i="20" s="1"/>
  <c r="D389" i="78"/>
  <c r="F390" i="78"/>
  <c r="I390" i="78" s="1"/>
  <c r="J10" i="3"/>
  <c r="A77" i="9"/>
  <c r="A78" i="9" s="1"/>
  <c r="A79" i="9" s="1"/>
  <c r="A80" i="9" s="1"/>
  <c r="A81" i="9" s="1"/>
  <c r="C106" i="25"/>
  <c r="A24" i="28"/>
  <c r="B24" i="28"/>
  <c r="F544" i="78"/>
  <c r="I544" i="78" s="1"/>
  <c r="D543" i="78"/>
  <c r="A24" i="9"/>
  <c r="C23" i="3"/>
  <c r="C23" i="25"/>
  <c r="E460" i="78"/>
  <c r="F459" i="78"/>
  <c r="I459" i="78" s="1"/>
  <c r="F171" i="78"/>
  <c r="D183" i="78"/>
  <c r="F179" i="78"/>
  <c r="E180" i="78"/>
  <c r="N544" i="78"/>
  <c r="M555" i="78"/>
  <c r="F112" i="78"/>
  <c r="I112" i="78" s="1"/>
  <c r="D111" i="78"/>
  <c r="F608" i="78"/>
  <c r="I608" i="78" s="1"/>
  <c r="D607" i="78"/>
  <c r="P608" i="78"/>
  <c r="F65" i="78"/>
  <c r="N65" i="78"/>
  <c r="A59" i="78"/>
  <c r="A60" i="78" s="1"/>
  <c r="A61" i="78" s="1"/>
  <c r="A62" i="78" s="1"/>
  <c r="A63" i="78" s="1"/>
  <c r="A64" i="78" s="1"/>
  <c r="C80" i="9"/>
  <c r="A57" i="77"/>
  <c r="A58" i="77" s="1"/>
  <c r="A59" i="77" s="1"/>
  <c r="A60" i="77" s="1"/>
  <c r="C76" i="9"/>
  <c r="C75" i="9"/>
  <c r="C81" i="9"/>
  <c r="C78" i="9"/>
  <c r="C79" i="9"/>
  <c r="C77" i="9"/>
  <c r="D82" i="78"/>
  <c r="F83" i="78"/>
  <c r="D575" i="78"/>
  <c r="F576" i="78"/>
  <c r="D28" i="78"/>
  <c r="F16" i="78"/>
  <c r="F151" i="78"/>
  <c r="D203" i="78"/>
  <c r="F204" i="78"/>
  <c r="A45" i="7"/>
  <c r="A46" i="7" s="1"/>
  <c r="A47" i="7" s="1"/>
  <c r="A48" i="7" s="1"/>
  <c r="A49" i="7" s="1"/>
  <c r="F212" i="78"/>
  <c r="E213" i="78"/>
  <c r="D140" i="78"/>
  <c r="F141" i="78"/>
  <c r="D451" i="78"/>
  <c r="F452" i="78"/>
  <c r="I452" i="78" s="1"/>
  <c r="A22" i="25"/>
  <c r="F615" i="78"/>
  <c r="I615" i="78" s="1"/>
  <c r="E616" i="78"/>
  <c r="O616" i="78" s="1"/>
  <c r="P615" i="78"/>
  <c r="E553" i="78"/>
  <c r="F552" i="78"/>
  <c r="I552" i="78" s="1"/>
  <c r="C44" i="7"/>
  <c r="G39" i="25"/>
  <c r="L183" i="78"/>
  <c r="P338" i="78"/>
  <c r="L214" i="78"/>
  <c r="Q222" i="78"/>
  <c r="D125" i="25"/>
  <c r="D74" i="25"/>
  <c r="G74" i="25" s="1"/>
  <c r="N462" i="78"/>
  <c r="P452" i="78"/>
  <c r="O452" i="78"/>
  <c r="O451" i="78"/>
  <c r="P451" i="78"/>
  <c r="O453" i="78"/>
  <c r="P453" i="78"/>
  <c r="Q191" i="78"/>
  <c r="G10" i="25"/>
  <c r="D17" i="25"/>
  <c r="P460" i="78"/>
  <c r="O460" i="78"/>
  <c r="P459" i="78"/>
  <c r="O459" i="78"/>
  <c r="P454" i="78"/>
  <c r="O454" i="78"/>
  <c r="P455" i="78"/>
  <c r="O455" i="78"/>
  <c r="P458" i="78"/>
  <c r="O458" i="78"/>
  <c r="P456" i="78"/>
  <c r="O456" i="78"/>
  <c r="M462" i="78"/>
  <c r="P457" i="78"/>
  <c r="O457" i="78"/>
  <c r="E30" i="24"/>
  <c r="E35" i="24" s="1"/>
  <c r="I35" i="24" s="1"/>
  <c r="E34" i="24"/>
  <c r="I34" i="24" s="1"/>
  <c r="P482" i="78" l="1"/>
  <c r="P493" i="78" s="1"/>
  <c r="O482" i="78"/>
  <c r="Q482" i="78" s="1"/>
  <c r="Q483" i="78" s="1"/>
  <c r="Q484" i="78" s="1"/>
  <c r="Q485" i="78" s="1"/>
  <c r="Q486" i="78" s="1"/>
  <c r="Q487" i="78" s="1"/>
  <c r="Q488" i="78" s="1"/>
  <c r="Q489" i="78" s="1"/>
  <c r="Q490" i="78" s="1"/>
  <c r="Q491" i="78" s="1"/>
  <c r="Q492" i="78" s="1"/>
  <c r="Q499" i="78" s="1"/>
  <c r="Q500" i="78" s="1"/>
  <c r="Q502" i="78" s="1"/>
  <c r="K109" i="77" s="1"/>
  <c r="A61" i="77"/>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Q637" i="78"/>
  <c r="Q638" i="78" s="1"/>
  <c r="Q639" i="78" s="1"/>
  <c r="Q640" i="78" s="1"/>
  <c r="Q641" i="78" s="1"/>
  <c r="Q642" i="78" s="1"/>
  <c r="Q643" i="78" s="1"/>
  <c r="Q644" i="78" s="1"/>
  <c r="Q645" i="78" s="1"/>
  <c r="Q646" i="78" s="1"/>
  <c r="Q647" i="78" s="1"/>
  <c r="Q654" i="78" s="1"/>
  <c r="Q655" i="78" s="1"/>
  <c r="Q657" i="78" s="1"/>
  <c r="R109" i="77" s="1"/>
  <c r="R110" i="77" s="1"/>
  <c r="F26" i="3"/>
  <c r="G41" i="3"/>
  <c r="J41" i="3" s="1"/>
  <c r="F113" i="3"/>
  <c r="G113" i="3" s="1"/>
  <c r="J113" i="3" s="1"/>
  <c r="F15" i="3"/>
  <c r="F112" i="3"/>
  <c r="F16" i="3"/>
  <c r="G16" i="3" s="1"/>
  <c r="J16" i="3" s="1"/>
  <c r="G142" i="3"/>
  <c r="J142" i="3" s="1"/>
  <c r="F305" i="78"/>
  <c r="I305" i="78" s="1"/>
  <c r="P305" i="78"/>
  <c r="E307" i="78"/>
  <c r="E309" i="78" s="1"/>
  <c r="E306" i="78"/>
  <c r="O305" i="78"/>
  <c r="E53" i="78"/>
  <c r="F52" i="78"/>
  <c r="E274" i="78"/>
  <c r="F273" i="78"/>
  <c r="O543" i="78"/>
  <c r="P543" i="78"/>
  <c r="F24" i="78"/>
  <c r="E25" i="78"/>
  <c r="P553" i="78"/>
  <c r="O553" i="78"/>
  <c r="E519" i="78"/>
  <c r="F518" i="78"/>
  <c r="I518" i="78" s="1"/>
  <c r="J518" i="78" s="1"/>
  <c r="P518" i="78"/>
  <c r="O518" i="78"/>
  <c r="E334" i="78"/>
  <c r="F333" i="78"/>
  <c r="Q295" i="78"/>
  <c r="Q296" i="78" s="1"/>
  <c r="Q297" i="78" s="1"/>
  <c r="Q298" i="78" s="1"/>
  <c r="Q299" i="78" s="1"/>
  <c r="Q300" i="78" s="1"/>
  <c r="Q301" i="78" s="1"/>
  <c r="Q302" i="78" s="1"/>
  <c r="Q303" i="78" s="1"/>
  <c r="Q304" i="78" s="1"/>
  <c r="D28" i="25"/>
  <c r="G21" i="25"/>
  <c r="G37" i="25" s="1"/>
  <c r="F115" i="44"/>
  <c r="A110" i="44"/>
  <c r="A111" i="44" s="1"/>
  <c r="A112" i="44" s="1"/>
  <c r="A113" i="44" s="1"/>
  <c r="A114" i="44" s="1"/>
  <c r="A115" i="44" s="1"/>
  <c r="A116" i="44" s="1"/>
  <c r="A117" i="44" s="1"/>
  <c r="A118" i="44" s="1"/>
  <c r="A119" i="44" s="1"/>
  <c r="A120" i="44" s="1"/>
  <c r="A121" i="44" s="1"/>
  <c r="A122" i="44" s="1"/>
  <c r="A123" i="44" s="1"/>
  <c r="A124" i="44" s="1"/>
  <c r="G41" i="25"/>
  <c r="G40" i="25"/>
  <c r="G115" i="25"/>
  <c r="N110" i="78"/>
  <c r="M121" i="78"/>
  <c r="G17" i="25"/>
  <c r="F18" i="25" s="1"/>
  <c r="G42" i="25"/>
  <c r="O513" i="78"/>
  <c r="P513" i="78"/>
  <c r="N524" i="78"/>
  <c r="N617" i="78"/>
  <c r="O606" i="78"/>
  <c r="F451" i="78"/>
  <c r="I451" i="78" s="1"/>
  <c r="D450" i="78"/>
  <c r="O450" i="78" s="1"/>
  <c r="C50" i="7"/>
  <c r="C49" i="7"/>
  <c r="F82" i="78"/>
  <c r="D81" i="78"/>
  <c r="A82" i="9"/>
  <c r="C82" i="9"/>
  <c r="A65" i="76"/>
  <c r="A66" i="76" s="1"/>
  <c r="A67" i="76" s="1"/>
  <c r="A68" i="76" s="1"/>
  <c r="A69" i="76" s="1"/>
  <c r="A70" i="76" s="1"/>
  <c r="A71" i="76" s="1"/>
  <c r="A72" i="76" s="1"/>
  <c r="A73" i="76" s="1"/>
  <c r="A74" i="76" s="1"/>
  <c r="A75" i="76" s="1"/>
  <c r="A76" i="76" s="1"/>
  <c r="A77" i="76" s="1"/>
  <c r="G43" i="25"/>
  <c r="J295" i="78"/>
  <c r="J296" i="78" s="1"/>
  <c r="J297" i="78" s="1"/>
  <c r="J298" i="78" s="1"/>
  <c r="J299" i="78" s="1"/>
  <c r="J300" i="78" s="1"/>
  <c r="J301" i="78" s="1"/>
  <c r="J302" i="78" s="1"/>
  <c r="J303" i="78" s="1"/>
  <c r="J304" i="78" s="1"/>
  <c r="F140" i="78"/>
  <c r="D152" i="78"/>
  <c r="E154" i="78" s="1"/>
  <c r="A50" i="7"/>
  <c r="C34" i="24"/>
  <c r="C30" i="24"/>
  <c r="C35" i="24"/>
  <c r="D574" i="78"/>
  <c r="F575" i="78"/>
  <c r="F111" i="78"/>
  <c r="I111" i="78" s="1"/>
  <c r="D110" i="78"/>
  <c r="E461" i="78"/>
  <c r="O461" i="78" s="1"/>
  <c r="F460" i="78"/>
  <c r="I460" i="78" s="1"/>
  <c r="A25" i="9"/>
  <c r="C24" i="3"/>
  <c r="C24" i="25"/>
  <c r="A26" i="28"/>
  <c r="A27" i="28" s="1"/>
  <c r="E399" i="78"/>
  <c r="O399" i="78" s="1"/>
  <c r="F398" i="78"/>
  <c r="I398" i="78" s="1"/>
  <c r="P398" i="78"/>
  <c r="F553" i="78"/>
  <c r="I553" i="78" s="1"/>
  <c r="E554" i="78"/>
  <c r="E555" i="78"/>
  <c r="F616" i="78"/>
  <c r="I616" i="78" s="1"/>
  <c r="P616" i="78"/>
  <c r="E617" i="78"/>
  <c r="F213" i="78"/>
  <c r="E214" i="78"/>
  <c r="C52" i="7"/>
  <c r="D202" i="78"/>
  <c r="F203" i="78"/>
  <c r="N66" i="78"/>
  <c r="F66" i="78"/>
  <c r="A65" i="78"/>
  <c r="A66" i="78" s="1"/>
  <c r="A67" i="78" s="1"/>
  <c r="A68" i="78" s="1"/>
  <c r="A69" i="78" s="1"/>
  <c r="A70" i="78" s="1"/>
  <c r="A71" i="78" s="1"/>
  <c r="A72" i="78" s="1"/>
  <c r="A73" i="78" s="1"/>
  <c r="A74" i="78" s="1"/>
  <c r="A75" i="78" s="1"/>
  <c r="A76" i="78" s="1"/>
  <c r="A77" i="78" s="1"/>
  <c r="D606" i="78"/>
  <c r="F607" i="78"/>
  <c r="I607" i="78" s="1"/>
  <c r="P607" i="78"/>
  <c r="P544" i="78"/>
  <c r="O544" i="78"/>
  <c r="N555" i="78"/>
  <c r="D555" i="78"/>
  <c r="E557" i="78" s="1"/>
  <c r="F543" i="78"/>
  <c r="I543" i="78" s="1"/>
  <c r="F389" i="78"/>
  <c r="I389" i="78" s="1"/>
  <c r="D388" i="78"/>
  <c r="O388" i="78" s="1"/>
  <c r="P389" i="78"/>
  <c r="B82" i="20"/>
  <c r="A81" i="20"/>
  <c r="A82" i="20" s="1"/>
  <c r="A83" i="20" s="1"/>
  <c r="A84" i="20" s="1"/>
  <c r="A85" i="20" s="1"/>
  <c r="A25" i="3"/>
  <c r="C40" i="3"/>
  <c r="A23" i="25"/>
  <c r="C51" i="7"/>
  <c r="E181" i="78"/>
  <c r="F180" i="78"/>
  <c r="F244" i="78"/>
  <c r="E245" i="78"/>
  <c r="E247" i="78" s="1"/>
  <c r="E182" i="74"/>
  <c r="I30" i="24"/>
  <c r="O493" i="78" l="1"/>
  <c r="K110" i="77"/>
  <c r="E400" i="78"/>
  <c r="O400" i="78"/>
  <c r="O462" i="78"/>
  <c r="Q305" i="78"/>
  <c r="F334" i="78"/>
  <c r="E335" i="78"/>
  <c r="F25" i="78"/>
  <c r="E26" i="78"/>
  <c r="F554" i="78"/>
  <c r="I554" i="78" s="1"/>
  <c r="I555" i="78" s="1"/>
  <c r="P554" i="78"/>
  <c r="P555" i="78" s="1"/>
  <c r="O554" i="78"/>
  <c r="O555" i="78" s="1"/>
  <c r="J305" i="78"/>
  <c r="P306" i="78"/>
  <c r="P307" i="78" s="1"/>
  <c r="F306" i="78"/>
  <c r="I306" i="78" s="1"/>
  <c r="I307" i="78" s="1"/>
  <c r="O306" i="78"/>
  <c r="O307" i="78" s="1"/>
  <c r="E520" i="78"/>
  <c r="F519" i="78"/>
  <c r="I519" i="78" s="1"/>
  <c r="J519" i="78" s="1"/>
  <c r="O519" i="78"/>
  <c r="P519" i="78"/>
  <c r="F274" i="78"/>
  <c r="E275" i="78"/>
  <c r="E54" i="78"/>
  <c r="F53" i="78"/>
  <c r="G28" i="25"/>
  <c r="D126" i="44"/>
  <c r="A125" i="44"/>
  <c r="A126" i="44" s="1"/>
  <c r="A127" i="44" s="1"/>
  <c r="A128" i="44" s="1"/>
  <c r="A129" i="44" s="1"/>
  <c r="P110" i="78"/>
  <c r="O110" i="78"/>
  <c r="N121" i="78"/>
  <c r="Q513" i="78"/>
  <c r="Q514" i="78" s="1"/>
  <c r="Q515" i="78" s="1"/>
  <c r="Q516" i="78" s="1"/>
  <c r="Q517" i="78" s="1"/>
  <c r="Q518" i="78" s="1"/>
  <c r="C39" i="25"/>
  <c r="A24" i="25"/>
  <c r="A26" i="3"/>
  <c r="C41" i="3"/>
  <c r="F461" i="78"/>
  <c r="I461" i="78" s="1"/>
  <c r="P461" i="78"/>
  <c r="A84" i="77"/>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112" i="77" s="1"/>
  <c r="A113" i="77" s="1"/>
  <c r="A114" i="77" s="1"/>
  <c r="A115" i="77" s="1"/>
  <c r="A116" i="77" s="1"/>
  <c r="F181" i="78"/>
  <c r="E182" i="78"/>
  <c r="E183" i="78" s="1"/>
  <c r="E185" i="78" s="1"/>
  <c r="F388" i="78"/>
  <c r="I388" i="78" s="1"/>
  <c r="D400" i="78"/>
  <c r="E402" i="78" s="1"/>
  <c r="P388" i="78"/>
  <c r="A26" i="9"/>
  <c r="C25" i="3"/>
  <c r="C25" i="25"/>
  <c r="A51" i="7"/>
  <c r="C31" i="24"/>
  <c r="F81" i="78"/>
  <c r="D80" i="78"/>
  <c r="A86" i="20"/>
  <c r="A87" i="20" s="1"/>
  <c r="B87" i="20"/>
  <c r="J543" i="78"/>
  <c r="J544" i="78" s="1"/>
  <c r="J545" i="78" s="1"/>
  <c r="J546" i="78" s="1"/>
  <c r="J547" i="78" s="1"/>
  <c r="J548" i="78" s="1"/>
  <c r="J549" i="78" s="1"/>
  <c r="J550" i="78" s="1"/>
  <c r="J551" i="78" s="1"/>
  <c r="J552" i="78" s="1"/>
  <c r="J553" i="78" s="1"/>
  <c r="Q543" i="78"/>
  <c r="Q544" i="78" s="1"/>
  <c r="Q545" i="78" s="1"/>
  <c r="Q546" i="78" s="1"/>
  <c r="Q547" i="78" s="1"/>
  <c r="Q548" i="78" s="1"/>
  <c r="Q549" i="78" s="1"/>
  <c r="Q550" i="78" s="1"/>
  <c r="Q551" i="78" s="1"/>
  <c r="Q552" i="78" s="1"/>
  <c r="Q553" i="78" s="1"/>
  <c r="F606" i="78"/>
  <c r="I606" i="78" s="1"/>
  <c r="D605" i="78"/>
  <c r="O605" i="78" s="1"/>
  <c r="O617" i="78" s="1"/>
  <c r="P606" i="78"/>
  <c r="E462" i="78"/>
  <c r="D586" i="78"/>
  <c r="E588" i="78" s="1"/>
  <c r="F574" i="78"/>
  <c r="A78" i="76"/>
  <c r="A79" i="76" s="1"/>
  <c r="A80" i="76" s="1"/>
  <c r="A81" i="76" s="1"/>
  <c r="A82" i="76" s="1"/>
  <c r="A83" i="76" s="1"/>
  <c r="N95" i="78"/>
  <c r="A78" i="78"/>
  <c r="A79" i="78" s="1"/>
  <c r="A80" i="78" s="1"/>
  <c r="A81" i="78" s="1"/>
  <c r="A82" i="78" s="1"/>
  <c r="A83" i="78" s="1"/>
  <c r="A84" i="78" s="1"/>
  <c r="A85" i="78" s="1"/>
  <c r="A86" i="78" s="1"/>
  <c r="A87" i="78" s="1"/>
  <c r="A88" i="78" s="1"/>
  <c r="A89" i="78" s="1"/>
  <c r="F95" i="78"/>
  <c r="D214" i="78"/>
  <c r="E216" i="78" s="1"/>
  <c r="F202" i="78"/>
  <c r="F399" i="78"/>
  <c r="I399" i="78" s="1"/>
  <c r="P399" i="78"/>
  <c r="B31" i="28"/>
  <c r="A29" i="28"/>
  <c r="B33" i="28"/>
  <c r="F110" i="78"/>
  <c r="I110" i="78" s="1"/>
  <c r="D109" i="78"/>
  <c r="B77" i="76"/>
  <c r="B77" i="77"/>
  <c r="F450" i="78"/>
  <c r="I450" i="78" s="1"/>
  <c r="D462" i="78"/>
  <c r="P450" i="78"/>
  <c r="E135" i="75"/>
  <c r="G44" i="25"/>
  <c r="B96" i="77" l="1"/>
  <c r="J306" i="78"/>
  <c r="J313" i="78" s="1"/>
  <c r="J314" i="78" s="1"/>
  <c r="J316" i="78" s="1"/>
  <c r="C109" i="76" s="1"/>
  <c r="C110" i="76" s="1"/>
  <c r="Q306" i="78"/>
  <c r="Q313" i="78" s="1"/>
  <c r="Q314" i="78" s="1"/>
  <c r="Q316" i="78" s="1"/>
  <c r="C109" i="77" s="1"/>
  <c r="E55" i="78"/>
  <c r="F54" i="78"/>
  <c r="F275" i="78"/>
  <c r="F520" i="78"/>
  <c r="I520" i="78" s="1"/>
  <c r="J520" i="78" s="1"/>
  <c r="E521" i="78"/>
  <c r="P520" i="78"/>
  <c r="O520" i="78"/>
  <c r="F335" i="78"/>
  <c r="E336" i="78"/>
  <c r="O109" i="78"/>
  <c r="O121" i="78" s="1"/>
  <c r="P109" i="78"/>
  <c r="P121" i="78" s="1"/>
  <c r="Q519" i="78"/>
  <c r="J554" i="78"/>
  <c r="J561" i="78" s="1"/>
  <c r="J562" i="78" s="1"/>
  <c r="J564" i="78" s="1"/>
  <c r="N109" i="76" s="1"/>
  <c r="N110" i="76" s="1"/>
  <c r="F182" i="78"/>
  <c r="F26" i="78"/>
  <c r="E27" i="78"/>
  <c r="E276" i="78"/>
  <c r="E278" i="78" s="1"/>
  <c r="Q554" i="78"/>
  <c r="Q561" i="78" s="1"/>
  <c r="Q562" i="78" s="1"/>
  <c r="Q564" i="78" s="1"/>
  <c r="N109" i="77" s="1"/>
  <c r="N110" i="77" s="1"/>
  <c r="A130" i="44"/>
  <c r="A131" i="44" s="1"/>
  <c r="A132" i="44" s="1"/>
  <c r="A133" i="44" s="1"/>
  <c r="A134" i="44" s="1"/>
  <c r="A135" i="44" s="1"/>
  <c r="A136" i="44" s="1"/>
  <c r="A137" i="44" s="1"/>
  <c r="A138" i="44" s="1"/>
  <c r="A139" i="44" s="1"/>
  <c r="D131" i="44"/>
  <c r="J450" i="78"/>
  <c r="J451" i="78" s="1"/>
  <c r="J452" i="78" s="1"/>
  <c r="J453" i="78" s="1"/>
  <c r="J454" i="78" s="1"/>
  <c r="J455" i="78" s="1"/>
  <c r="J456" i="78" s="1"/>
  <c r="J457" i="78" s="1"/>
  <c r="J458" i="78" s="1"/>
  <c r="J459" i="78" s="1"/>
  <c r="J460" i="78" s="1"/>
  <c r="J461" i="78" s="1"/>
  <c r="J468" i="78" s="1"/>
  <c r="J469" i="78" s="1"/>
  <c r="J471" i="78" s="1"/>
  <c r="J109" i="76" s="1"/>
  <c r="I462" i="78"/>
  <c r="A84" i="76"/>
  <c r="A85" i="76" s="1"/>
  <c r="A86" i="76" s="1"/>
  <c r="A87" i="76" s="1"/>
  <c r="A88" i="76" s="1"/>
  <c r="A89" i="76" s="1"/>
  <c r="A90" i="76" s="1"/>
  <c r="A91" i="76" s="1"/>
  <c r="A92" i="76" s="1"/>
  <c r="A93" i="76" s="1"/>
  <c r="A94" i="76" s="1"/>
  <c r="A95" i="76" s="1"/>
  <c r="A96" i="76" s="1"/>
  <c r="B96" i="76"/>
  <c r="E164" i="74"/>
  <c r="A117" i="77"/>
  <c r="A118" i="77" s="1"/>
  <c r="A119" i="77" s="1"/>
  <c r="A120" i="77" s="1"/>
  <c r="A121" i="77" s="1"/>
  <c r="A122" i="77" s="1"/>
  <c r="A123" i="77" s="1"/>
  <c r="A124" i="77" s="1"/>
  <c r="A125" i="77" s="1"/>
  <c r="A126" i="77" s="1"/>
  <c r="A127" i="77" s="1"/>
  <c r="A128" i="77" s="1"/>
  <c r="A129" i="77" s="1"/>
  <c r="Q450" i="78"/>
  <c r="Q451" i="78" s="1"/>
  <c r="Q452" i="78" s="1"/>
  <c r="Q453" i="78" s="1"/>
  <c r="Q454" i="78" s="1"/>
  <c r="Q455" i="78" s="1"/>
  <c r="Q456" i="78" s="1"/>
  <c r="Q457" i="78" s="1"/>
  <c r="Q458" i="78" s="1"/>
  <c r="Q459" i="78" s="1"/>
  <c r="Q460" i="78" s="1"/>
  <c r="Q461" i="78" s="1"/>
  <c r="Q468" i="78" s="1"/>
  <c r="Q469" i="78" s="1"/>
  <c r="J109" i="77" s="1"/>
  <c r="P462" i="78"/>
  <c r="D617" i="78"/>
  <c r="E619" i="78" s="1"/>
  <c r="F605" i="78"/>
  <c r="I605" i="78" s="1"/>
  <c r="P605" i="78"/>
  <c r="F80" i="78"/>
  <c r="D79" i="78"/>
  <c r="C49" i="5"/>
  <c r="C42" i="5"/>
  <c r="C48" i="5"/>
  <c r="J388" i="78"/>
  <c r="J389" i="78" s="1"/>
  <c r="J390" i="78" s="1"/>
  <c r="J391" i="78" s="1"/>
  <c r="J392" i="78" s="1"/>
  <c r="J393" i="78" s="1"/>
  <c r="J394" i="78" s="1"/>
  <c r="J395" i="78" s="1"/>
  <c r="J396" i="78" s="1"/>
  <c r="J397" i="78" s="1"/>
  <c r="J398" i="78" s="1"/>
  <c r="J399" i="78" s="1"/>
  <c r="J406" i="78" s="1"/>
  <c r="J407" i="78" s="1"/>
  <c r="J409" i="78" s="1"/>
  <c r="G109" i="76" s="1"/>
  <c r="I400" i="78"/>
  <c r="E464" i="78"/>
  <c r="D121" i="78"/>
  <c r="E123" i="78" s="1"/>
  <c r="F109" i="78"/>
  <c r="I109" i="78" s="1"/>
  <c r="A31" i="28"/>
  <c r="B35" i="28"/>
  <c r="F96" i="78"/>
  <c r="A90" i="78"/>
  <c r="A91" i="78" s="1"/>
  <c r="A92" i="78" s="1"/>
  <c r="A93" i="78" s="1"/>
  <c r="A94" i="78" s="1"/>
  <c r="A95" i="78" s="1"/>
  <c r="N96" i="78"/>
  <c r="E133" i="74"/>
  <c r="A27" i="3"/>
  <c r="C42" i="3"/>
  <c r="F45" i="25"/>
  <c r="F98" i="25" s="1"/>
  <c r="G98" i="25" s="1"/>
  <c r="A52" i="7"/>
  <c r="C33" i="24" s="1"/>
  <c r="C32" i="24"/>
  <c r="A27" i="9"/>
  <c r="C26" i="25"/>
  <c r="C26" i="3"/>
  <c r="P400" i="78"/>
  <c r="Q388" i="78"/>
  <c r="Q389" i="78" s="1"/>
  <c r="Q390" i="78" s="1"/>
  <c r="Q391" i="78" s="1"/>
  <c r="Q392" i="78" s="1"/>
  <c r="Q393" i="78" s="1"/>
  <c r="Q394" i="78" s="1"/>
  <c r="Q395" i="78" s="1"/>
  <c r="Q396" i="78" s="1"/>
  <c r="Q397" i="78" s="1"/>
  <c r="Q398" i="78" s="1"/>
  <c r="Q399" i="78" s="1"/>
  <c r="Q406" i="78" s="1"/>
  <c r="Q407" i="78" s="1"/>
  <c r="G109" i="77" s="1"/>
  <c r="A25" i="25"/>
  <c r="C40" i="25"/>
  <c r="E156" i="74"/>
  <c r="J110" i="77" l="1"/>
  <c r="F138" i="74" s="1"/>
  <c r="G138" i="74" s="1"/>
  <c r="L109" i="77"/>
  <c r="L110" i="77" s="1"/>
  <c r="G110" i="77"/>
  <c r="C110" i="77"/>
  <c r="G110" i="76"/>
  <c r="J110" i="76"/>
  <c r="L109" i="76"/>
  <c r="L110" i="76" s="1"/>
  <c r="F30" i="74" s="1"/>
  <c r="F27" i="78"/>
  <c r="E28" i="78"/>
  <c r="E30" i="78" s="1"/>
  <c r="E337" i="78"/>
  <c r="F336" i="78"/>
  <c r="F55" i="78"/>
  <c r="E56" i="78"/>
  <c r="Q520" i="78"/>
  <c r="P521" i="78"/>
  <c r="O521" i="78"/>
  <c r="E522" i="78"/>
  <c r="F521" i="78"/>
  <c r="I521" i="78" s="1"/>
  <c r="E204" i="74"/>
  <c r="D50" i="25" s="1"/>
  <c r="F213" i="44"/>
  <c r="A140" i="44"/>
  <c r="A141" i="44" s="1"/>
  <c r="A142" i="44" s="1"/>
  <c r="A143" i="44" s="1"/>
  <c r="A144" i="44" s="1"/>
  <c r="A145" i="44" s="1"/>
  <c r="A146" i="44" s="1"/>
  <c r="H14" i="44"/>
  <c r="G160" i="75"/>
  <c r="F119" i="25"/>
  <c r="G119" i="25" s="1"/>
  <c r="G121" i="25" s="1"/>
  <c r="G183" i="74"/>
  <c r="F65" i="25"/>
  <c r="G65" i="25" s="1"/>
  <c r="F132" i="25"/>
  <c r="G132" i="25" s="1"/>
  <c r="F66" i="25"/>
  <c r="G66" i="25" s="1"/>
  <c r="A28" i="9"/>
  <c r="A29" i="9" s="1"/>
  <c r="A30" i="9" s="1"/>
  <c r="A31" i="9" s="1"/>
  <c r="A32" i="9" s="1"/>
  <c r="C27" i="3"/>
  <c r="C27" i="25"/>
  <c r="C28" i="9"/>
  <c r="D78" i="78"/>
  <c r="F79" i="78"/>
  <c r="B129" i="77"/>
  <c r="A97" i="76"/>
  <c r="A98" i="76" s="1"/>
  <c r="A99" i="76" s="1"/>
  <c r="A100" i="76" s="1"/>
  <c r="A101" i="76" s="1"/>
  <c r="A102" i="76" s="1"/>
  <c r="A103" i="76" s="1"/>
  <c r="A104" i="76" s="1"/>
  <c r="A105" i="76" s="1"/>
  <c r="A106" i="76" s="1"/>
  <c r="A107" i="76" s="1"/>
  <c r="A108" i="76" s="1"/>
  <c r="A109" i="76" s="1"/>
  <c r="A110" i="76" s="1"/>
  <c r="A111" i="76" s="1"/>
  <c r="A112" i="76" s="1"/>
  <c r="A113" i="76" s="1"/>
  <c r="A114" i="76" s="1"/>
  <c r="A115" i="76" s="1"/>
  <c r="A116" i="76" s="1"/>
  <c r="A28" i="3"/>
  <c r="A29" i="3" s="1"/>
  <c r="A30" i="3" s="1"/>
  <c r="A31" i="3" s="1"/>
  <c r="C43" i="3"/>
  <c r="C28" i="3"/>
  <c r="A33" i="28"/>
  <c r="A35" i="28" s="1"/>
  <c r="A37" i="28" s="1"/>
  <c r="B37" i="28"/>
  <c r="C43" i="5"/>
  <c r="A130" i="77"/>
  <c r="A131" i="77" s="1"/>
  <c r="A132" i="77" s="1"/>
  <c r="A133" i="77" s="1"/>
  <c r="A134" i="77" s="1"/>
  <c r="A135" i="77" s="1"/>
  <c r="A136" i="77" s="1"/>
  <c r="A137" i="77" s="1"/>
  <c r="A138" i="77" s="1"/>
  <c r="A139" i="77" s="1"/>
  <c r="A140" i="77" s="1"/>
  <c r="A141" i="77" s="1"/>
  <c r="C157" i="25"/>
  <c r="A26" i="25"/>
  <c r="C41" i="25"/>
  <c r="A96" i="78"/>
  <c r="A97" i="78" s="1"/>
  <c r="A98" i="78" s="1"/>
  <c r="A99" i="78" s="1"/>
  <c r="A100" i="78" s="1"/>
  <c r="A101" i="78" s="1"/>
  <c r="A102" i="78" s="1"/>
  <c r="A103" i="78" s="1"/>
  <c r="A104" i="78" s="1"/>
  <c r="A105" i="78" s="1"/>
  <c r="A106" i="78" s="1"/>
  <c r="A107" i="78" s="1"/>
  <c r="A108" i="78" s="1"/>
  <c r="J109" i="78"/>
  <c r="J110" i="78" s="1"/>
  <c r="J111" i="78" s="1"/>
  <c r="J112" i="78" s="1"/>
  <c r="J113" i="78" s="1"/>
  <c r="J114" i="78" s="1"/>
  <c r="J115" i="78" s="1"/>
  <c r="J116" i="78" s="1"/>
  <c r="J117" i="78" s="1"/>
  <c r="J118" i="78" s="1"/>
  <c r="J119" i="78" s="1"/>
  <c r="J120" i="78" s="1"/>
  <c r="J127" i="78" s="1"/>
  <c r="J128" i="78" s="1"/>
  <c r="J130" i="78" s="1"/>
  <c r="E12" i="74" s="1"/>
  <c r="E13" i="74" s="1"/>
  <c r="D48" i="3" s="1"/>
  <c r="I121" i="78"/>
  <c r="Q109" i="78"/>
  <c r="Q110" i="78" s="1"/>
  <c r="Q111" i="78" s="1"/>
  <c r="Q112" i="78" s="1"/>
  <c r="Q113" i="78" s="1"/>
  <c r="Q114" i="78" s="1"/>
  <c r="Q115" i="78" s="1"/>
  <c r="Q116" i="78" s="1"/>
  <c r="Q117" i="78" s="1"/>
  <c r="Q118" i="78" s="1"/>
  <c r="Q119" i="78" s="1"/>
  <c r="Q120" i="78" s="1"/>
  <c r="Q127" i="78" s="1"/>
  <c r="Q128" i="78" s="1"/>
  <c r="E118" i="74" s="1"/>
  <c r="Q605" i="78"/>
  <c r="Q606" i="78" s="1"/>
  <c r="Q607" i="78" s="1"/>
  <c r="Q608" i="78" s="1"/>
  <c r="Q609" i="78" s="1"/>
  <c r="Q610" i="78" s="1"/>
  <c r="Q611" i="78" s="1"/>
  <c r="Q612" i="78" s="1"/>
  <c r="Q613" i="78" s="1"/>
  <c r="Q614" i="78" s="1"/>
  <c r="Q615" i="78" s="1"/>
  <c r="Q616" i="78" s="1"/>
  <c r="Q623" i="78" s="1"/>
  <c r="Q624" i="78" s="1"/>
  <c r="Q626" i="78" s="1"/>
  <c r="Q109" i="77" s="1"/>
  <c r="P617" i="78"/>
  <c r="J605" i="78"/>
  <c r="J606" i="78" s="1"/>
  <c r="J607" i="78" s="1"/>
  <c r="J608" i="78" s="1"/>
  <c r="J609" i="78" s="1"/>
  <c r="J610" i="78" s="1"/>
  <c r="J611" i="78" s="1"/>
  <c r="J612" i="78" s="1"/>
  <c r="J613" i="78" s="1"/>
  <c r="J614" i="78" s="1"/>
  <c r="J615" i="78" s="1"/>
  <c r="J616" i="78" s="1"/>
  <c r="J623" i="78" s="1"/>
  <c r="J624" i="78" s="1"/>
  <c r="J626" i="78" s="1"/>
  <c r="Q109" i="76" s="1"/>
  <c r="I617" i="78"/>
  <c r="G100" i="25"/>
  <c r="G102" i="25" s="1"/>
  <c r="Q110" i="77" l="1"/>
  <c r="F136" i="74" s="1"/>
  <c r="F141" i="74" s="1"/>
  <c r="F148" i="74" s="1"/>
  <c r="S109" i="77"/>
  <c r="S110" i="77" s="1"/>
  <c r="G30" i="74"/>
  <c r="S109" i="76"/>
  <c r="Q110" i="76"/>
  <c r="B43" i="9"/>
  <c r="E141" i="74"/>
  <c r="E148" i="74" s="1"/>
  <c r="D49" i="25" s="1"/>
  <c r="F337" i="78"/>
  <c r="Q521" i="78"/>
  <c r="F56" i="78"/>
  <c r="E57" i="78"/>
  <c r="J521" i="78"/>
  <c r="P522" i="78"/>
  <c r="O522" i="78"/>
  <c r="F522" i="78"/>
  <c r="I522" i="78" s="1"/>
  <c r="E523" i="78"/>
  <c r="E524" i="78"/>
  <c r="E526" i="78" s="1"/>
  <c r="E338" i="78"/>
  <c r="E340" i="78" s="1"/>
  <c r="A147" i="44"/>
  <c r="A148" i="44" s="1"/>
  <c r="A149" i="44" s="1"/>
  <c r="A150" i="44" s="1"/>
  <c r="G70" i="25"/>
  <c r="E145" i="75"/>
  <c r="A39" i="28"/>
  <c r="B39" i="28"/>
  <c r="G136" i="74"/>
  <c r="G141" i="74" s="1"/>
  <c r="G143" i="74" s="1"/>
  <c r="N126" i="78"/>
  <c r="A109" i="78"/>
  <c r="A110" i="78" s="1"/>
  <c r="A111" i="78" s="1"/>
  <c r="A112" i="78" s="1"/>
  <c r="A113" i="78" s="1"/>
  <c r="A114" i="78" s="1"/>
  <c r="A115" i="78" s="1"/>
  <c r="A116" i="78" s="1"/>
  <c r="A117" i="78" s="1"/>
  <c r="A118" i="78" s="1"/>
  <c r="A119" i="78" s="1"/>
  <c r="A120" i="78" s="1"/>
  <c r="F126" i="78"/>
  <c r="A142" i="77"/>
  <c r="A143" i="77" s="1"/>
  <c r="A144" i="77" s="1"/>
  <c r="A145" i="77" s="1"/>
  <c r="A146" i="77" s="1"/>
  <c r="A147" i="77" s="1"/>
  <c r="A148" i="77" s="1"/>
  <c r="A149" i="77" s="1"/>
  <c r="A150" i="77" s="1"/>
  <c r="A151" i="77" s="1"/>
  <c r="A152" i="77" s="1"/>
  <c r="A153" i="77" s="1"/>
  <c r="A154" i="77" s="1"/>
  <c r="C44" i="5"/>
  <c r="F78" i="78"/>
  <c r="D90" i="78"/>
  <c r="E92" i="78" s="1"/>
  <c r="G160" i="74"/>
  <c r="G164" i="74" s="1"/>
  <c r="G166" i="74" s="1"/>
  <c r="E119" i="74"/>
  <c r="D48" i="25" s="1"/>
  <c r="G118" i="74"/>
  <c r="G119" i="74" s="1"/>
  <c r="G48" i="25" s="1"/>
  <c r="N97" i="78"/>
  <c r="A27" i="25"/>
  <c r="C42" i="25"/>
  <c r="A117" i="76"/>
  <c r="A118" i="76" s="1"/>
  <c r="A119" i="76" s="1"/>
  <c r="A120" i="76" s="1"/>
  <c r="F97" i="78"/>
  <c r="A32" i="3"/>
  <c r="A33" i="3" s="1"/>
  <c r="C34" i="3" s="1"/>
  <c r="A33" i="9"/>
  <c r="B154" i="77" l="1"/>
  <c r="J522" i="78"/>
  <c r="Q522" i="78"/>
  <c r="F57" i="78"/>
  <c r="E58" i="78"/>
  <c r="E59" i="78" s="1"/>
  <c r="E61" i="78" s="1"/>
  <c r="F523" i="78"/>
  <c r="I523" i="78" s="1"/>
  <c r="I524" i="78" s="1"/>
  <c r="O523" i="78"/>
  <c r="O524" i="78" s="1"/>
  <c r="P523" i="78"/>
  <c r="P524" i="78" s="1"/>
  <c r="A151" i="44"/>
  <c r="A152" i="44" s="1"/>
  <c r="A153" i="44" s="1"/>
  <c r="A154" i="44" s="1"/>
  <c r="F152" i="44"/>
  <c r="F150" i="44"/>
  <c r="E64" i="5"/>
  <c r="C37" i="3"/>
  <c r="A28" i="25"/>
  <c r="A29" i="25" s="1"/>
  <c r="A30" i="25" s="1"/>
  <c r="A31" i="25" s="1"/>
  <c r="C43" i="25"/>
  <c r="C28" i="25"/>
  <c r="A34" i="3"/>
  <c r="A35" i="3" s="1"/>
  <c r="A36" i="3" s="1"/>
  <c r="A37" i="3" s="1"/>
  <c r="C38" i="3"/>
  <c r="A121" i="76"/>
  <c r="A122" i="76" s="1"/>
  <c r="A123" i="76" s="1"/>
  <c r="A124" i="76" s="1"/>
  <c r="A125" i="76" s="1"/>
  <c r="A126" i="76" s="1"/>
  <c r="A127" i="76" s="1"/>
  <c r="A128" i="76" s="1"/>
  <c r="C45" i="5"/>
  <c r="N127" i="78"/>
  <c r="F127" i="78"/>
  <c r="A121" i="78"/>
  <c r="A122" i="78" s="1"/>
  <c r="A123" i="78" s="1"/>
  <c r="A124" i="78" s="1"/>
  <c r="A125" i="78" s="1"/>
  <c r="A126" i="78" s="1"/>
  <c r="E65" i="5"/>
  <c r="A34" i="9"/>
  <c r="A35" i="9" s="1"/>
  <c r="C106" i="3"/>
  <c r="C57" i="25"/>
  <c r="C108" i="25"/>
  <c r="C56" i="25"/>
  <c r="C60" i="25"/>
  <c r="A155" i="77"/>
  <c r="A156" i="77" s="1"/>
  <c r="A157" i="77" s="1"/>
  <c r="A158" i="77" s="1"/>
  <c r="A159" i="77" s="1"/>
  <c r="A160" i="77" s="1"/>
  <c r="A161" i="77" s="1"/>
  <c r="A162" i="77" s="1"/>
  <c r="A163" i="77" s="1"/>
  <c r="A164" i="77" s="1"/>
  <c r="C109" i="25"/>
  <c r="B100" i="28"/>
  <c r="A41" i="28"/>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B92" i="28"/>
  <c r="J523" i="78" l="1"/>
  <c r="J530" i="78" s="1"/>
  <c r="J531" i="78" s="1"/>
  <c r="J533" i="78" s="1"/>
  <c r="M109" i="76" s="1"/>
  <c r="Q523" i="78"/>
  <c r="Q530" i="78" s="1"/>
  <c r="Q531" i="78" s="1"/>
  <c r="Q533" i="78" s="1"/>
  <c r="M109" i="77" s="1"/>
  <c r="F58" i="78"/>
  <c r="H16" i="44"/>
  <c r="A155" i="44"/>
  <c r="A156" i="44" s="1"/>
  <c r="A157" i="44" s="1"/>
  <c r="A158" i="44" s="1"/>
  <c r="E43" i="5"/>
  <c r="E42" i="5"/>
  <c r="B93" i="28"/>
  <c r="A91" i="28"/>
  <c r="A92" i="28" s="1"/>
  <c r="A36" i="9"/>
  <c r="C110" i="25"/>
  <c r="C110" i="3"/>
  <c r="A129" i="76"/>
  <c r="B129" i="76"/>
  <c r="E69" i="5"/>
  <c r="E67" i="5"/>
  <c r="E159" i="75"/>
  <c r="E200" i="75" s="1"/>
  <c r="D51" i="25" s="1"/>
  <c r="D58" i="25" s="1"/>
  <c r="D72" i="25" s="1"/>
  <c r="D76" i="25" s="1"/>
  <c r="D131" i="25" s="1"/>
  <c r="D133" i="25" s="1"/>
  <c r="E71" i="5"/>
  <c r="E70" i="5"/>
  <c r="A127" i="78"/>
  <c r="A128" i="78" s="1"/>
  <c r="A129" i="78" s="1"/>
  <c r="A130" i="78" s="1"/>
  <c r="A131" i="78" s="1"/>
  <c r="A132" i="78" s="1"/>
  <c r="A133" i="78" s="1"/>
  <c r="A134" i="78" s="1"/>
  <c r="A135" i="78" s="1"/>
  <c r="A136" i="78" s="1"/>
  <c r="A137" i="78" s="1"/>
  <c r="A138" i="78" s="1"/>
  <c r="A139" i="78" s="1"/>
  <c r="C46" i="5"/>
  <c r="A32" i="25"/>
  <c r="A33" i="25" s="1"/>
  <c r="E68" i="5"/>
  <c r="E66" i="5"/>
  <c r="C44" i="3"/>
  <c r="A38" i="3"/>
  <c r="A39" i="3" s="1"/>
  <c r="A40" i="3" s="1"/>
  <c r="A41" i="3" s="1"/>
  <c r="A42" i="3" s="1"/>
  <c r="A43" i="3" s="1"/>
  <c r="A44" i="3" s="1"/>
  <c r="M110" i="76" l="1"/>
  <c r="N128" i="78"/>
  <c r="M110" i="77"/>
  <c r="A159" i="44"/>
  <c r="A160" i="44" s="1"/>
  <c r="A161" i="44" s="1"/>
  <c r="A162" i="44" s="1"/>
  <c r="A163" i="44" s="1"/>
  <c r="A164" i="44" s="1"/>
  <c r="A165" i="44" s="1"/>
  <c r="A166" i="44" s="1"/>
  <c r="A167" i="44" s="1"/>
  <c r="A168" i="44" s="1"/>
  <c r="A169" i="44" s="1"/>
  <c r="A170" i="44" s="1"/>
  <c r="A171" i="44" s="1"/>
  <c r="H18" i="44"/>
  <c r="E47" i="5"/>
  <c r="E45" i="5"/>
  <c r="E48" i="5"/>
  <c r="E49" i="5"/>
  <c r="E46" i="5"/>
  <c r="E44" i="5"/>
  <c r="G58" i="25"/>
  <c r="G72" i="25" s="1"/>
  <c r="A34" i="25"/>
  <c r="A35" i="25" s="1"/>
  <c r="A36" i="25" s="1"/>
  <c r="A37" i="25" s="1"/>
  <c r="C38" i="25"/>
  <c r="C34" i="25"/>
  <c r="F128" i="78"/>
  <c r="C156" i="3"/>
  <c r="A130" i="76"/>
  <c r="A131" i="76" s="1"/>
  <c r="A132" i="76" s="1"/>
  <c r="A133" i="76" s="1"/>
  <c r="A134" i="76" s="1"/>
  <c r="A135" i="76" s="1"/>
  <c r="A136" i="76" s="1"/>
  <c r="A137" i="76" s="1"/>
  <c r="A138" i="76" s="1"/>
  <c r="A139" i="76" s="1"/>
  <c r="A45" i="3"/>
  <c r="A46" i="3" s="1"/>
  <c r="A47" i="3" s="1"/>
  <c r="A48" i="3" s="1"/>
  <c r="C37" i="25"/>
  <c r="C47" i="5"/>
  <c r="B94" i="28"/>
  <c r="A93" i="28"/>
  <c r="F157" i="78"/>
  <c r="N157" i="78"/>
  <c r="A140" i="78"/>
  <c r="A141" i="78" s="1"/>
  <c r="A142" i="78" s="1"/>
  <c r="A143" i="78" s="1"/>
  <c r="A144" i="78" s="1"/>
  <c r="A145" i="78" s="1"/>
  <c r="A146" i="78" s="1"/>
  <c r="A147" i="78" s="1"/>
  <c r="A148" i="78" s="1"/>
  <c r="A149" i="78" s="1"/>
  <c r="A150" i="78" s="1"/>
  <c r="A151" i="78" s="1"/>
  <c r="A37" i="9"/>
  <c r="C111" i="25"/>
  <c r="C111" i="3"/>
  <c r="A172" i="44" l="1"/>
  <c r="A173" i="44" s="1"/>
  <c r="G76" i="25"/>
  <c r="A94" i="28"/>
  <c r="C10" i="5"/>
  <c r="A49" i="3"/>
  <c r="A50" i="3" s="1"/>
  <c r="A51" i="3" s="1"/>
  <c r="A52" i="3" s="1"/>
  <c r="A53" i="3" s="1"/>
  <c r="A54" i="3" s="1"/>
  <c r="A55" i="3" s="1"/>
  <c r="A56" i="3" s="1"/>
  <c r="A57" i="3" s="1"/>
  <c r="A58" i="3" s="1"/>
  <c r="N158" i="78"/>
  <c r="F158" i="78"/>
  <c r="A152" i="78"/>
  <c r="A153" i="78" s="1"/>
  <c r="A154" i="78" s="1"/>
  <c r="A155" i="78" s="1"/>
  <c r="A156" i="78" s="1"/>
  <c r="A157" i="78" s="1"/>
  <c r="A140" i="76"/>
  <c r="A141" i="76" s="1"/>
  <c r="A38" i="9"/>
  <c r="C112" i="3"/>
  <c r="C112" i="25"/>
  <c r="A38" i="25"/>
  <c r="A39" i="25" s="1"/>
  <c r="A40" i="25" s="1"/>
  <c r="A41" i="25" s="1"/>
  <c r="A42" i="25" s="1"/>
  <c r="A43" i="25" s="1"/>
  <c r="A44" i="25" s="1"/>
  <c r="A174" i="44" l="1"/>
  <c r="A175" i="44" s="1"/>
  <c r="F175" i="44"/>
  <c r="F173" i="44"/>
  <c r="G59" i="5"/>
  <c r="C44" i="25"/>
  <c r="C58" i="3"/>
  <c r="G53" i="5"/>
  <c r="G60" i="5"/>
  <c r="A39" i="9"/>
  <c r="C113" i="25"/>
  <c r="C113" i="3"/>
  <c r="C39" i="9"/>
  <c r="F59" i="5"/>
  <c r="F60" i="5"/>
  <c r="F53" i="5"/>
  <c r="A59" i="3"/>
  <c r="A60" i="3" s="1"/>
  <c r="A61" i="3" s="1"/>
  <c r="A62" i="3" s="1"/>
  <c r="A63" i="3" s="1"/>
  <c r="A45" i="25"/>
  <c r="A46" i="25" s="1"/>
  <c r="A47" i="25" s="1"/>
  <c r="A48" i="25" s="1"/>
  <c r="G54" i="5"/>
  <c r="A158" i="78"/>
  <c r="A159" i="78" s="1"/>
  <c r="A160" i="78" s="1"/>
  <c r="A161" i="78" s="1"/>
  <c r="A162" i="78" s="1"/>
  <c r="A163" i="78" s="1"/>
  <c r="A164" i="78" s="1"/>
  <c r="A165" i="78" s="1"/>
  <c r="A166" i="78" s="1"/>
  <c r="A167" i="78" s="1"/>
  <c r="A168" i="78" s="1"/>
  <c r="A169" i="78" s="1"/>
  <c r="A170" i="78" s="1"/>
  <c r="F54" i="5"/>
  <c r="E54" i="5"/>
  <c r="A142" i="76"/>
  <c r="A143" i="76" s="1"/>
  <c r="A144" i="76" s="1"/>
  <c r="A145" i="76" s="1"/>
  <c r="A95" i="28"/>
  <c r="A96" i="28" s="1"/>
  <c r="C11" i="5"/>
  <c r="E60" i="5"/>
  <c r="E59" i="5"/>
  <c r="E53" i="5"/>
  <c r="A176" i="44" l="1"/>
  <c r="A177" i="44" s="1"/>
  <c r="E87" i="5"/>
  <c r="E93" i="5"/>
  <c r="E92" i="5"/>
  <c r="E86" i="5"/>
  <c r="A49" i="25"/>
  <c r="A50" i="25" s="1"/>
  <c r="A51" i="25" s="1"/>
  <c r="A52" i="25" s="1"/>
  <c r="A53" i="25" s="1"/>
  <c r="A54" i="25" s="1"/>
  <c r="A55" i="25" s="1"/>
  <c r="A56" i="25" s="1"/>
  <c r="A57" i="25" s="1"/>
  <c r="A58" i="25" s="1"/>
  <c r="E56" i="5"/>
  <c r="E58" i="5"/>
  <c r="F159" i="78"/>
  <c r="G55" i="5"/>
  <c r="G57" i="5"/>
  <c r="A97" i="28"/>
  <c r="A98" i="28" s="1"/>
  <c r="B98" i="28"/>
  <c r="F58" i="5"/>
  <c r="F56" i="5"/>
  <c r="G56" i="5"/>
  <c r="G58" i="5"/>
  <c r="F55" i="5"/>
  <c r="F57" i="5"/>
  <c r="A146" i="76"/>
  <c r="A147" i="76" s="1"/>
  <c r="A148" i="76" s="1"/>
  <c r="A149" i="76" s="1"/>
  <c r="A150" i="76" s="1"/>
  <c r="A151" i="76" s="1"/>
  <c r="A152" i="76" s="1"/>
  <c r="A153" i="76" s="1"/>
  <c r="B86" i="9"/>
  <c r="E55" i="5"/>
  <c r="E57" i="5"/>
  <c r="N159" i="78"/>
  <c r="C72" i="3"/>
  <c r="G131" i="25"/>
  <c r="A171" i="78"/>
  <c r="A172" i="78" s="1"/>
  <c r="A173" i="78" s="1"/>
  <c r="A174" i="78" s="1"/>
  <c r="A175" i="78" s="1"/>
  <c r="A176" i="78" s="1"/>
  <c r="A177" i="78" s="1"/>
  <c r="A178" i="78" s="1"/>
  <c r="A179" i="78" s="1"/>
  <c r="A180" i="78" s="1"/>
  <c r="A181" i="78" s="1"/>
  <c r="A182" i="78" s="1"/>
  <c r="N188" i="78"/>
  <c r="F188" i="78"/>
  <c r="A64" i="3"/>
  <c r="A65" i="3" s="1"/>
  <c r="A66" i="3" s="1"/>
  <c r="A67" i="3" s="1"/>
  <c r="A68" i="3" s="1"/>
  <c r="A69" i="3" s="1"/>
  <c r="A70" i="3" s="1"/>
  <c r="A71" i="3" s="1"/>
  <c r="A72" i="3" s="1"/>
  <c r="C70" i="3"/>
  <c r="A178" i="44" l="1"/>
  <c r="A179" i="44" s="1"/>
  <c r="F177" i="44"/>
  <c r="E91" i="5"/>
  <c r="E89" i="5"/>
  <c r="E88" i="5"/>
  <c r="E90" i="5"/>
  <c r="A73" i="3"/>
  <c r="A74" i="3" s="1"/>
  <c r="A75" i="3" s="1"/>
  <c r="A76" i="3" s="1"/>
  <c r="A154" i="76"/>
  <c r="B154" i="76"/>
  <c r="A99" i="28"/>
  <c r="A100" i="28" s="1"/>
  <c r="A101" i="28" s="1"/>
  <c r="B101" i="28"/>
  <c r="C58" i="25"/>
  <c r="F189" i="78"/>
  <c r="A183" i="78"/>
  <c r="A184" i="78" s="1"/>
  <c r="A185" i="78" s="1"/>
  <c r="A186" i="78" s="1"/>
  <c r="A187" i="78" s="1"/>
  <c r="A188" i="78" s="1"/>
  <c r="N189" i="78"/>
  <c r="G133" i="25"/>
  <c r="A59" i="25"/>
  <c r="A60" i="25" s="1"/>
  <c r="A61" i="25" s="1"/>
  <c r="A62" i="25" s="1"/>
  <c r="A63" i="25" s="1"/>
  <c r="H20" i="44" l="1"/>
  <c r="A180" i="44"/>
  <c r="A181" i="44" s="1"/>
  <c r="A182" i="44" s="1"/>
  <c r="A183" i="44" s="1"/>
  <c r="A184" i="44" s="1"/>
  <c r="A185" i="44" s="1"/>
  <c r="F179" i="44"/>
  <c r="C72" i="25"/>
  <c r="A189" i="78"/>
  <c r="A190" i="78" s="1"/>
  <c r="A191" i="78" s="1"/>
  <c r="A192" i="78" s="1"/>
  <c r="A193" i="78" s="1"/>
  <c r="A194" i="78" s="1"/>
  <c r="A195" i="78" s="1"/>
  <c r="A196" i="78" s="1"/>
  <c r="A197" i="78" s="1"/>
  <c r="A198" i="78" s="1"/>
  <c r="A199" i="78" s="1"/>
  <c r="A200" i="78" s="1"/>
  <c r="A201" i="78" s="1"/>
  <c r="F190" i="78"/>
  <c r="C56" i="3"/>
  <c r="C57" i="3"/>
  <c r="C108" i="3"/>
  <c r="C60" i="3"/>
  <c r="A155" i="76"/>
  <c r="A156" i="76" s="1"/>
  <c r="A157" i="76" s="1"/>
  <c r="A158" i="76" s="1"/>
  <c r="A159" i="76" s="1"/>
  <c r="A160" i="76" s="1"/>
  <c r="A161" i="76" s="1"/>
  <c r="A162" i="76" s="1"/>
  <c r="C109" i="3"/>
  <c r="C70" i="25"/>
  <c r="A64" i="25"/>
  <c r="A65" i="25" s="1"/>
  <c r="A66" i="25" s="1"/>
  <c r="A67" i="25" s="1"/>
  <c r="A68" i="25" s="1"/>
  <c r="A69" i="25" s="1"/>
  <c r="A70" i="25" s="1"/>
  <c r="A71" i="25" s="1"/>
  <c r="A72" i="25" s="1"/>
  <c r="C76" i="3"/>
  <c r="A83" i="3"/>
  <c r="A84" i="3" s="1"/>
  <c r="A186" i="44" l="1"/>
  <c r="A187" i="44" s="1"/>
  <c r="A188" i="44" s="1"/>
  <c r="A189" i="44" s="1"/>
  <c r="A190" i="44" s="1"/>
  <c r="H22" i="44"/>
  <c r="C93" i="3"/>
  <c r="A85" i="3"/>
  <c r="A86" i="3" s="1"/>
  <c r="A87" i="3" s="1"/>
  <c r="A88" i="3" s="1"/>
  <c r="A89" i="3" s="1"/>
  <c r="A90" i="3" s="1"/>
  <c r="A91" i="3" s="1"/>
  <c r="A92" i="3" s="1"/>
  <c r="A93" i="3" s="1"/>
  <c r="A202" i="78"/>
  <c r="A203" i="78" s="1"/>
  <c r="A204" i="78" s="1"/>
  <c r="A205" i="78" s="1"/>
  <c r="A206" i="78" s="1"/>
  <c r="A207" i="78" s="1"/>
  <c r="A208" i="78" s="1"/>
  <c r="A209" i="78" s="1"/>
  <c r="A210" i="78" s="1"/>
  <c r="A211" i="78" s="1"/>
  <c r="A212" i="78" s="1"/>
  <c r="A213" i="78" s="1"/>
  <c r="F219" i="78"/>
  <c r="N219" i="78"/>
  <c r="A73" i="25"/>
  <c r="A74" i="25" s="1"/>
  <c r="A75" i="25" s="1"/>
  <c r="A76" i="25" s="1"/>
  <c r="C76" i="25"/>
  <c r="N190" i="78"/>
  <c r="A191" i="44" l="1"/>
  <c r="A192" i="44" s="1"/>
  <c r="A193" i="44" s="1"/>
  <c r="A194" i="44" s="1"/>
  <c r="A195" i="44" s="1"/>
  <c r="A196" i="44" s="1"/>
  <c r="A197" i="44" s="1"/>
  <c r="A198" i="44" s="1"/>
  <c r="A199" i="44" s="1"/>
  <c r="A200" i="44" s="1"/>
  <c r="A201" i="44" s="1"/>
  <c r="A202" i="44" s="1"/>
  <c r="A203" i="44" s="1"/>
  <c r="A204" i="44" s="1"/>
  <c r="A205" i="44" s="1"/>
  <c r="A206" i="44" s="1"/>
  <c r="A214" i="78"/>
  <c r="A215" i="78" s="1"/>
  <c r="A216" i="78" s="1"/>
  <c r="A217" i="78" s="1"/>
  <c r="A218" i="78" s="1"/>
  <c r="A219" i="78" s="1"/>
  <c r="N220" i="78"/>
  <c r="F220" i="78"/>
  <c r="A83" i="25"/>
  <c r="A84" i="25" s="1"/>
  <c r="A94" i="3"/>
  <c r="A95" i="3" s="1"/>
  <c r="A207" i="44" l="1"/>
  <c r="A208" i="44" s="1"/>
  <c r="A209" i="44" s="1"/>
  <c r="A210" i="44" s="1"/>
  <c r="A211" i="44" s="1"/>
  <c r="A212" i="44" s="1"/>
  <c r="H24" i="44"/>
  <c r="F199" i="44"/>
  <c r="A220" i="78"/>
  <c r="A221" i="78" s="1"/>
  <c r="A222" i="78" s="1"/>
  <c r="A223" i="78" s="1"/>
  <c r="A224" i="78" s="1"/>
  <c r="A225" i="78" s="1"/>
  <c r="A226" i="78" s="1"/>
  <c r="A227" i="78" s="1"/>
  <c r="A228" i="78" s="1"/>
  <c r="A229" i="78" s="1"/>
  <c r="A230" i="78" s="1"/>
  <c r="A231" i="78" s="1"/>
  <c r="A232" i="78" s="1"/>
  <c r="A85" i="25"/>
  <c r="A86" i="25" s="1"/>
  <c r="A87" i="25" s="1"/>
  <c r="A88" i="25" s="1"/>
  <c r="A89" i="25" s="1"/>
  <c r="A90" i="25" s="1"/>
  <c r="A91" i="25" s="1"/>
  <c r="A92" i="25" s="1"/>
  <c r="A93" i="25" s="1"/>
  <c r="C97" i="3"/>
  <c r="A96" i="3"/>
  <c r="A213" i="44" l="1"/>
  <c r="A214" i="44" s="1"/>
  <c r="C93" i="25"/>
  <c r="F221" i="78"/>
  <c r="C98" i="3"/>
  <c r="A97" i="3"/>
  <c r="N250" i="78"/>
  <c r="A233" i="78"/>
  <c r="A234" i="78" s="1"/>
  <c r="A235" i="78" s="1"/>
  <c r="A236" i="78" s="1"/>
  <c r="A237" i="78" s="1"/>
  <c r="A238" i="78" s="1"/>
  <c r="A239" i="78" s="1"/>
  <c r="A240" i="78" s="1"/>
  <c r="A241" i="78" s="1"/>
  <c r="A242" i="78" s="1"/>
  <c r="A243" i="78" s="1"/>
  <c r="A244" i="78" s="1"/>
  <c r="F250" i="78"/>
  <c r="A94" i="25"/>
  <c r="A95" i="25" s="1"/>
  <c r="N221" i="78"/>
  <c r="A215" i="44" l="1"/>
  <c r="F214" i="44"/>
  <c r="A96" i="25"/>
  <c r="C97" i="25"/>
  <c r="A98" i="3"/>
  <c r="A99" i="3" s="1"/>
  <c r="A100" i="3" s="1"/>
  <c r="F251" i="78"/>
  <c r="N251" i="78"/>
  <c r="A245" i="78"/>
  <c r="A246" i="78" s="1"/>
  <c r="A247" i="78" s="1"/>
  <c r="A248" i="78" s="1"/>
  <c r="A249" i="78" s="1"/>
  <c r="A250" i="78" s="1"/>
  <c r="A216" i="44" l="1"/>
  <c r="A217" i="44" s="1"/>
  <c r="A218" i="44" s="1"/>
  <c r="C98" i="25"/>
  <c r="A97" i="25"/>
  <c r="A101" i="3"/>
  <c r="A102" i="3" s="1"/>
  <c r="A103" i="3" s="1"/>
  <c r="A104" i="3" s="1"/>
  <c r="A105" i="3" s="1"/>
  <c r="A106" i="3" s="1"/>
  <c r="C102" i="3"/>
  <c r="A251" i="78"/>
  <c r="A252" i="78" s="1"/>
  <c r="A253" i="78" s="1"/>
  <c r="A254" i="78" s="1"/>
  <c r="A255" i="78" s="1"/>
  <c r="A256" i="78" s="1"/>
  <c r="A257" i="78" s="1"/>
  <c r="A258" i="78" s="1"/>
  <c r="A259" i="78" s="1"/>
  <c r="A260" i="78" s="1"/>
  <c r="A261" i="78" s="1"/>
  <c r="A262" i="78" s="1"/>
  <c r="A263" i="78" s="1"/>
  <c r="C100" i="3"/>
  <c r="N252" i="78" l="1"/>
  <c r="A219" i="44"/>
  <c r="H26" i="44" s="1"/>
  <c r="F219" i="44"/>
  <c r="F218" i="44"/>
  <c r="F252" i="78"/>
  <c r="A107" i="3"/>
  <c r="A108" i="3" s="1"/>
  <c r="A109" i="3" s="1"/>
  <c r="A110" i="3" s="1"/>
  <c r="A111" i="3" s="1"/>
  <c r="A112" i="3" s="1"/>
  <c r="A113" i="3" s="1"/>
  <c r="A114" i="3" s="1"/>
  <c r="A115" i="3" s="1"/>
  <c r="A116" i="3" s="1"/>
  <c r="A117" i="3" s="1"/>
  <c r="A118" i="3" s="1"/>
  <c r="N281" i="78"/>
  <c r="A264" i="78"/>
  <c r="A265" i="78" s="1"/>
  <c r="A266" i="78" s="1"/>
  <c r="A267" i="78" s="1"/>
  <c r="A268" i="78" s="1"/>
  <c r="A269" i="78" s="1"/>
  <c r="A270" i="78" s="1"/>
  <c r="A271" i="78" s="1"/>
  <c r="A272" i="78" s="1"/>
  <c r="A273" i="78" s="1"/>
  <c r="A274" i="78" s="1"/>
  <c r="A275" i="78" s="1"/>
  <c r="F281" i="78"/>
  <c r="A98" i="25"/>
  <c r="A99" i="25" s="1"/>
  <c r="A100" i="25" s="1"/>
  <c r="A119" i="3" l="1"/>
  <c r="A120" i="3" s="1"/>
  <c r="A121" i="3" s="1"/>
  <c r="A122" i="3" s="1"/>
  <c r="A123" i="3" s="1"/>
  <c r="A124" i="3" s="1"/>
  <c r="A125" i="3" s="1"/>
  <c r="C100" i="25"/>
  <c r="C115" i="3"/>
  <c r="F282" i="78"/>
  <c r="A276" i="78"/>
  <c r="A277" i="78" s="1"/>
  <c r="A278" i="78" s="1"/>
  <c r="A279" i="78" s="1"/>
  <c r="A280" i="78" s="1"/>
  <c r="A281" i="78" s="1"/>
  <c r="N282" i="78"/>
  <c r="A101" i="25"/>
  <c r="A102" i="25" s="1"/>
  <c r="A103" i="25" s="1"/>
  <c r="A104" i="25" s="1"/>
  <c r="A105" i="25" s="1"/>
  <c r="A106" i="25" s="1"/>
  <c r="C102" i="25"/>
  <c r="E75" i="5"/>
  <c r="E77" i="5" l="1"/>
  <c r="E76" i="5"/>
  <c r="A282" i="78"/>
  <c r="A283" i="78" s="1"/>
  <c r="A284" i="78" s="1"/>
  <c r="A285" i="78" s="1"/>
  <c r="A286" i="78" s="1"/>
  <c r="A287" i="78" s="1"/>
  <c r="A288" i="78" s="1"/>
  <c r="A289" i="78" s="1"/>
  <c r="A290" i="78" s="1"/>
  <c r="A291" i="78" s="1"/>
  <c r="A292" i="78" s="1"/>
  <c r="A293" i="78" s="1"/>
  <c r="A294" i="78" s="1"/>
  <c r="A126" i="3"/>
  <c r="A127" i="3" s="1"/>
  <c r="A128" i="3" s="1"/>
  <c r="C131" i="3"/>
  <c r="E80" i="5"/>
  <c r="E78" i="5"/>
  <c r="A107" i="25"/>
  <c r="A108" i="25" s="1"/>
  <c r="A109" i="25" s="1"/>
  <c r="A110" i="25" s="1"/>
  <c r="A111" i="25" s="1"/>
  <c r="A112" i="25" s="1"/>
  <c r="A113" i="25" s="1"/>
  <c r="A114" i="25" s="1"/>
  <c r="A115" i="25" s="1"/>
  <c r="A116" i="25" s="1"/>
  <c r="A117" i="25" s="1"/>
  <c r="A118" i="25" s="1"/>
  <c r="C115" i="25"/>
  <c r="E81" i="5"/>
  <c r="E82" i="5"/>
  <c r="C121" i="3"/>
  <c r="N283" i="78" l="1"/>
  <c r="E79" i="5"/>
  <c r="A119" i="25"/>
  <c r="A120" i="25" s="1"/>
  <c r="A121" i="25" s="1"/>
  <c r="A122" i="25" s="1"/>
  <c r="A123" i="25" s="1"/>
  <c r="A124" i="25" s="1"/>
  <c r="A125" i="25" s="1"/>
  <c r="F312" i="78"/>
  <c r="A295" i="78"/>
  <c r="A296" i="78" s="1"/>
  <c r="A297" i="78" s="1"/>
  <c r="A298" i="78" s="1"/>
  <c r="A299" i="78" s="1"/>
  <c r="A300" i="78" s="1"/>
  <c r="A301" i="78" s="1"/>
  <c r="A302" i="78" s="1"/>
  <c r="A303" i="78" s="1"/>
  <c r="A304" i="78" s="1"/>
  <c r="A305" i="78" s="1"/>
  <c r="A306" i="78" s="1"/>
  <c r="N312" i="78"/>
  <c r="A129" i="3"/>
  <c r="A130" i="3" s="1"/>
  <c r="A131" i="3" s="1"/>
  <c r="F283" i="78"/>
  <c r="A126" i="25" l="1"/>
  <c r="A127" i="25" s="1"/>
  <c r="A128" i="25" s="1"/>
  <c r="C131" i="25"/>
  <c r="C133" i="3"/>
  <c r="A132" i="3"/>
  <c r="A133" i="3" s="1"/>
  <c r="A134" i="3" s="1"/>
  <c r="A135" i="3" s="1"/>
  <c r="A136" i="3" s="1"/>
  <c r="A137" i="3" s="1"/>
  <c r="A138" i="3" s="1"/>
  <c r="A139" i="3" s="1"/>
  <c r="A140" i="3" s="1"/>
  <c r="A141" i="3" s="1"/>
  <c r="A142" i="3" s="1"/>
  <c r="A143" i="3" s="1"/>
  <c r="A144" i="3" s="1"/>
  <c r="C132" i="3"/>
  <c r="C121" i="25"/>
  <c r="N313" i="78"/>
  <c r="A307" i="78"/>
  <c r="A308" i="78" s="1"/>
  <c r="A309" i="78" s="1"/>
  <c r="A310" i="78" s="1"/>
  <c r="A311" i="78" s="1"/>
  <c r="A312" i="78" s="1"/>
  <c r="F313" i="78"/>
  <c r="A129" i="25" l="1"/>
  <c r="A130" i="25" s="1"/>
  <c r="A131" i="25" s="1"/>
  <c r="A313" i="78"/>
  <c r="A314" i="78" s="1"/>
  <c r="A315" i="78" s="1"/>
  <c r="A316" i="78" s="1"/>
  <c r="A317" i="78" s="1"/>
  <c r="A318" i="78" s="1"/>
  <c r="A319" i="78" s="1"/>
  <c r="A320" i="78" s="1"/>
  <c r="A321" i="78" s="1"/>
  <c r="A322" i="78" s="1"/>
  <c r="A323" i="78" s="1"/>
  <c r="A324" i="78" s="1"/>
  <c r="A325" i="78" s="1"/>
  <c r="A152" i="3"/>
  <c r="C8" i="5"/>
  <c r="N314" i="78" l="1"/>
  <c r="C132" i="25"/>
  <c r="F314" i="78"/>
  <c r="A326" i="78"/>
  <c r="A327" i="78" s="1"/>
  <c r="A328" i="78" s="1"/>
  <c r="A329" i="78" s="1"/>
  <c r="A330" i="78" s="1"/>
  <c r="A331" i="78" s="1"/>
  <c r="A332" i="78" s="1"/>
  <c r="A333" i="78" s="1"/>
  <c r="A334" i="78" s="1"/>
  <c r="A335" i="78" s="1"/>
  <c r="A336" i="78" s="1"/>
  <c r="A337" i="78" s="1"/>
  <c r="F343" i="78"/>
  <c r="N343" i="78"/>
  <c r="A153" i="3"/>
  <c r="A154" i="3" s="1"/>
  <c r="A132" i="25"/>
  <c r="A133" i="25" s="1"/>
  <c r="A134" i="25" s="1"/>
  <c r="A135" i="25" s="1"/>
  <c r="A136" i="25" s="1"/>
  <c r="A137" i="25" s="1"/>
  <c r="A138" i="25" s="1"/>
  <c r="A139" i="25" s="1"/>
  <c r="A140" i="25" s="1"/>
  <c r="A141" i="25" s="1"/>
  <c r="A142" i="25" s="1"/>
  <c r="A143" i="25" s="1"/>
  <c r="A144" i="25" s="1"/>
  <c r="A145" i="25" s="1"/>
  <c r="A153" i="25" s="1"/>
  <c r="C155" i="3" l="1"/>
  <c r="A338" i="78"/>
  <c r="A339" i="78" s="1"/>
  <c r="A340" i="78" s="1"/>
  <c r="A341" i="78" s="1"/>
  <c r="A342" i="78" s="1"/>
  <c r="A343" i="78" s="1"/>
  <c r="N344" i="78"/>
  <c r="F344" i="78"/>
  <c r="A155" i="3"/>
  <c r="A156" i="3" s="1"/>
  <c r="A157" i="3" s="1"/>
  <c r="C133" i="25"/>
  <c r="C156" i="25"/>
  <c r="A154" i="25"/>
  <c r="A155" i="25" s="1"/>
  <c r="A158" i="3" l="1"/>
  <c r="A159" i="3" s="1"/>
  <c r="A160" i="3" s="1"/>
  <c r="A161" i="3" s="1"/>
  <c r="C158" i="3"/>
  <c r="A156" i="25"/>
  <c r="A157" i="25" s="1"/>
  <c r="A158" i="25" s="1"/>
  <c r="C157" i="3"/>
  <c r="A344" i="78"/>
  <c r="A345" i="78" s="1"/>
  <c r="A346" i="78" s="1"/>
  <c r="A347" i="78" s="1"/>
  <c r="N345" i="78" l="1"/>
  <c r="F345" i="78"/>
  <c r="A348" i="78"/>
  <c r="A349" i="78" s="1"/>
  <c r="A350" i="78" s="1"/>
  <c r="C158" i="25"/>
  <c r="A159" i="25"/>
  <c r="A160" i="25" s="1"/>
  <c r="A161" i="25" s="1"/>
  <c r="A162" i="25" s="1"/>
  <c r="C159" i="25"/>
  <c r="A162" i="3"/>
  <c r="A163" i="3" s="1"/>
  <c r="A164" i="3" s="1"/>
  <c r="A165" i="3" s="1"/>
  <c r="A166" i="3" s="1"/>
  <c r="C166" i="3"/>
  <c r="N405" i="78" l="1"/>
  <c r="F374" i="78"/>
  <c r="N374" i="78"/>
  <c r="F405" i="78"/>
  <c r="A163" i="25"/>
  <c r="A164" i="25" s="1"/>
  <c r="A165" i="25" s="1"/>
  <c r="A166" i="25" s="1"/>
  <c r="A167" i="25" s="1"/>
  <c r="C168" i="3"/>
  <c r="A167" i="3"/>
  <c r="A168" i="3" s="1"/>
  <c r="F406" i="78"/>
  <c r="N406" i="78"/>
  <c r="F375" i="78" l="1"/>
  <c r="N375" i="78"/>
  <c r="A169" i="3"/>
  <c r="A170" i="3" s="1"/>
  <c r="C171" i="3"/>
  <c r="C167" i="25"/>
  <c r="A168" i="25"/>
  <c r="A169" i="25" s="1"/>
  <c r="C169" i="25"/>
  <c r="F407" i="78" l="1"/>
  <c r="N407" i="78"/>
  <c r="N467" i="78"/>
  <c r="F467" i="78"/>
  <c r="A170" i="25"/>
  <c r="A171" i="25" s="1"/>
  <c r="C172" i="25"/>
  <c r="A171" i="3"/>
  <c r="A172" i="3" s="1"/>
  <c r="A173" i="3" s="1"/>
  <c r="A174" i="3" s="1"/>
  <c r="A175" i="3" s="1"/>
  <c r="A176" i="3" s="1"/>
  <c r="C172" i="3"/>
  <c r="F436" i="78" l="1"/>
  <c r="N436" i="78"/>
  <c r="N376" i="78"/>
  <c r="F376" i="78"/>
  <c r="A172" i="25"/>
  <c r="A173" i="25" s="1"/>
  <c r="A174" i="25" s="1"/>
  <c r="A175" i="25" s="1"/>
  <c r="A176" i="25" s="1"/>
  <c r="A177" i="25" s="1"/>
  <c r="C179" i="3"/>
  <c r="A177" i="3"/>
  <c r="A178" i="3" s="1"/>
  <c r="A179" i="3" s="1"/>
  <c r="F468" i="78"/>
  <c r="N468" i="78"/>
  <c r="F437" i="78" l="1"/>
  <c r="N437" i="78"/>
  <c r="A178" i="25"/>
  <c r="A179" i="25" s="1"/>
  <c r="A180" i="25" s="1"/>
  <c r="A180" i="3"/>
  <c r="A181" i="3" s="1"/>
  <c r="A182" i="3" s="1"/>
  <c r="A183" i="3" s="1"/>
  <c r="A184" i="3" s="1"/>
  <c r="C74" i="3"/>
  <c r="C173" i="25"/>
  <c r="N438" i="78" l="1"/>
  <c r="F438" i="78"/>
  <c r="F469" i="78"/>
  <c r="C180" i="25"/>
  <c r="F529" i="78"/>
  <c r="N529" i="78"/>
  <c r="A185" i="3"/>
  <c r="A186" i="3" s="1"/>
  <c r="A187" i="3" s="1"/>
  <c r="A188" i="3" s="1"/>
  <c r="A189" i="3" s="1"/>
  <c r="N469" i="78"/>
  <c r="C74" i="25"/>
  <c r="A181" i="25"/>
  <c r="A182" i="25" s="1"/>
  <c r="A183" i="25" s="1"/>
  <c r="A184" i="25" s="1"/>
  <c r="A185" i="25" s="1"/>
  <c r="N498" i="78" l="1"/>
  <c r="F498" i="78"/>
  <c r="A186" i="25"/>
  <c r="A187" i="25" s="1"/>
  <c r="A188" i="25" s="1"/>
  <c r="A189" i="25" s="1"/>
  <c r="A190" i="25" s="1"/>
  <c r="C189" i="3"/>
  <c r="N530" i="78"/>
  <c r="F530" i="78"/>
  <c r="C192" i="3"/>
  <c r="A190" i="3"/>
  <c r="A191" i="3" s="1"/>
  <c r="A192" i="3" s="1"/>
  <c r="F499" i="78" l="1"/>
  <c r="N499" i="78"/>
  <c r="A191" i="25"/>
  <c r="A192" i="25" s="1"/>
  <c r="A193" i="25" s="1"/>
  <c r="D26" i="14"/>
  <c r="D54" i="14"/>
  <c r="D18" i="14"/>
  <c r="C190" i="25"/>
  <c r="N500" i="78" l="1"/>
  <c r="F500" i="78"/>
  <c r="N531" i="78"/>
  <c r="F531" i="78"/>
  <c r="C193" i="25"/>
  <c r="N560" i="78"/>
  <c r="F560" i="78"/>
  <c r="D80" i="14"/>
  <c r="D113" i="14"/>
  <c r="D88" i="14"/>
  <c r="F561" i="78" l="1"/>
  <c r="N561" i="78"/>
  <c r="F562" i="78" l="1"/>
  <c r="N591" i="78" l="1"/>
  <c r="F591" i="78"/>
  <c r="N562" i="78"/>
  <c r="N592" i="78" l="1"/>
  <c r="F592" i="78"/>
  <c r="N593" i="78" l="1"/>
  <c r="F622" i="78"/>
  <c r="N622" i="78"/>
  <c r="F593" i="78"/>
  <c r="N623" i="78" l="1"/>
  <c r="F623" i="78"/>
  <c r="F624" i="78" l="1"/>
  <c r="N624" i="78"/>
  <c r="F34" i="21" l="1"/>
  <c r="D36" i="21"/>
  <c r="E35" i="21" l="1"/>
  <c r="E36" i="21" s="1"/>
  <c r="F35" i="21"/>
  <c r="F36" i="21" s="1"/>
  <c r="D139" i="25" s="1"/>
  <c r="G139" i="25" l="1"/>
  <c r="G143" i="25" s="1"/>
  <c r="D143" i="25"/>
  <c r="D145" i="25" s="1"/>
  <c r="G145" i="25" l="1"/>
  <c r="E11" i="24" s="1"/>
  <c r="E17" i="24" l="1"/>
  <c r="I11" i="24"/>
  <c r="E21" i="24" l="1"/>
  <c r="I17" i="24"/>
  <c r="E19" i="24"/>
  <c r="I19" i="24" s="1"/>
  <c r="E24" i="24" l="1"/>
  <c r="I24" i="24" s="1"/>
  <c r="E22" i="24"/>
  <c r="I21" i="24"/>
  <c r="I22" i="24" l="1"/>
  <c r="E23" i="24"/>
  <c r="I23" i="24" s="1"/>
  <c r="D25" i="74" l="1"/>
  <c r="C25" i="74" l="1"/>
  <c r="J157" i="78" s="1"/>
  <c r="E22" i="74"/>
  <c r="F22" i="74" l="1"/>
  <c r="G22" i="74" l="1"/>
  <c r="H148" i="78"/>
  <c r="H145" i="78"/>
  <c r="H144" i="78"/>
  <c r="H151" i="78"/>
  <c r="H149" i="78"/>
  <c r="M140" i="78"/>
  <c r="H143" i="78"/>
  <c r="H146" i="78"/>
  <c r="H147" i="78"/>
  <c r="H141" i="78"/>
  <c r="H142" i="78"/>
  <c r="H150" i="78"/>
  <c r="I140" i="78"/>
  <c r="E33" i="75" l="1"/>
  <c r="F33" i="75" s="1"/>
  <c r="G33" i="75" s="1"/>
  <c r="E43" i="75"/>
  <c r="G43" i="75" s="1"/>
  <c r="J160" i="78"/>
  <c r="N140" i="78"/>
  <c r="I145" i="78"/>
  <c r="M145" i="78"/>
  <c r="N145" i="78" s="1"/>
  <c r="M150" i="78"/>
  <c r="N150" i="78" s="1"/>
  <c r="I150" i="78"/>
  <c r="I146" i="78"/>
  <c r="M146" i="78"/>
  <c r="N146" i="78" s="1"/>
  <c r="M151" i="78"/>
  <c r="N151" i="78" s="1"/>
  <c r="I151" i="78"/>
  <c r="E29" i="75"/>
  <c r="G29" i="75" s="1"/>
  <c r="E40" i="75"/>
  <c r="G40" i="75" s="1"/>
  <c r="E25" i="75"/>
  <c r="C35" i="75"/>
  <c r="J140" i="78"/>
  <c r="M142" i="78"/>
  <c r="N142" i="78" s="1"/>
  <c r="I142" i="78"/>
  <c r="M143" i="78"/>
  <c r="N143" i="78" s="1"/>
  <c r="I143" i="78"/>
  <c r="I144" i="78"/>
  <c r="M144" i="78"/>
  <c r="N144" i="78" s="1"/>
  <c r="D35" i="75"/>
  <c r="M141" i="78"/>
  <c r="N141" i="78" s="1"/>
  <c r="I141" i="78"/>
  <c r="H152" i="78"/>
  <c r="M147" i="78"/>
  <c r="N147" i="78" s="1"/>
  <c r="I147" i="78"/>
  <c r="M149" i="78"/>
  <c r="N149" i="78" s="1"/>
  <c r="I149" i="78"/>
  <c r="I148" i="78"/>
  <c r="M148" i="78"/>
  <c r="N148" i="78" s="1"/>
  <c r="I152" i="78" l="1"/>
  <c r="P149" i="78"/>
  <c r="O149" i="78"/>
  <c r="P142" i="78"/>
  <c r="O142" i="78"/>
  <c r="P145" i="78"/>
  <c r="O145" i="78"/>
  <c r="P148" i="78"/>
  <c r="O148" i="78"/>
  <c r="P141" i="78"/>
  <c r="O141" i="78"/>
  <c r="F25" i="75"/>
  <c r="F35" i="75" s="1"/>
  <c r="P151" i="78"/>
  <c r="O151" i="78"/>
  <c r="P150" i="78"/>
  <c r="O150" i="78"/>
  <c r="P147" i="78"/>
  <c r="O147" i="78"/>
  <c r="H21" i="78"/>
  <c r="H18" i="78"/>
  <c r="H19" i="78"/>
  <c r="H23" i="78"/>
  <c r="H17" i="78"/>
  <c r="H25" i="78"/>
  <c r="M16" i="78"/>
  <c r="H22" i="78"/>
  <c r="H26" i="78"/>
  <c r="H24" i="78"/>
  <c r="H27" i="78"/>
  <c r="H20" i="78"/>
  <c r="I16" i="78"/>
  <c r="O143" i="78"/>
  <c r="P143" i="78"/>
  <c r="P146" i="78"/>
  <c r="O146" i="78"/>
  <c r="M152" i="78"/>
  <c r="P144" i="78"/>
  <c r="O144" i="78"/>
  <c r="J141" i="78"/>
  <c r="J142" i="78" s="1"/>
  <c r="J143" i="78" s="1"/>
  <c r="J144" i="78" s="1"/>
  <c r="J145" i="78" s="1"/>
  <c r="J146" i="78" s="1"/>
  <c r="J147" i="78" s="1"/>
  <c r="J148" i="78" s="1"/>
  <c r="J149" i="78" s="1"/>
  <c r="J150" i="78" s="1"/>
  <c r="J151" i="78" s="1"/>
  <c r="J158" i="78" s="1"/>
  <c r="J159" i="78" s="1"/>
  <c r="J161" i="78" s="1"/>
  <c r="E24" i="74" s="1"/>
  <c r="N152" i="78"/>
  <c r="P140" i="78"/>
  <c r="O140" i="78"/>
  <c r="F25" i="74" l="1"/>
  <c r="G24" i="74"/>
  <c r="G25" i="74" s="1"/>
  <c r="E25" i="74"/>
  <c r="H28" i="78"/>
  <c r="O152" i="78"/>
  <c r="Q140" i="78"/>
  <c r="Q141" i="78" s="1"/>
  <c r="Q142" i="78" s="1"/>
  <c r="Q143" i="78" s="1"/>
  <c r="Q144" i="78" s="1"/>
  <c r="Q145" i="78" s="1"/>
  <c r="Q146" i="78" s="1"/>
  <c r="Q147" i="78" s="1"/>
  <c r="Q148" i="78" s="1"/>
  <c r="Q149" i="78" s="1"/>
  <c r="Q150" i="78" s="1"/>
  <c r="Q151" i="78" s="1"/>
  <c r="Q158" i="78" s="1"/>
  <c r="Q159" i="78" s="1"/>
  <c r="Q161" i="78" s="1"/>
  <c r="E132" i="74" s="1"/>
  <c r="G132" i="74" s="1"/>
  <c r="G133" i="74" s="1"/>
  <c r="G148" i="74" s="1"/>
  <c r="G49" i="25" s="1"/>
  <c r="M24" i="78"/>
  <c r="N24" i="78" s="1"/>
  <c r="I24" i="78"/>
  <c r="M25" i="78"/>
  <c r="N25" i="78" s="1"/>
  <c r="I25" i="78"/>
  <c r="M18" i="78"/>
  <c r="N18" i="78" s="1"/>
  <c r="I18" i="78"/>
  <c r="P152" i="78"/>
  <c r="M26" i="78"/>
  <c r="N26" i="78" s="1"/>
  <c r="I26" i="78"/>
  <c r="M17" i="78"/>
  <c r="N17" i="78" s="1"/>
  <c r="I17" i="78"/>
  <c r="I21" i="78"/>
  <c r="M21" i="78"/>
  <c r="N21" i="78" s="1"/>
  <c r="G25" i="75"/>
  <c r="I20" i="78"/>
  <c r="M20" i="78"/>
  <c r="N20" i="78" s="1"/>
  <c r="I22" i="78"/>
  <c r="M22" i="78"/>
  <c r="N22" i="78" s="1"/>
  <c r="M23" i="78"/>
  <c r="N23" i="78" s="1"/>
  <c r="I23" i="78"/>
  <c r="M27" i="78"/>
  <c r="N27" i="78" s="1"/>
  <c r="I27" i="78"/>
  <c r="N16" i="78"/>
  <c r="I19" i="78"/>
  <c r="M19" i="78"/>
  <c r="N19" i="78" s="1"/>
  <c r="M28" i="78" l="1"/>
  <c r="P20" i="78"/>
  <c r="O20" i="78"/>
  <c r="P19" i="78"/>
  <c r="O19" i="78"/>
  <c r="I28" i="78"/>
  <c r="O22" i="78"/>
  <c r="P22" i="78"/>
  <c r="P21" i="78"/>
  <c r="O21" i="78"/>
  <c r="P27" i="78"/>
  <c r="O27" i="78"/>
  <c r="O26" i="78"/>
  <c r="P26" i="78"/>
  <c r="O18" i="78"/>
  <c r="P18" i="78"/>
  <c r="O24" i="78"/>
  <c r="P24" i="78"/>
  <c r="P16" i="78"/>
  <c r="N28" i="78"/>
  <c r="O16" i="78"/>
  <c r="Q16" i="78" s="1"/>
  <c r="O23" i="78"/>
  <c r="P23" i="78"/>
  <c r="O17" i="78"/>
  <c r="P17" i="78"/>
  <c r="O25" i="78"/>
  <c r="P25" i="78"/>
  <c r="J33" i="78" l="1"/>
  <c r="J36" i="78"/>
  <c r="J16" i="78"/>
  <c r="J17" i="78" s="1"/>
  <c r="J18" i="78" s="1"/>
  <c r="J19" i="78" s="1"/>
  <c r="J20" i="78" s="1"/>
  <c r="J21" i="78" s="1"/>
  <c r="J22" i="78" s="1"/>
  <c r="J23" i="78" s="1"/>
  <c r="J24" i="78" s="1"/>
  <c r="J25" i="78" s="1"/>
  <c r="J26" i="78" s="1"/>
  <c r="J27" i="78" s="1"/>
  <c r="J34" i="78" s="1"/>
  <c r="Q17" i="78"/>
  <c r="Q18" i="78" s="1"/>
  <c r="Q19" i="78" s="1"/>
  <c r="Q20" i="78" s="1"/>
  <c r="Q21" i="78" s="1"/>
  <c r="Q22" i="78" s="1"/>
  <c r="Q23" i="78" s="1"/>
  <c r="Q24" i="78" s="1"/>
  <c r="Q25" i="78" s="1"/>
  <c r="Q26" i="78" s="1"/>
  <c r="Q27" i="78" s="1"/>
  <c r="Q34" i="78" s="1"/>
  <c r="Q35" i="78" s="1"/>
  <c r="Q37" i="78" s="1"/>
  <c r="E134" i="75" s="1"/>
  <c r="G134" i="75" s="1"/>
  <c r="G135" i="75" s="1"/>
  <c r="O28" i="78"/>
  <c r="P28" i="78"/>
  <c r="J35" i="78" l="1"/>
  <c r="J37" i="78" s="1"/>
  <c r="E34" i="75" s="1"/>
  <c r="G34" i="75" l="1"/>
  <c r="G35" i="75" s="1"/>
  <c r="E35" i="75"/>
  <c r="H213" i="78"/>
  <c r="H203" i="78"/>
  <c r="H205" i="78"/>
  <c r="H210" i="78"/>
  <c r="H208" i="78"/>
  <c r="M202" i="78"/>
  <c r="H207" i="78"/>
  <c r="H209" i="78"/>
  <c r="H206" i="78"/>
  <c r="I202" i="78"/>
  <c r="H212" i="78"/>
  <c r="H211" i="78"/>
  <c r="H204" i="78"/>
  <c r="H214" i="78" l="1"/>
  <c r="J222" i="78"/>
  <c r="M211" i="78"/>
  <c r="N211" i="78" s="1"/>
  <c r="I211" i="78"/>
  <c r="I209" i="78"/>
  <c r="M209" i="78"/>
  <c r="N209" i="78" s="1"/>
  <c r="M210" i="78"/>
  <c r="N210" i="78" s="1"/>
  <c r="I210" i="78"/>
  <c r="I212" i="78"/>
  <c r="M212" i="78"/>
  <c r="N212" i="78" s="1"/>
  <c r="I207" i="78"/>
  <c r="M207" i="78"/>
  <c r="N207" i="78" s="1"/>
  <c r="I205" i="78"/>
  <c r="M205" i="78"/>
  <c r="N205" i="78" s="1"/>
  <c r="J202" i="78"/>
  <c r="N202" i="78"/>
  <c r="M203" i="78"/>
  <c r="N203" i="78" s="1"/>
  <c r="I203" i="78"/>
  <c r="I204" i="78"/>
  <c r="M204" i="78"/>
  <c r="N204" i="78" s="1"/>
  <c r="I206" i="78"/>
  <c r="M206" i="78"/>
  <c r="N206" i="78" s="1"/>
  <c r="I208" i="78"/>
  <c r="M208" i="78"/>
  <c r="N208" i="78" s="1"/>
  <c r="M213" i="78"/>
  <c r="N213" i="78" s="1"/>
  <c r="I213" i="78"/>
  <c r="J203" i="78" l="1"/>
  <c r="J204" i="78" s="1"/>
  <c r="J205" i="78" s="1"/>
  <c r="J206" i="78" s="1"/>
  <c r="J207" i="78" s="1"/>
  <c r="J208" i="78" s="1"/>
  <c r="J209" i="78" s="1"/>
  <c r="J210" i="78" s="1"/>
  <c r="J211" i="78" s="1"/>
  <c r="J212" i="78" s="1"/>
  <c r="J213" i="78" s="1"/>
  <c r="J220" i="78" s="1"/>
  <c r="J221" i="78" s="1"/>
  <c r="J223" i="78" s="1"/>
  <c r="M214" i="78"/>
  <c r="I214" i="78"/>
  <c r="O206" i="78"/>
  <c r="P206" i="78"/>
  <c r="O208" i="78"/>
  <c r="P208" i="78"/>
  <c r="P204" i="78"/>
  <c r="O204" i="78"/>
  <c r="O210" i="78"/>
  <c r="P210" i="78"/>
  <c r="P211" i="78"/>
  <c r="O211" i="78"/>
  <c r="P203" i="78"/>
  <c r="O203" i="78"/>
  <c r="P205" i="78"/>
  <c r="O205" i="78"/>
  <c r="O212" i="78"/>
  <c r="P212" i="78"/>
  <c r="P209" i="78"/>
  <c r="O209" i="78"/>
  <c r="O213" i="78"/>
  <c r="P213" i="78"/>
  <c r="N214" i="78"/>
  <c r="O202" i="78"/>
  <c r="P202" i="78"/>
  <c r="P207" i="78"/>
  <c r="O207" i="78"/>
  <c r="P214" i="78" l="1"/>
  <c r="Q202" i="78"/>
  <c r="Q203" i="78" s="1"/>
  <c r="Q204" i="78" s="1"/>
  <c r="Q205" i="78" s="1"/>
  <c r="Q206" i="78" s="1"/>
  <c r="Q207" i="78" s="1"/>
  <c r="Q208" i="78" s="1"/>
  <c r="Q209" i="78" s="1"/>
  <c r="Q210" i="78" s="1"/>
  <c r="Q211" i="78" s="1"/>
  <c r="Q212" i="78" s="1"/>
  <c r="Q213" i="78" s="1"/>
  <c r="Q220" i="78" s="1"/>
  <c r="Q221" i="78" s="1"/>
  <c r="Q223" i="78" s="1"/>
  <c r="E155" i="74" s="1"/>
  <c r="G155" i="74" s="1"/>
  <c r="G156" i="74" s="1"/>
  <c r="O214" i="78"/>
  <c r="P74" i="76" l="1"/>
  <c r="P90" i="76"/>
  <c r="P64" i="76"/>
  <c r="P73" i="76"/>
  <c r="P69" i="76"/>
  <c r="P65" i="76"/>
  <c r="P93" i="76"/>
  <c r="P89" i="76"/>
  <c r="P85" i="76"/>
  <c r="P70" i="76"/>
  <c r="P94" i="76"/>
  <c r="P86" i="76"/>
  <c r="P72" i="76"/>
  <c r="P68" i="76"/>
  <c r="P83" i="76"/>
  <c r="P92" i="76"/>
  <c r="P88" i="76"/>
  <c r="P84" i="76"/>
  <c r="P66" i="76"/>
  <c r="P75" i="76"/>
  <c r="P71" i="76"/>
  <c r="P67" i="76"/>
  <c r="P91" i="76"/>
  <c r="P87" i="76"/>
  <c r="H326" i="78" l="1"/>
  <c r="O77" i="76"/>
  <c r="P76" i="76"/>
  <c r="P77" i="76" s="1"/>
  <c r="F16" i="9" s="1"/>
  <c r="J325" i="78"/>
  <c r="J343" i="78" s="1"/>
  <c r="O96" i="76"/>
  <c r="P95" i="76"/>
  <c r="P102" i="76" s="1"/>
  <c r="J573" i="78"/>
  <c r="J591" i="78" s="1"/>
  <c r="H574" i="78"/>
  <c r="F37" i="9" l="1"/>
  <c r="G37" i="9" s="1"/>
  <c r="S110" i="76"/>
  <c r="F28" i="74" s="1"/>
  <c r="P96" i="76"/>
  <c r="S96" i="76"/>
  <c r="F27" i="9" s="1"/>
  <c r="G27" i="9" s="1"/>
  <c r="D27" i="3" s="1"/>
  <c r="H584" i="78"/>
  <c r="H578" i="78"/>
  <c r="H575" i="78"/>
  <c r="H581" i="78"/>
  <c r="H582" i="78"/>
  <c r="H579" i="78"/>
  <c r="H576" i="78"/>
  <c r="H583" i="78"/>
  <c r="H580" i="78"/>
  <c r="H585" i="78"/>
  <c r="H577" i="78"/>
  <c r="M574" i="78"/>
  <c r="I574" i="78"/>
  <c r="G16" i="9"/>
  <c r="F18" i="9"/>
  <c r="H327" i="78"/>
  <c r="H335" i="78"/>
  <c r="H332" i="78"/>
  <c r="H336" i="78"/>
  <c r="H333" i="78"/>
  <c r="H329" i="78"/>
  <c r="H331" i="78"/>
  <c r="H328" i="78"/>
  <c r="H330" i="78"/>
  <c r="H337" i="78"/>
  <c r="H334" i="78"/>
  <c r="I326" i="78"/>
  <c r="M326" i="78"/>
  <c r="G39" i="9" l="1"/>
  <c r="D112" i="3"/>
  <c r="D115" i="3" s="1"/>
  <c r="D43" i="3"/>
  <c r="G27" i="3"/>
  <c r="F26" i="9"/>
  <c r="G26" i="9" s="1"/>
  <c r="D26" i="3" s="1"/>
  <c r="G26" i="3" s="1"/>
  <c r="J26" i="3" s="1"/>
  <c r="F39" i="9"/>
  <c r="I367" i="78"/>
  <c r="M367" i="78"/>
  <c r="N367" i="78" s="1"/>
  <c r="O367" i="78" s="1"/>
  <c r="I358" i="78"/>
  <c r="M358" i="78"/>
  <c r="I363" i="78"/>
  <c r="M363" i="78"/>
  <c r="N363" i="78" s="1"/>
  <c r="O363" i="78" s="1"/>
  <c r="I368" i="78"/>
  <c r="M368" i="78"/>
  <c r="N368" i="78" s="1"/>
  <c r="O368" i="78" s="1"/>
  <c r="I362" i="78"/>
  <c r="M362" i="78"/>
  <c r="N362" i="78" s="1"/>
  <c r="O362" i="78" s="1"/>
  <c r="I360" i="78"/>
  <c r="M360" i="78"/>
  <c r="N360" i="78" s="1"/>
  <c r="O360" i="78" s="1"/>
  <c r="I361" i="78"/>
  <c r="M361" i="78"/>
  <c r="N361" i="78" s="1"/>
  <c r="O361" i="78" s="1"/>
  <c r="I359" i="78"/>
  <c r="M359" i="78"/>
  <c r="N359" i="78" s="1"/>
  <c r="O359" i="78" s="1"/>
  <c r="I366" i="78"/>
  <c r="M366" i="78"/>
  <c r="N366" i="78" s="1"/>
  <c r="O366" i="78" s="1"/>
  <c r="I364" i="78"/>
  <c r="M364" i="78"/>
  <c r="N364" i="78" s="1"/>
  <c r="O364" i="78" s="1"/>
  <c r="I365" i="78"/>
  <c r="M365" i="78"/>
  <c r="N365" i="78" s="1"/>
  <c r="O365" i="78" s="1"/>
  <c r="F28" i="9"/>
  <c r="H586" i="78"/>
  <c r="J346" i="78"/>
  <c r="J594" i="78"/>
  <c r="I583" i="78"/>
  <c r="M583" i="78"/>
  <c r="N583" i="78" s="1"/>
  <c r="I581" i="78"/>
  <c r="M581" i="78"/>
  <c r="N581" i="78" s="1"/>
  <c r="M334" i="78"/>
  <c r="N334" i="78" s="1"/>
  <c r="O334" i="78" s="1"/>
  <c r="I334" i="78"/>
  <c r="M331" i="78"/>
  <c r="N331" i="78" s="1"/>
  <c r="O331" i="78" s="1"/>
  <c r="I331" i="78"/>
  <c r="M332" i="78"/>
  <c r="N332" i="78" s="1"/>
  <c r="O332" i="78" s="1"/>
  <c r="I332" i="78"/>
  <c r="J574" i="78"/>
  <c r="M577" i="78"/>
  <c r="N577" i="78" s="1"/>
  <c r="I577" i="78"/>
  <c r="M576" i="78"/>
  <c r="N576" i="78" s="1"/>
  <c r="I576" i="78"/>
  <c r="M575" i="78"/>
  <c r="N575" i="78" s="1"/>
  <c r="I575" i="78"/>
  <c r="J326" i="78"/>
  <c r="I328" i="78"/>
  <c r="M328" i="78"/>
  <c r="N328" i="78" s="1"/>
  <c r="O328" i="78" s="1"/>
  <c r="M336" i="78"/>
  <c r="N336" i="78" s="1"/>
  <c r="O336" i="78" s="1"/>
  <c r="I336" i="78"/>
  <c r="N326" i="78"/>
  <c r="M337" i="78"/>
  <c r="N337" i="78" s="1"/>
  <c r="O337" i="78" s="1"/>
  <c r="I337" i="78"/>
  <c r="I329" i="78"/>
  <c r="M329" i="78"/>
  <c r="N329" i="78" s="1"/>
  <c r="O329" i="78" s="1"/>
  <c r="M335" i="78"/>
  <c r="N335" i="78" s="1"/>
  <c r="O335" i="78" s="1"/>
  <c r="I335" i="78"/>
  <c r="D15" i="3"/>
  <c r="G18" i="9"/>
  <c r="I585" i="78"/>
  <c r="M585" i="78"/>
  <c r="N585" i="78" s="1"/>
  <c r="I579" i="78"/>
  <c r="M579" i="78"/>
  <c r="N579" i="78" s="1"/>
  <c r="I578" i="78"/>
  <c r="M578" i="78"/>
  <c r="N578" i="78" s="1"/>
  <c r="H338" i="78"/>
  <c r="I330" i="78"/>
  <c r="M330" i="78"/>
  <c r="N330" i="78" s="1"/>
  <c r="O330" i="78" s="1"/>
  <c r="M333" i="78"/>
  <c r="N333" i="78" s="1"/>
  <c r="O333" i="78" s="1"/>
  <c r="I333" i="78"/>
  <c r="I327" i="78"/>
  <c r="M327" i="78"/>
  <c r="N327" i="78" s="1"/>
  <c r="O327" i="78" s="1"/>
  <c r="N574" i="78"/>
  <c r="I580" i="78"/>
  <c r="M580" i="78"/>
  <c r="N580" i="78" s="1"/>
  <c r="I582" i="78"/>
  <c r="M582" i="78"/>
  <c r="N582" i="78" s="1"/>
  <c r="I584" i="78"/>
  <c r="M584" i="78"/>
  <c r="N584" i="78" s="1"/>
  <c r="G112" i="3" l="1"/>
  <c r="J112" i="3" s="1"/>
  <c r="F33" i="74"/>
  <c r="F40" i="74" s="1"/>
  <c r="J27" i="3"/>
  <c r="G43" i="3"/>
  <c r="J43" i="3" s="1"/>
  <c r="N358" i="78"/>
  <c r="M369" i="78"/>
  <c r="I369" i="78"/>
  <c r="J358" i="78"/>
  <c r="J359" i="78" s="1"/>
  <c r="J360" i="78" s="1"/>
  <c r="J361" i="78" s="1"/>
  <c r="J362" i="78" s="1"/>
  <c r="J363" i="78" s="1"/>
  <c r="J364" i="78" s="1"/>
  <c r="J365" i="78" s="1"/>
  <c r="J366" i="78" s="1"/>
  <c r="J367" i="78" s="1"/>
  <c r="J368" i="78" s="1"/>
  <c r="J375" i="78" s="1"/>
  <c r="J376" i="78" s="1"/>
  <c r="J378" i="78" s="1"/>
  <c r="E109" i="76" s="1"/>
  <c r="I586" i="78"/>
  <c r="I338" i="78"/>
  <c r="J327" i="78"/>
  <c r="J328" i="78" s="1"/>
  <c r="J329" i="78" s="1"/>
  <c r="J330" i="78" s="1"/>
  <c r="J331" i="78" s="1"/>
  <c r="J332" i="78" s="1"/>
  <c r="J333" i="78" s="1"/>
  <c r="J334" i="78" s="1"/>
  <c r="J335" i="78" s="1"/>
  <c r="J336" i="78" s="1"/>
  <c r="J337" i="78" s="1"/>
  <c r="J344" i="78" s="1"/>
  <c r="J345" i="78" s="1"/>
  <c r="J347" i="78" s="1"/>
  <c r="D109" i="76" s="1"/>
  <c r="D110" i="76" s="1"/>
  <c r="O582" i="78"/>
  <c r="P582" i="78"/>
  <c r="P584" i="78"/>
  <c r="O584" i="78"/>
  <c r="O580" i="78"/>
  <c r="P580" i="78"/>
  <c r="O578" i="78"/>
  <c r="P578" i="78"/>
  <c r="P585" i="78"/>
  <c r="O585" i="78"/>
  <c r="O576" i="78"/>
  <c r="P576" i="78"/>
  <c r="O581" i="78"/>
  <c r="P581" i="78"/>
  <c r="M586" i="78"/>
  <c r="P579" i="78"/>
  <c r="O579" i="78"/>
  <c r="M338" i="78"/>
  <c r="O575" i="78"/>
  <c r="P575" i="78"/>
  <c r="O577" i="78"/>
  <c r="P577" i="78"/>
  <c r="O583" i="78"/>
  <c r="P583" i="78"/>
  <c r="N586" i="78"/>
  <c r="O574" i="78"/>
  <c r="P574" i="78"/>
  <c r="D42" i="3"/>
  <c r="D17" i="3"/>
  <c r="G15" i="3"/>
  <c r="N338" i="78"/>
  <c r="O326" i="78"/>
  <c r="Q326" i="78" s="1"/>
  <c r="Q327" i="78" s="1"/>
  <c r="Q328" i="78" s="1"/>
  <c r="Q329" i="78" s="1"/>
  <c r="Q330" i="78" s="1"/>
  <c r="Q331" i="78" s="1"/>
  <c r="Q332" i="78" s="1"/>
  <c r="Q333" i="78" s="1"/>
  <c r="Q334" i="78" s="1"/>
  <c r="Q335" i="78" s="1"/>
  <c r="Q336" i="78" s="1"/>
  <c r="Q337" i="78" s="1"/>
  <c r="Q344" i="78" s="1"/>
  <c r="Q345" i="78" s="1"/>
  <c r="Q347" i="78" s="1"/>
  <c r="D109" i="77" s="1"/>
  <c r="J575" i="78"/>
  <c r="J576" i="78" s="1"/>
  <c r="J577" i="78" s="1"/>
  <c r="J578" i="78" s="1"/>
  <c r="J579" i="78" s="1"/>
  <c r="J580" i="78" s="1"/>
  <c r="J581" i="78" s="1"/>
  <c r="J582" i="78" s="1"/>
  <c r="J583" i="78" s="1"/>
  <c r="J584" i="78" s="1"/>
  <c r="J585" i="78" s="1"/>
  <c r="J592" i="78" s="1"/>
  <c r="J593" i="78" s="1"/>
  <c r="J595" i="78" s="1"/>
  <c r="O109" i="76" s="1"/>
  <c r="G115" i="3" l="1"/>
  <c r="J115" i="3" s="1"/>
  <c r="O110" i="76"/>
  <c r="P109" i="76"/>
  <c r="P110" i="76" s="1"/>
  <c r="F56" i="74" s="1"/>
  <c r="F109" i="76"/>
  <c r="F110" i="76" s="1"/>
  <c r="F58" i="74" s="1"/>
  <c r="E110" i="76"/>
  <c r="O358" i="78"/>
  <c r="N369" i="78"/>
  <c r="P586" i="78"/>
  <c r="G17" i="3"/>
  <c r="J15" i="3"/>
  <c r="G42" i="3"/>
  <c r="J42" i="3" s="1"/>
  <c r="O586" i="78"/>
  <c r="D110" i="77"/>
  <c r="O338" i="78"/>
  <c r="Q574" i="78"/>
  <c r="Q575" i="78" s="1"/>
  <c r="Q576" i="78" s="1"/>
  <c r="Q577" i="78" s="1"/>
  <c r="Q578" i="78" s="1"/>
  <c r="Q579" i="78" s="1"/>
  <c r="Q580" i="78" s="1"/>
  <c r="Q581" i="78" s="1"/>
  <c r="Q582" i="78" s="1"/>
  <c r="Q583" i="78" s="1"/>
  <c r="Q584" i="78" s="1"/>
  <c r="Q585" i="78" s="1"/>
  <c r="Q592" i="78" s="1"/>
  <c r="Q593" i="78" s="1"/>
  <c r="Q595" i="78" s="1"/>
  <c r="O109" i="77" s="1"/>
  <c r="G58" i="74" l="1"/>
  <c r="F60" i="74"/>
  <c r="O369" i="78"/>
  <c r="Q358" i="78"/>
  <c r="Q359" i="78" s="1"/>
  <c r="Q360" i="78" s="1"/>
  <c r="Q361" i="78" s="1"/>
  <c r="Q362" i="78" s="1"/>
  <c r="Q363" i="78" s="1"/>
  <c r="Q364" i="78" s="1"/>
  <c r="Q365" i="78" s="1"/>
  <c r="Q366" i="78" s="1"/>
  <c r="Q367" i="78" s="1"/>
  <c r="Q368" i="78" s="1"/>
  <c r="Q375" i="78" s="1"/>
  <c r="Q376" i="78" s="1"/>
  <c r="E109" i="77" s="1"/>
  <c r="J17" i="3"/>
  <c r="F18" i="3"/>
  <c r="O110" i="77"/>
  <c r="P109" i="77"/>
  <c r="P110" i="77" s="1"/>
  <c r="F160" i="74" s="1"/>
  <c r="E110" i="77" l="1"/>
  <c r="F109" i="77"/>
  <c r="F110" i="77" s="1"/>
  <c r="F162" i="74" s="1"/>
  <c r="G162" i="74" s="1"/>
  <c r="E46" i="76"/>
  <c r="E50" i="76" s="1"/>
  <c r="I46" i="76"/>
  <c r="I50" i="76" s="1"/>
  <c r="D24" i="9" s="1"/>
  <c r="G24" i="9" s="1"/>
  <c r="D24" i="3" s="1"/>
  <c r="D46" i="76"/>
  <c r="D50" i="76" s="1"/>
  <c r="G46" i="76"/>
  <c r="G50" i="76" s="1"/>
  <c r="D22" i="9" s="1"/>
  <c r="G22" i="9" s="1"/>
  <c r="D22" i="3" s="1"/>
  <c r="F46" i="76"/>
  <c r="F50" i="76" s="1"/>
  <c r="H46" i="76"/>
  <c r="H50" i="76" s="1"/>
  <c r="D23" i="9" s="1"/>
  <c r="G23" i="9" s="1"/>
  <c r="D23" i="3" s="1"/>
  <c r="F164" i="74" l="1"/>
  <c r="F204" i="74" s="1"/>
  <c r="G22" i="3"/>
  <c r="D38" i="3"/>
  <c r="D21" i="9"/>
  <c r="G23" i="3"/>
  <c r="D39" i="3"/>
  <c r="D40" i="3"/>
  <c r="G24" i="3"/>
  <c r="J23" i="3" l="1"/>
  <c r="G39" i="3"/>
  <c r="J39" i="3" s="1"/>
  <c r="J24" i="3"/>
  <c r="G40" i="3"/>
  <c r="J40" i="3" s="1"/>
  <c r="G21" i="9"/>
  <c r="D28" i="9"/>
  <c r="J22" i="3"/>
  <c r="G38" i="3"/>
  <c r="J38" i="3" s="1"/>
  <c r="D21" i="3" l="1"/>
  <c r="G28" i="9"/>
  <c r="G21" i="3" l="1"/>
  <c r="D28" i="3"/>
  <c r="D37" i="3"/>
  <c r="D44" i="3" s="1"/>
  <c r="J21" i="3" l="1"/>
  <c r="G37" i="3"/>
  <c r="G28" i="3"/>
  <c r="J28" i="3" s="1"/>
  <c r="J37" i="3" l="1"/>
  <c r="G44" i="3"/>
  <c r="J44" i="3" l="1"/>
  <c r="F45" i="3"/>
  <c r="G58" i="75" l="1"/>
  <c r="F132" i="3"/>
  <c r="G132" i="3" s="1"/>
  <c r="J132" i="3" s="1"/>
  <c r="G80" i="74"/>
  <c r="F119" i="3"/>
  <c r="G119" i="3" s="1"/>
  <c r="F65" i="3"/>
  <c r="F66" i="3"/>
  <c r="F98" i="3"/>
  <c r="G98" i="3" s="1"/>
  <c r="J119" i="3" l="1"/>
  <c r="G121" i="3"/>
  <c r="J121" i="3" s="1"/>
  <c r="G100" i="3"/>
  <c r="J98" i="3"/>
  <c r="J100" i="3" l="1"/>
  <c r="G102" i="3"/>
  <c r="J102" i="3" s="1"/>
  <c r="J439" i="78" l="1"/>
  <c r="H431" i="78"/>
  <c r="M420" i="78"/>
  <c r="N420" i="78" s="1"/>
  <c r="I420" i="78"/>
  <c r="J420" i="78" s="1"/>
  <c r="J421" i="78" s="1"/>
  <c r="J422" i="78" s="1"/>
  <c r="J423" i="78" s="1"/>
  <c r="J424" i="78" s="1"/>
  <c r="J425" i="78" s="1"/>
  <c r="J426" i="78" s="1"/>
  <c r="J427" i="78" s="1"/>
  <c r="J428" i="78" s="1"/>
  <c r="J429" i="78" s="1"/>
  <c r="J430" i="78" s="1"/>
  <c r="J437" i="78" s="1"/>
  <c r="J438" i="78" s="1"/>
  <c r="J440" i="78" l="1"/>
  <c r="H109" i="76" s="1"/>
  <c r="H110" i="76" s="1"/>
  <c r="M431" i="78"/>
  <c r="O420" i="78"/>
  <c r="O431" i="78" s="1"/>
  <c r="P420" i="78"/>
  <c r="P431" i="78" s="1"/>
  <c r="N431" i="78"/>
  <c r="I431" i="78"/>
  <c r="I109" i="76" l="1"/>
  <c r="I110" i="76" s="1"/>
  <c r="Q420" i="78"/>
  <c r="Q421" i="78" s="1"/>
  <c r="Q422" i="78" s="1"/>
  <c r="Q423" i="78" s="1"/>
  <c r="Q424" i="78" s="1"/>
  <c r="Q425" i="78" s="1"/>
  <c r="Q426" i="78" s="1"/>
  <c r="Q427" i="78" s="1"/>
  <c r="Q428" i="78" s="1"/>
  <c r="Q429" i="78" s="1"/>
  <c r="Q430" i="78" s="1"/>
  <c r="Q437" i="78" s="1"/>
  <c r="Q438" i="78" s="1"/>
  <c r="Q440" i="78" s="1"/>
  <c r="H109" i="77" s="1"/>
  <c r="H110" i="77" l="1"/>
  <c r="I109" i="77"/>
  <c r="I110" i="77" s="1"/>
  <c r="E24" i="58" l="1"/>
  <c r="E39" i="58" l="1"/>
  <c r="D64" i="3" s="1"/>
  <c r="E41" i="58"/>
  <c r="D65" i="3" s="1"/>
  <c r="G65" i="3" s="1"/>
  <c r="J65" i="3" s="1"/>
  <c r="G64" i="3" l="1"/>
  <c r="J64" i="3" l="1"/>
  <c r="J232" i="78" l="1"/>
  <c r="E55" i="74"/>
  <c r="E29" i="74"/>
  <c r="G29" i="74" s="1"/>
  <c r="D33" i="74"/>
  <c r="D40" i="74" s="1"/>
  <c r="C60" i="74"/>
  <c r="H171" i="78" l="1"/>
  <c r="J170" i="78"/>
  <c r="J188" i="78" s="1"/>
  <c r="H233" i="78"/>
  <c r="E56" i="74"/>
  <c r="G56" i="74" s="1"/>
  <c r="J250" i="78"/>
  <c r="G55" i="74"/>
  <c r="E28" i="74"/>
  <c r="C33" i="74"/>
  <c r="C40" i="74" s="1"/>
  <c r="D60" i="74"/>
  <c r="D45" i="75"/>
  <c r="C45" i="75"/>
  <c r="E38" i="75"/>
  <c r="E39" i="75"/>
  <c r="G39" i="75" s="1"/>
  <c r="M171" i="78" l="1"/>
  <c r="H234" i="78"/>
  <c r="G28" i="74"/>
  <c r="G38" i="75"/>
  <c r="H47" i="78"/>
  <c r="J46" i="78"/>
  <c r="J64" i="78" s="1"/>
  <c r="H172" i="78" l="1"/>
  <c r="I172" i="78" s="1"/>
  <c r="H182" i="78"/>
  <c r="I182" i="78" s="1"/>
  <c r="H173" i="78"/>
  <c r="I173" i="78" s="1"/>
  <c r="H174" i="78"/>
  <c r="I174" i="78" s="1"/>
  <c r="H175" i="78"/>
  <c r="M175" i="78" s="1"/>
  <c r="N175" i="78" s="1"/>
  <c r="H181" i="78"/>
  <c r="M181" i="78" s="1"/>
  <c r="N181" i="78" s="1"/>
  <c r="H180" i="78"/>
  <c r="M180" i="78" s="1"/>
  <c r="N180" i="78" s="1"/>
  <c r="H241" i="78"/>
  <c r="I241" i="78" s="1"/>
  <c r="H239" i="78"/>
  <c r="M239" i="78" s="1"/>
  <c r="N239" i="78" s="1"/>
  <c r="H235" i="78"/>
  <c r="I235" i="78" s="1"/>
  <c r="I233" i="78"/>
  <c r="J233" i="78" s="1"/>
  <c r="H240" i="78"/>
  <c r="I240" i="78" s="1"/>
  <c r="H244" i="78"/>
  <c r="I244" i="78" s="1"/>
  <c r="H178" i="78"/>
  <c r="M178" i="78" s="1"/>
  <c r="N178" i="78" s="1"/>
  <c r="I171" i="78"/>
  <c r="J171" i="78" s="1"/>
  <c r="H177" i="78"/>
  <c r="I177" i="78" s="1"/>
  <c r="H176" i="78"/>
  <c r="M176" i="78" s="1"/>
  <c r="N176" i="78" s="1"/>
  <c r="H179" i="78"/>
  <c r="I179" i="78" s="1"/>
  <c r="H237" i="78"/>
  <c r="M237" i="78" s="1"/>
  <c r="N237" i="78" s="1"/>
  <c r="H238" i="78"/>
  <c r="I238" i="78" s="1"/>
  <c r="M233" i="78"/>
  <c r="N233" i="78" s="1"/>
  <c r="H242" i="78"/>
  <c r="M242" i="78" s="1"/>
  <c r="N242" i="78" s="1"/>
  <c r="H243" i="78"/>
  <c r="I243" i="78" s="1"/>
  <c r="H236" i="78"/>
  <c r="M236" i="78" s="1"/>
  <c r="N236" i="78" s="1"/>
  <c r="M234" i="78"/>
  <c r="N234" i="78" s="1"/>
  <c r="I234" i="78"/>
  <c r="H58" i="78"/>
  <c r="H57" i="78"/>
  <c r="H55" i="78"/>
  <c r="H56" i="78"/>
  <c r="H50" i="78"/>
  <c r="I47" i="78"/>
  <c r="H54" i="78"/>
  <c r="H52" i="78"/>
  <c r="M47" i="78"/>
  <c r="H53" i="78"/>
  <c r="H48" i="78"/>
  <c r="H49" i="78"/>
  <c r="H51" i="78"/>
  <c r="N171" i="78"/>
  <c r="I175" i="78" l="1"/>
  <c r="M241" i="78"/>
  <c r="N241" i="78" s="1"/>
  <c r="P241" i="78" s="1"/>
  <c r="M243" i="78"/>
  <c r="N243" i="78" s="1"/>
  <c r="O243" i="78" s="1"/>
  <c r="I180" i="78"/>
  <c r="I181" i="78"/>
  <c r="M173" i="78"/>
  <c r="N173" i="78" s="1"/>
  <c r="P173" i="78" s="1"/>
  <c r="M174" i="78"/>
  <c r="N174" i="78" s="1"/>
  <c r="P174" i="78" s="1"/>
  <c r="M172" i="78"/>
  <c r="N172" i="78" s="1"/>
  <c r="P172" i="78" s="1"/>
  <c r="M182" i="78"/>
  <c r="N182" i="78" s="1"/>
  <c r="O182" i="78" s="1"/>
  <c r="I176" i="78"/>
  <c r="I242" i="78"/>
  <c r="M240" i="78"/>
  <c r="N240" i="78" s="1"/>
  <c r="P240" i="78" s="1"/>
  <c r="M235" i="78"/>
  <c r="N235" i="78" s="1"/>
  <c r="P235" i="78" s="1"/>
  <c r="I239" i="78"/>
  <c r="J191" i="78"/>
  <c r="M238" i="78"/>
  <c r="N238" i="78" s="1"/>
  <c r="P238" i="78" s="1"/>
  <c r="M179" i="78"/>
  <c r="N179" i="78" s="1"/>
  <c r="O179" i="78" s="1"/>
  <c r="H183" i="78"/>
  <c r="M177" i="78"/>
  <c r="N177" i="78" s="1"/>
  <c r="P177" i="78" s="1"/>
  <c r="M244" i="78"/>
  <c r="N244" i="78" s="1"/>
  <c r="O244" i="78" s="1"/>
  <c r="I236" i="78"/>
  <c r="I178" i="78"/>
  <c r="H245" i="78"/>
  <c r="I237" i="78"/>
  <c r="J253" i="78"/>
  <c r="N47" i="78"/>
  <c r="M50" i="78"/>
  <c r="N50" i="78" s="1"/>
  <c r="I50" i="78"/>
  <c r="M58" i="78"/>
  <c r="N58" i="78" s="1"/>
  <c r="I58" i="78"/>
  <c r="P171" i="78"/>
  <c r="O171" i="78"/>
  <c r="Q171" i="78" s="1"/>
  <c r="O176" i="78"/>
  <c r="P176" i="78"/>
  <c r="O237" i="78"/>
  <c r="P237" i="78"/>
  <c r="P239" i="78"/>
  <c r="O239" i="78"/>
  <c r="M49" i="78"/>
  <c r="N49" i="78" s="1"/>
  <c r="I49" i="78"/>
  <c r="M52" i="78"/>
  <c r="N52" i="78" s="1"/>
  <c r="I52" i="78"/>
  <c r="M56" i="78"/>
  <c r="N56" i="78" s="1"/>
  <c r="I56" i="78"/>
  <c r="J234" i="78"/>
  <c r="J235" i="78" s="1"/>
  <c r="P236" i="78"/>
  <c r="O236" i="78"/>
  <c r="I51" i="78"/>
  <c r="M51" i="78"/>
  <c r="N51" i="78" s="1"/>
  <c r="J67" i="78"/>
  <c r="I48" i="78"/>
  <c r="M48" i="78"/>
  <c r="N48" i="78" s="1"/>
  <c r="I54" i="78"/>
  <c r="M54" i="78"/>
  <c r="N54" i="78" s="1"/>
  <c r="M55" i="78"/>
  <c r="N55" i="78" s="1"/>
  <c r="I55" i="78"/>
  <c r="P233" i="78"/>
  <c r="O233" i="78"/>
  <c r="O234" i="78"/>
  <c r="P234" i="78"/>
  <c r="P178" i="78"/>
  <c r="O178" i="78"/>
  <c r="P175" i="78"/>
  <c r="O175" i="78"/>
  <c r="P242" i="78"/>
  <c r="O242" i="78"/>
  <c r="P180" i="78"/>
  <c r="O180" i="78"/>
  <c r="J172" i="78"/>
  <c r="J173" i="78" s="1"/>
  <c r="J174" i="78" s="1"/>
  <c r="J175" i="78" s="1"/>
  <c r="H59" i="78"/>
  <c r="I53" i="78"/>
  <c r="M53" i="78"/>
  <c r="N53" i="78" s="1"/>
  <c r="J47" i="78"/>
  <c r="M57" i="78"/>
  <c r="N57" i="78" s="1"/>
  <c r="I57" i="78"/>
  <c r="P181" i="78"/>
  <c r="O181" i="78"/>
  <c r="O172" i="78" l="1"/>
  <c r="Q172" i="78" s="1"/>
  <c r="P243" i="78"/>
  <c r="O174" i="78"/>
  <c r="O241" i="78"/>
  <c r="O235" i="78"/>
  <c r="J176" i="78"/>
  <c r="J177" i="78" s="1"/>
  <c r="J178" i="78" s="1"/>
  <c r="J179" i="78" s="1"/>
  <c r="J180" i="78" s="1"/>
  <c r="J181" i="78" s="1"/>
  <c r="J182" i="78" s="1"/>
  <c r="J189" i="78" s="1"/>
  <c r="J190" i="78" s="1"/>
  <c r="J192" i="78" s="1"/>
  <c r="E32" i="74" s="1"/>
  <c r="G32" i="74" s="1"/>
  <c r="G33" i="74" s="1"/>
  <c r="G35" i="74" s="1"/>
  <c r="G40" i="74" s="1"/>
  <c r="G49" i="3" s="1"/>
  <c r="O173" i="78"/>
  <c r="I183" i="78"/>
  <c r="P182" i="78"/>
  <c r="N183" i="78"/>
  <c r="O240" i="78"/>
  <c r="P179" i="78"/>
  <c r="J236" i="78"/>
  <c r="J237" i="78" s="1"/>
  <c r="J238" i="78" s="1"/>
  <c r="J239" i="78" s="1"/>
  <c r="J240" i="78" s="1"/>
  <c r="J241" i="78" s="1"/>
  <c r="J242" i="78" s="1"/>
  <c r="J243" i="78" s="1"/>
  <c r="J244" i="78" s="1"/>
  <c r="J251" i="78" s="1"/>
  <c r="J252" i="78" s="1"/>
  <c r="J254" i="78" s="1"/>
  <c r="E59" i="74" s="1"/>
  <c r="G59" i="74" s="1"/>
  <c r="G60" i="74" s="1"/>
  <c r="G62" i="74" s="1"/>
  <c r="I245" i="78"/>
  <c r="N245" i="78"/>
  <c r="O238" i="78"/>
  <c r="O177" i="78"/>
  <c r="M245" i="78"/>
  <c r="P244" i="78"/>
  <c r="M183" i="78"/>
  <c r="I59" i="78"/>
  <c r="O53" i="78"/>
  <c r="P53" i="78"/>
  <c r="Q233" i="78"/>
  <c r="Q234" i="78" s="1"/>
  <c r="P55" i="78"/>
  <c r="O55" i="78"/>
  <c r="J48" i="78"/>
  <c r="J49" i="78" s="1"/>
  <c r="J50" i="78" s="1"/>
  <c r="J51" i="78" s="1"/>
  <c r="J52" i="78" s="1"/>
  <c r="J53" i="78" s="1"/>
  <c r="J54" i="78" s="1"/>
  <c r="J55" i="78" s="1"/>
  <c r="J56" i="78" s="1"/>
  <c r="J57" i="78" s="1"/>
  <c r="J58" i="78" s="1"/>
  <c r="J65" i="78" s="1"/>
  <c r="J66" i="78" s="1"/>
  <c r="J68" i="78" s="1"/>
  <c r="E44" i="75" s="1"/>
  <c r="P52" i="78"/>
  <c r="O52" i="78"/>
  <c r="O50" i="78"/>
  <c r="P50" i="78"/>
  <c r="O54" i="78"/>
  <c r="P54" i="78"/>
  <c r="M59" i="78"/>
  <c r="P57" i="78"/>
  <c r="O57" i="78"/>
  <c r="O56" i="78"/>
  <c r="P56" i="78"/>
  <c r="O49" i="78"/>
  <c r="P49" i="78"/>
  <c r="P58" i="78"/>
  <c r="O58" i="78"/>
  <c r="N59" i="78"/>
  <c r="O47" i="78"/>
  <c r="P47" i="78"/>
  <c r="O48" i="78"/>
  <c r="P48" i="78"/>
  <c r="O51" i="78"/>
  <c r="P51" i="78"/>
  <c r="P245" i="78" l="1"/>
  <c r="Q235" i="78"/>
  <c r="Q236" i="78" s="1"/>
  <c r="Q237" i="78" s="1"/>
  <c r="Q238" i="78" s="1"/>
  <c r="Q239" i="78" s="1"/>
  <c r="Q240" i="78" s="1"/>
  <c r="Q241" i="78" s="1"/>
  <c r="Q242" i="78" s="1"/>
  <c r="Q243" i="78" s="1"/>
  <c r="Q244" i="78" s="1"/>
  <c r="Q251" i="78" s="1"/>
  <c r="Q252" i="78" s="1"/>
  <c r="Q254" i="78" s="1"/>
  <c r="E163" i="74" s="1"/>
  <c r="G163" i="74" s="1"/>
  <c r="O245" i="78"/>
  <c r="P183" i="78"/>
  <c r="Q173" i="78"/>
  <c r="Q174" i="78" s="1"/>
  <c r="Q175" i="78" s="1"/>
  <c r="Q176" i="78" s="1"/>
  <c r="Q177" i="78" s="1"/>
  <c r="Q178" i="78" s="1"/>
  <c r="Q179" i="78" s="1"/>
  <c r="Q180" i="78" s="1"/>
  <c r="Q181" i="78" s="1"/>
  <c r="Q182" i="78" s="1"/>
  <c r="Q189" i="78" s="1"/>
  <c r="Q190" i="78" s="1"/>
  <c r="Q192" i="78" s="1"/>
  <c r="E140" i="74" s="1"/>
  <c r="G140" i="74" s="1"/>
  <c r="O183" i="78"/>
  <c r="E33" i="74"/>
  <c r="E40" i="74" s="1"/>
  <c r="D49" i="3" s="1"/>
  <c r="E60" i="74"/>
  <c r="Q47" i="78"/>
  <c r="Q48" i="78" s="1"/>
  <c r="Q49" i="78" s="1"/>
  <c r="Q50" i="78" s="1"/>
  <c r="Q51" i="78" s="1"/>
  <c r="Q52" i="78" s="1"/>
  <c r="Q53" i="78" s="1"/>
  <c r="Q54" i="78" s="1"/>
  <c r="Q55" i="78" s="1"/>
  <c r="Q56" i="78" s="1"/>
  <c r="Q57" i="78" s="1"/>
  <c r="Q58" i="78" s="1"/>
  <c r="Q65" i="78" s="1"/>
  <c r="Q66" i="78" s="1"/>
  <c r="E144" i="75" s="1"/>
  <c r="G144" i="75" s="1"/>
  <c r="G145" i="75" s="1"/>
  <c r="G147" i="75" s="1"/>
  <c r="O59" i="78"/>
  <c r="P59" i="78"/>
  <c r="J49" i="3"/>
  <c r="G44" i="75"/>
  <c r="G45" i="75" s="1"/>
  <c r="G47" i="75" s="1"/>
  <c r="E45" i="75"/>
  <c r="E91" i="75" l="1"/>
  <c r="E87" i="75"/>
  <c r="F87" i="75" s="1"/>
  <c r="G87" i="75" s="1"/>
  <c r="E86" i="75"/>
  <c r="E85" i="75"/>
  <c r="F85" i="75" s="1"/>
  <c r="G85" i="75" s="1"/>
  <c r="E84" i="75"/>
  <c r="F84" i="75" s="1"/>
  <c r="G84" i="75" s="1"/>
  <c r="E83" i="75"/>
  <c r="F83" i="75" s="1"/>
  <c r="G83" i="75" s="1"/>
  <c r="E82" i="75"/>
  <c r="F82" i="75" s="1"/>
  <c r="G82" i="75" s="1"/>
  <c r="E81" i="75"/>
  <c r="F81" i="75" s="1"/>
  <c r="G81" i="75" s="1"/>
  <c r="E80" i="75"/>
  <c r="F80" i="75" s="1"/>
  <c r="G80" i="75" s="1"/>
  <c r="E79" i="75"/>
  <c r="F79" i="75" s="1"/>
  <c r="G79" i="75" s="1"/>
  <c r="E72" i="75"/>
  <c r="G72" i="75" s="1"/>
  <c r="E69" i="75"/>
  <c r="G69" i="75" s="1"/>
  <c r="E68" i="75"/>
  <c r="G68" i="75" s="1"/>
  <c r="E67" i="75"/>
  <c r="G67" i="75" s="1"/>
  <c r="E66" i="75"/>
  <c r="G66" i="75" s="1"/>
  <c r="E65" i="75"/>
  <c r="G65" i="75" s="1"/>
  <c r="E64" i="75"/>
  <c r="G64" i="75" s="1"/>
  <c r="E63" i="75"/>
  <c r="G63" i="75" s="1"/>
  <c r="E55" i="75"/>
  <c r="G55" i="75" s="1"/>
  <c r="E54" i="75"/>
  <c r="G54" i="75" s="1"/>
  <c r="E53" i="75"/>
  <c r="G53" i="75" s="1"/>
  <c r="E52" i="75"/>
  <c r="G52" i="75" s="1"/>
  <c r="E51" i="75"/>
  <c r="G51" i="75" s="1"/>
  <c r="E18" i="75"/>
  <c r="F18" i="75" s="1"/>
  <c r="G18" i="75" s="1"/>
  <c r="E68" i="74"/>
  <c r="F68" i="74" l="1"/>
  <c r="F69" i="74" s="1"/>
  <c r="E19" i="75"/>
  <c r="F19" i="75" s="1"/>
  <c r="G19" i="75" s="1"/>
  <c r="E62" i="75"/>
  <c r="C73" i="75"/>
  <c r="F91" i="75"/>
  <c r="G91" i="75" s="1"/>
  <c r="C93" i="75"/>
  <c r="E92" i="75"/>
  <c r="E17" i="75"/>
  <c r="C20" i="75"/>
  <c r="F86" i="75"/>
  <c r="G86" i="75" s="1"/>
  <c r="C88" i="75"/>
  <c r="E78" i="75"/>
  <c r="D88" i="75"/>
  <c r="E50" i="75"/>
  <c r="C57" i="75"/>
  <c r="J77" i="78" s="1"/>
  <c r="J95" i="78" s="1"/>
  <c r="D20" i="75"/>
  <c r="D57" i="75"/>
  <c r="D73" i="75"/>
  <c r="D93" i="75"/>
  <c r="D97" i="74"/>
  <c r="E87" i="74"/>
  <c r="F87" i="74" s="1"/>
  <c r="G87" i="74" s="1"/>
  <c r="E91" i="74"/>
  <c r="F91" i="74" s="1"/>
  <c r="G91" i="74" s="1"/>
  <c r="E86" i="74"/>
  <c r="F86" i="74" s="1"/>
  <c r="G86" i="74" s="1"/>
  <c r="E75" i="74"/>
  <c r="G75" i="74" s="1"/>
  <c r="D79" i="74"/>
  <c r="H78" i="78" l="1"/>
  <c r="H86" i="78" s="1"/>
  <c r="C96" i="75"/>
  <c r="G62" i="75"/>
  <c r="G73" i="75" s="1"/>
  <c r="G75" i="75" s="1"/>
  <c r="E73" i="75"/>
  <c r="E65" i="74"/>
  <c r="C69" i="74"/>
  <c r="E84" i="74"/>
  <c r="C92" i="74"/>
  <c r="F78" i="75"/>
  <c r="F88" i="75" s="1"/>
  <c r="E88" i="75"/>
  <c r="D69" i="74"/>
  <c r="D92" i="74"/>
  <c r="D96" i="75"/>
  <c r="F17" i="75"/>
  <c r="F20" i="75" s="1"/>
  <c r="E20" i="75"/>
  <c r="G68" i="74"/>
  <c r="E74" i="74"/>
  <c r="C79" i="74"/>
  <c r="J263" i="78" s="1"/>
  <c r="J281" i="78" s="1"/>
  <c r="E77" i="74"/>
  <c r="G77" i="74" s="1"/>
  <c r="E85" i="74"/>
  <c r="F85" i="74" s="1"/>
  <c r="G85" i="74" s="1"/>
  <c r="E88" i="74"/>
  <c r="F88" i="74" s="1"/>
  <c r="G88" i="74" s="1"/>
  <c r="E89" i="74"/>
  <c r="F89" i="74" s="1"/>
  <c r="G89" i="74" s="1"/>
  <c r="E96" i="74"/>
  <c r="C97" i="74"/>
  <c r="G50" i="75"/>
  <c r="F92" i="75"/>
  <c r="F93" i="75" s="1"/>
  <c r="E93" i="75"/>
  <c r="H82" i="78" l="1"/>
  <c r="H84" i="78"/>
  <c r="H80" i="78"/>
  <c r="M80" i="78" s="1"/>
  <c r="N80" i="78" s="1"/>
  <c r="I78" i="78"/>
  <c r="J78" i="78" s="1"/>
  <c r="H83" i="78"/>
  <c r="M83" i="78" s="1"/>
  <c r="N83" i="78" s="1"/>
  <c r="H88" i="78"/>
  <c r="I88" i="78" s="1"/>
  <c r="H79" i="78"/>
  <c r="I79" i="78" s="1"/>
  <c r="M78" i="78"/>
  <c r="N78" i="78" s="1"/>
  <c r="H81" i="78"/>
  <c r="M81" i="78" s="1"/>
  <c r="N81" i="78" s="1"/>
  <c r="H87" i="78"/>
  <c r="G17" i="75"/>
  <c r="G20" i="75" s="1"/>
  <c r="H85" i="78"/>
  <c r="H89" i="78"/>
  <c r="M89" i="78" s="1"/>
  <c r="N89" i="78" s="1"/>
  <c r="E46" i="74"/>
  <c r="F46" i="74" s="1"/>
  <c r="G46" i="74" s="1"/>
  <c r="E45" i="74"/>
  <c r="C48" i="74"/>
  <c r="J219" i="78" s="1"/>
  <c r="G74" i="74"/>
  <c r="G78" i="75"/>
  <c r="G88" i="75" s="1"/>
  <c r="F84" i="74"/>
  <c r="F92" i="74" s="1"/>
  <c r="E92" i="74"/>
  <c r="M82" i="78"/>
  <c r="N82" i="78" s="1"/>
  <c r="I82" i="78"/>
  <c r="I83" i="78"/>
  <c r="E97" i="74"/>
  <c r="F96" i="74"/>
  <c r="F97" i="74" s="1"/>
  <c r="E69" i="74"/>
  <c r="G65" i="74"/>
  <c r="G69" i="74" s="1"/>
  <c r="G71" i="74" s="1"/>
  <c r="I86" i="78"/>
  <c r="M86" i="78"/>
  <c r="N86" i="78" s="1"/>
  <c r="I84" i="78"/>
  <c r="M84" i="78"/>
  <c r="N84" i="78" s="1"/>
  <c r="D48" i="74"/>
  <c r="D99" i="74" s="1"/>
  <c r="G92" i="75"/>
  <c r="G93" i="75" s="1"/>
  <c r="I80" i="78"/>
  <c r="I87" i="78"/>
  <c r="M87" i="78"/>
  <c r="N87" i="78" s="1"/>
  <c r="H264" i="78"/>
  <c r="I81" i="78" l="1"/>
  <c r="I89" i="78"/>
  <c r="M79" i="78"/>
  <c r="N79" i="78" s="1"/>
  <c r="P79" i="78" s="1"/>
  <c r="C99" i="74"/>
  <c r="M88" i="78"/>
  <c r="N88" i="78" s="1"/>
  <c r="P88" i="78" s="1"/>
  <c r="J98" i="78"/>
  <c r="H90" i="78"/>
  <c r="M85" i="78"/>
  <c r="N85" i="78" s="1"/>
  <c r="I85" i="78"/>
  <c r="I90" i="78" s="1"/>
  <c r="G84" i="74"/>
  <c r="G92" i="74" s="1"/>
  <c r="O80" i="78"/>
  <c r="P80" i="78"/>
  <c r="H275" i="78"/>
  <c r="H271" i="78"/>
  <c r="H272" i="78"/>
  <c r="M264" i="78"/>
  <c r="H266" i="78"/>
  <c r="H268" i="78"/>
  <c r="H269" i="78"/>
  <c r="I264" i="78"/>
  <c r="H267" i="78"/>
  <c r="H270" i="78"/>
  <c r="H274" i="78"/>
  <c r="H265" i="78"/>
  <c r="H273" i="78"/>
  <c r="O84" i="78"/>
  <c r="P84" i="78"/>
  <c r="P81" i="78"/>
  <c r="O81" i="78"/>
  <c r="J79" i="78"/>
  <c r="J80" i="78" s="1"/>
  <c r="J81" i="78" s="1"/>
  <c r="J82" i="78" s="1"/>
  <c r="J83" i="78" s="1"/>
  <c r="J84" i="78" s="1"/>
  <c r="O87" i="78"/>
  <c r="P87" i="78"/>
  <c r="O78" i="78"/>
  <c r="P78" i="78"/>
  <c r="O89" i="78"/>
  <c r="P89" i="78"/>
  <c r="P83" i="78"/>
  <c r="O83" i="78"/>
  <c r="O86" i="78"/>
  <c r="P86" i="78"/>
  <c r="G96" i="74"/>
  <c r="G97" i="74" s="1"/>
  <c r="P82" i="78"/>
  <c r="O82" i="78"/>
  <c r="E48" i="74"/>
  <c r="F45" i="74"/>
  <c r="F48" i="74" s="1"/>
  <c r="F99" i="74" s="1"/>
  <c r="O88" i="78" l="1"/>
  <c r="O79" i="78"/>
  <c r="M90" i="78"/>
  <c r="N90" i="78"/>
  <c r="O85" i="78"/>
  <c r="P85" i="78"/>
  <c r="P90" i="78" s="1"/>
  <c r="J85" i="78"/>
  <c r="J86" i="78" s="1"/>
  <c r="J87" i="78" s="1"/>
  <c r="J88" i="78" s="1"/>
  <c r="J89" i="78" s="1"/>
  <c r="J96" i="78" s="1"/>
  <c r="J97" i="78" s="1"/>
  <c r="J99" i="78" s="1"/>
  <c r="E56" i="75" s="1"/>
  <c r="E57" i="75" s="1"/>
  <c r="E96" i="75" s="1"/>
  <c r="D51" i="3" s="1"/>
  <c r="I273" i="78"/>
  <c r="M273" i="78"/>
  <c r="N273" i="78" s="1"/>
  <c r="M267" i="78"/>
  <c r="N267" i="78" s="1"/>
  <c r="I267" i="78"/>
  <c r="M275" i="78"/>
  <c r="N275" i="78" s="1"/>
  <c r="I275" i="78"/>
  <c r="I265" i="78"/>
  <c r="M265" i="78"/>
  <c r="N265" i="78" s="1"/>
  <c r="J264" i="78"/>
  <c r="N264" i="78"/>
  <c r="G45" i="74"/>
  <c r="G48" i="74" s="1"/>
  <c r="J284" i="78"/>
  <c r="I274" i="78"/>
  <c r="M274" i="78"/>
  <c r="N274" i="78" s="1"/>
  <c r="I269" i="78"/>
  <c r="M269" i="78"/>
  <c r="N269" i="78" s="1"/>
  <c r="I272" i="78"/>
  <c r="M272" i="78"/>
  <c r="N272" i="78" s="1"/>
  <c r="I266" i="78"/>
  <c r="M266" i="78"/>
  <c r="N266" i="78" s="1"/>
  <c r="Q78" i="78"/>
  <c r="G56" i="75"/>
  <c r="G57" i="75" s="1"/>
  <c r="G59" i="75" s="1"/>
  <c r="G96" i="75" s="1"/>
  <c r="G51" i="3" s="1"/>
  <c r="J51" i="3" s="1"/>
  <c r="H276" i="78"/>
  <c r="M270" i="78"/>
  <c r="N270" i="78" s="1"/>
  <c r="I270" i="78"/>
  <c r="I268" i="78"/>
  <c r="M268" i="78"/>
  <c r="N268" i="78" s="1"/>
  <c r="M271" i="78"/>
  <c r="N271" i="78" s="1"/>
  <c r="I271" i="78"/>
  <c r="Q79" i="78" l="1"/>
  <c r="Q80" i="78" s="1"/>
  <c r="Q81" i="78" s="1"/>
  <c r="Q82" i="78" s="1"/>
  <c r="Q83" i="78" s="1"/>
  <c r="Q84" i="78" s="1"/>
  <c r="Q85" i="78" s="1"/>
  <c r="Q86" i="78" s="1"/>
  <c r="Q87" i="78" s="1"/>
  <c r="Q88" i="78" s="1"/>
  <c r="Q89" i="78" s="1"/>
  <c r="Q96" i="78" s="1"/>
  <c r="Q97" i="78" s="1"/>
  <c r="Q99" i="78" s="1"/>
  <c r="E158" i="75" s="1"/>
  <c r="G158" i="75" s="1"/>
  <c r="G159" i="75" s="1"/>
  <c r="G161" i="75" s="1"/>
  <c r="G200" i="75" s="1"/>
  <c r="G51" i="25" s="1"/>
  <c r="O90" i="78"/>
  <c r="J265" i="78"/>
  <c r="J266" i="78" s="1"/>
  <c r="J267" i="78" s="1"/>
  <c r="J268" i="78" s="1"/>
  <c r="J269" i="78" s="1"/>
  <c r="J270" i="78" s="1"/>
  <c r="J271" i="78" s="1"/>
  <c r="J272" i="78" s="1"/>
  <c r="J273" i="78" s="1"/>
  <c r="J274" i="78" s="1"/>
  <c r="J275" i="78" s="1"/>
  <c r="J282" i="78" s="1"/>
  <c r="J283" i="78" s="1"/>
  <c r="J285" i="78" s="1"/>
  <c r="E78" i="74" s="1"/>
  <c r="O267" i="78"/>
  <c r="P267" i="78"/>
  <c r="O268" i="78"/>
  <c r="P268" i="78"/>
  <c r="P272" i="78"/>
  <c r="O272" i="78"/>
  <c r="P274" i="78"/>
  <c r="O274" i="78"/>
  <c r="I276" i="78"/>
  <c r="P273" i="78"/>
  <c r="O273" i="78"/>
  <c r="O266" i="78"/>
  <c r="P266" i="78"/>
  <c r="O269" i="78"/>
  <c r="P269" i="78"/>
  <c r="P264" i="78"/>
  <c r="O264" i="78"/>
  <c r="N276" i="78"/>
  <c r="O265" i="78"/>
  <c r="P265" i="78"/>
  <c r="O271" i="78"/>
  <c r="P271" i="78"/>
  <c r="P270" i="78"/>
  <c r="O270" i="78"/>
  <c r="Q264" i="78"/>
  <c r="M276" i="78"/>
  <c r="O275" i="78"/>
  <c r="P275" i="78"/>
  <c r="P276" i="78" l="1"/>
  <c r="G78" i="74"/>
  <c r="G79" i="74" s="1"/>
  <c r="G81" i="74" s="1"/>
  <c r="G99" i="74" s="1"/>
  <c r="G50" i="3" s="1"/>
  <c r="E79" i="74"/>
  <c r="E99" i="74" s="1"/>
  <c r="D50" i="3" s="1"/>
  <c r="D58" i="3" s="1"/>
  <c r="Q265" i="78"/>
  <c r="Q266" i="78" s="1"/>
  <c r="Q267" i="78" s="1"/>
  <c r="Q268" i="78" s="1"/>
  <c r="Q269" i="78" s="1"/>
  <c r="Q270" i="78" s="1"/>
  <c r="Q271" i="78" s="1"/>
  <c r="Q272" i="78" s="1"/>
  <c r="Q273" i="78" s="1"/>
  <c r="Q274" i="78" s="1"/>
  <c r="Q275" i="78" s="1"/>
  <c r="Q282" i="78" s="1"/>
  <c r="Q283" i="78" s="1"/>
  <c r="E181" i="74" s="1"/>
  <c r="G181" i="74" s="1"/>
  <c r="G182" i="74" s="1"/>
  <c r="G184" i="74" s="1"/>
  <c r="G204" i="74" s="1"/>
  <c r="G50" i="25" s="1"/>
  <c r="O276" i="78"/>
  <c r="J50" i="3" l="1"/>
  <c r="G58" i="3"/>
  <c r="J58" i="3" l="1"/>
  <c r="Q31" i="14" l="1"/>
  <c r="P31" i="14"/>
  <c r="O31" i="14"/>
  <c r="N31" i="14"/>
  <c r="M31" i="14"/>
  <c r="L31" i="14"/>
  <c r="K31" i="14"/>
  <c r="J31" i="14"/>
  <c r="I31" i="14"/>
  <c r="H31" i="14"/>
  <c r="G31" i="14"/>
  <c r="F31" i="14"/>
  <c r="G17" i="14" l="1"/>
  <c r="O17" i="14"/>
  <c r="R15" i="14"/>
  <c r="G25" i="14"/>
  <c r="K25" i="14"/>
  <c r="O25" i="14"/>
  <c r="G53" i="14"/>
  <c r="K53" i="14"/>
  <c r="O53" i="14"/>
  <c r="R44" i="14"/>
  <c r="K17" i="14"/>
  <c r="H25" i="14"/>
  <c r="L25" i="14"/>
  <c r="P25" i="14"/>
  <c r="H17" i="14"/>
  <c r="L17" i="14"/>
  <c r="P17" i="14"/>
  <c r="H53" i="14"/>
  <c r="H56" i="14" s="1"/>
  <c r="H63" i="14" s="1"/>
  <c r="L53" i="14"/>
  <c r="P53" i="14"/>
  <c r="R45" i="14"/>
  <c r="I17" i="14"/>
  <c r="M17" i="14"/>
  <c r="Q17" i="14"/>
  <c r="E25" i="14"/>
  <c r="I25" i="14"/>
  <c r="I56" i="14" s="1"/>
  <c r="I63" i="14" s="1"/>
  <c r="M25" i="14"/>
  <c r="I53" i="14"/>
  <c r="M53" i="14"/>
  <c r="M56" i="14" s="1"/>
  <c r="M63" i="14" s="1"/>
  <c r="Q53" i="14"/>
  <c r="Q56" i="14" s="1"/>
  <c r="Q63" i="14" s="1"/>
  <c r="R38" i="14"/>
  <c r="R42" i="14"/>
  <c r="R46" i="14"/>
  <c r="F17" i="14"/>
  <c r="J17" i="14"/>
  <c r="N17" i="14"/>
  <c r="F25" i="14"/>
  <c r="J25" i="14"/>
  <c r="N25" i="14"/>
  <c r="F53" i="14"/>
  <c r="J53" i="14"/>
  <c r="N53" i="14"/>
  <c r="N56" i="14" s="1"/>
  <c r="N63" i="14" s="1"/>
  <c r="R35" i="14"/>
  <c r="R43" i="14"/>
  <c r="E17" i="14"/>
  <c r="R13" i="14"/>
  <c r="R22" i="14"/>
  <c r="Q25" i="14"/>
  <c r="E53" i="14"/>
  <c r="R34" i="14"/>
  <c r="R14" i="14"/>
  <c r="R23" i="14"/>
  <c r="R39" i="14"/>
  <c r="R49" i="14"/>
  <c r="R24" i="14"/>
  <c r="G56" i="14"/>
  <c r="G63" i="14" s="1"/>
  <c r="K56" i="14"/>
  <c r="K63" i="14" s="1"/>
  <c r="O56" i="14"/>
  <c r="O63" i="14" s="1"/>
  <c r="R36" i="14"/>
  <c r="R40" i="14"/>
  <c r="R48" i="14"/>
  <c r="R16" i="14"/>
  <c r="E31" i="14"/>
  <c r="R30" i="14"/>
  <c r="R31" i="14" s="1"/>
  <c r="D68" i="3" s="1"/>
  <c r="G68" i="3" s="1"/>
  <c r="J68" i="3" s="1"/>
  <c r="L56" i="14"/>
  <c r="L63" i="14" s="1"/>
  <c r="R37" i="14"/>
  <c r="R41" i="14"/>
  <c r="R47" i="14"/>
  <c r="P56" i="14" l="1"/>
  <c r="P63" i="14" s="1"/>
  <c r="J56" i="14"/>
  <c r="J63" i="14" s="1"/>
  <c r="F56" i="14"/>
  <c r="F63" i="14" s="1"/>
  <c r="R25" i="14"/>
  <c r="R27" i="14" s="1"/>
  <c r="D67" i="3" s="1"/>
  <c r="G67" i="3" s="1"/>
  <c r="J67" i="3" s="1"/>
  <c r="R53" i="14"/>
  <c r="R55" i="14" s="1"/>
  <c r="D69" i="3" s="1"/>
  <c r="G69" i="3" s="1"/>
  <c r="J69" i="3" s="1"/>
  <c r="R17" i="14"/>
  <c r="R19" i="14" s="1"/>
  <c r="D66" i="3" s="1"/>
  <c r="E56" i="14"/>
  <c r="E63" i="14" s="1"/>
  <c r="G66" i="3" l="1"/>
  <c r="D70" i="3"/>
  <c r="D72" i="3" s="1"/>
  <c r="D76" i="3" s="1"/>
  <c r="D131" i="3" s="1"/>
  <c r="D133" i="3" s="1"/>
  <c r="D144" i="3" s="1"/>
  <c r="G70" i="3" l="1"/>
  <c r="J66" i="3"/>
  <c r="J70" i="3" l="1"/>
  <c r="G72" i="3"/>
  <c r="G76" i="3" l="1"/>
  <c r="J72" i="3"/>
  <c r="J76" i="3" l="1"/>
  <c r="G131" i="3"/>
  <c r="G133" i="3" l="1"/>
  <c r="J131" i="3"/>
  <c r="J133" i="3" l="1"/>
  <c r="G144" i="3"/>
  <c r="J144" i="3" l="1"/>
  <c r="E8" i="5"/>
  <c r="G11" i="24" l="1"/>
  <c r="G17" i="24" s="1"/>
  <c r="E13" i="5"/>
  <c r="E19" i="5" s="1"/>
  <c r="E23" i="5" l="1"/>
  <c r="E21" i="5"/>
  <c r="G21" i="24"/>
  <c r="G19" i="24"/>
  <c r="G24" i="24" l="1"/>
  <c r="G22" i="24"/>
  <c r="G23" i="24" s="1"/>
  <c r="E24" i="5"/>
  <c r="E25" i="5" s="1"/>
  <c r="E26" i="5"/>
</calcChain>
</file>

<file path=xl/comments1.xml><?xml version="1.0" encoding="utf-8"?>
<comments xmlns="http://schemas.openxmlformats.org/spreadsheetml/2006/main">
  <authors>
    <author>Xcel Energy</author>
  </authors>
  <commentList>
    <comment ref="E28" authorId="0">
      <text>
        <r>
          <rPr>
            <b/>
            <sz val="9"/>
            <color indexed="81"/>
            <rFont val="Tahoma"/>
            <charset val="1"/>
          </rPr>
          <t xml:space="preserve">KMY: </t>
        </r>
        <r>
          <rPr>
            <sz val="9"/>
            <color indexed="81"/>
            <rFont val="Tahoma"/>
            <family val="2"/>
          </rPr>
          <t>E-mailed Ken Sinn and Scott Hart in Transmission Accounting for this backup.</t>
        </r>
      </text>
    </comment>
  </commentList>
</comments>
</file>

<file path=xl/comments2.xml><?xml version="1.0" encoding="utf-8"?>
<comments xmlns="http://schemas.openxmlformats.org/spreadsheetml/2006/main">
  <authors>
    <author>Xcel Energy</author>
  </authors>
  <commentList>
    <comment ref="D53" authorId="0">
      <text>
        <r>
          <rPr>
            <b/>
            <sz val="9"/>
            <color indexed="81"/>
            <rFont val="Tahoma"/>
            <family val="2"/>
          </rPr>
          <t>Xcel Energy:</t>
        </r>
        <r>
          <rPr>
            <sz val="9"/>
            <color indexed="81"/>
            <rFont val="Tahoma"/>
            <family val="2"/>
          </rPr>
          <t xml:space="preserve">
Can't include balance in Rate Base. Reference Note K.</t>
        </r>
      </text>
    </comment>
  </commentList>
</comments>
</file>

<file path=xl/sharedStrings.xml><?xml version="1.0" encoding="utf-8"?>
<sst xmlns="http://schemas.openxmlformats.org/spreadsheetml/2006/main" count="6444" uniqueCount="1886">
  <si>
    <t>Load Dispatching - Monitor &amp; Operate Transmission System</t>
  </si>
  <si>
    <t>Load Dispatching - Transmission Service &amp; Scheduling</t>
  </si>
  <si>
    <t>Scheduling, System Control &amp; Dispatch Services</t>
  </si>
  <si>
    <t>Reliability, Planning and Standards Development</t>
  </si>
  <si>
    <t>Generation Interconnection Studies</t>
  </si>
  <si>
    <t>Reliability, Planning &amp; Standards Development Services</t>
  </si>
  <si>
    <t>Station Expenses</t>
  </si>
  <si>
    <t>Overhead Line Expenses</t>
  </si>
  <si>
    <t>564</t>
  </si>
  <si>
    <t>Underground Lines Expense</t>
  </si>
  <si>
    <t>Transmission of Electricity by Others</t>
  </si>
  <si>
    <t>Miscellaneous Transmission Expenses</t>
  </si>
  <si>
    <t>Rents</t>
  </si>
  <si>
    <t xml:space="preserve">     Total Operation</t>
  </si>
  <si>
    <t>MAINTENANCE</t>
  </si>
  <si>
    <t>Structures</t>
  </si>
  <si>
    <t>Computer Hardware</t>
  </si>
  <si>
    <t>Computer Software</t>
  </si>
  <si>
    <t>Communication Equipment</t>
  </si>
  <si>
    <t>Miscellaneous Regional Transmission Plant</t>
  </si>
  <si>
    <t>Station Equipment</t>
  </si>
  <si>
    <t>Underground Lines</t>
  </si>
  <si>
    <t>Miscellaneous Transmission Plant</t>
  </si>
  <si>
    <t xml:space="preserve">     Total Maintenance</t>
  </si>
  <si>
    <t xml:space="preserve">          TOTAL TRANSMISSION</t>
  </si>
  <si>
    <t>Transmission O&amp;M</t>
  </si>
  <si>
    <t>Estimated Amounts</t>
  </si>
  <si>
    <t>Actual Amounts</t>
  </si>
  <si>
    <t>321.83.b</t>
  </si>
  <si>
    <t>321.85.b</t>
  </si>
  <si>
    <t>321.86.b</t>
  </si>
  <si>
    <t>321.87.b</t>
  </si>
  <si>
    <t>321.88.b</t>
  </si>
  <si>
    <t>321.89.b</t>
  </si>
  <si>
    <t>321.90.b</t>
  </si>
  <si>
    <t>321.91.b</t>
  </si>
  <si>
    <t>321.92.b</t>
  </si>
  <si>
    <t>321.93.b</t>
  </si>
  <si>
    <t>321.94.b</t>
  </si>
  <si>
    <t>321.95.b</t>
  </si>
  <si>
    <t>321.96.b</t>
  </si>
  <si>
    <t>321.97.b</t>
  </si>
  <si>
    <t>321.98.b</t>
  </si>
  <si>
    <t>321.101.b</t>
  </si>
  <si>
    <t>321.102.b</t>
  </si>
  <si>
    <t>321.103.b</t>
  </si>
  <si>
    <t>321.104.b</t>
  </si>
  <si>
    <t>321.105.b</t>
  </si>
  <si>
    <t>321.106.b</t>
  </si>
  <si>
    <t>321.107.b</t>
  </si>
  <si>
    <t>321.108.b</t>
  </si>
  <si>
    <t>321.109.b</t>
  </si>
  <si>
    <t>321.110.b</t>
  </si>
  <si>
    <t>Administrative and General Expenses</t>
  </si>
  <si>
    <t>Account Description</t>
  </si>
  <si>
    <t xml:space="preserve">Total </t>
  </si>
  <si>
    <t>Adjusted Total</t>
  </si>
  <si>
    <t>Energy</t>
  </si>
  <si>
    <t>Administrative and general salaries</t>
  </si>
  <si>
    <t>Office supplies and expenses</t>
  </si>
  <si>
    <t>Administrative expenses transferred— Credit</t>
  </si>
  <si>
    <t>Injuries and damages</t>
  </si>
  <si>
    <t>Duplicate charges—Credit</t>
  </si>
  <si>
    <t>Maintenance of general plant</t>
  </si>
  <si>
    <t>Subtotal</t>
  </si>
  <si>
    <t>Property insurance</t>
  </si>
  <si>
    <t xml:space="preserve">     Less: Acc. 924, Property Insurance</t>
  </si>
  <si>
    <t>Adjustment</t>
  </si>
  <si>
    <t>Outside services employed</t>
  </si>
  <si>
    <t>Franchise requirements</t>
  </si>
  <si>
    <t>12 Month Total</t>
  </si>
  <si>
    <t>Total Depreciation and Amortization Expense</t>
  </si>
  <si>
    <t>Taxes Other Than Income Tax</t>
  </si>
  <si>
    <t>Occupational Denver</t>
  </si>
  <si>
    <t>Total taxes related to wages &amp; salaries (1)</t>
  </si>
  <si>
    <t>Real and personal property taxes</t>
  </si>
  <si>
    <t>Use tax</t>
  </si>
  <si>
    <t>Total taxes related to property (1)</t>
  </si>
  <si>
    <t>Miscellaneous</t>
  </si>
  <si>
    <t>Total TOTI</t>
  </si>
  <si>
    <t xml:space="preserve">Estimated </t>
  </si>
  <si>
    <t>FUTA</t>
  </si>
  <si>
    <t>FICA</t>
  </si>
  <si>
    <t>Unemployment SESA</t>
  </si>
  <si>
    <t>Other</t>
  </si>
  <si>
    <t xml:space="preserve">  Miscellaneous</t>
  </si>
  <si>
    <t>Line</t>
  </si>
  <si>
    <t>No.</t>
  </si>
  <si>
    <t>Rate of Return</t>
  </si>
  <si>
    <t>Notes:</t>
  </si>
  <si>
    <t>Total Exclusion</t>
  </si>
  <si>
    <t xml:space="preserve">  Account No. 456.1 (Revenue from Trans. of Elect. of Others)</t>
  </si>
  <si>
    <t>Revenue Credits</t>
  </si>
  <si>
    <t>Gain on disposition of property (Other Related)</t>
  </si>
  <si>
    <t>Unamortized</t>
  </si>
  <si>
    <t xml:space="preserve">End of </t>
  </si>
  <si>
    <t xml:space="preserve">     Add Back Account 565.25- System Integration Costs</t>
  </si>
  <si>
    <t>454- Rent From Electric Property</t>
  </si>
  <si>
    <t>Rental Income on Transmission Facilities</t>
  </si>
  <si>
    <t>FF1 266.8.f</t>
  </si>
  <si>
    <t>FF1. 354.20.b</t>
  </si>
  <si>
    <t>FF1. 354.22.b</t>
  </si>
  <si>
    <t>FF1. 354.23.b</t>
  </si>
  <si>
    <t>FF1. 354.24.b</t>
  </si>
  <si>
    <t>FF1.356</t>
  </si>
  <si>
    <t>Total 454</t>
  </si>
  <si>
    <t xml:space="preserve">  Weekly P-To-P Rate</t>
  </si>
  <si>
    <t xml:space="preserve">  Daily P-To-P Rate (Capped at weekly rate)</t>
  </si>
  <si>
    <t xml:space="preserve">  On Peak Hourly P-To-P Rate (Capped at weekly &amp; daily rate)</t>
  </si>
  <si>
    <t xml:space="preserve">  Off Peak Hourly P-To-P Rate</t>
  </si>
  <si>
    <t>Other Non-Transmission Related</t>
  </si>
  <si>
    <t>Table 1</t>
  </si>
  <si>
    <t>Table of Contents</t>
  </si>
  <si>
    <t>Total Plant Related- Direct Assigned to Transmission</t>
  </si>
  <si>
    <t>Total Plant Related- Allocated to Transmission</t>
  </si>
  <si>
    <t>Allocated Total Related to All Plant</t>
  </si>
  <si>
    <t>Allocated Total Labor Related</t>
  </si>
  <si>
    <t>Total Transmission Related</t>
  </si>
  <si>
    <t>Note 1.  If and when the Company issues preferred stock, footnote will indicate the authorizing regulatory agency, the docket/case number, and the date of the authorizing order.</t>
  </si>
  <si>
    <t>Schedule 1- Scheduling, System Control and Dispatch</t>
  </si>
  <si>
    <t>/kW-month</t>
  </si>
  <si>
    <t>/kW-week</t>
  </si>
  <si>
    <t>/kW-day</t>
  </si>
  <si>
    <t xml:space="preserve">/MWh </t>
  </si>
  <si>
    <t>Schedule 2- Reactive Supply and Voltage Control From Generation Sources Service</t>
  </si>
  <si>
    <t>Schedule 6 - Operating Reserve - Supplemental Reserve Service</t>
  </si>
  <si>
    <t>Schedule 5- Operating Reserve- Spinning Reserve Service</t>
  </si>
  <si>
    <t>Monthly Point-to-Point Delivery</t>
  </si>
  <si>
    <t>Weekly Point-to-Point Delivery</t>
  </si>
  <si>
    <t>Daily Point-to-Point Delivery</t>
  </si>
  <si>
    <t>Hourly Point-to-Point Delivery</t>
  </si>
  <si>
    <t>Network Integration Delivery</t>
  </si>
  <si>
    <t xml:space="preserve">Estimated Revenue Requirement with True Up </t>
  </si>
  <si>
    <t>Table No.</t>
  </si>
  <si>
    <t>Schedule/Workpaper</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</si>
  <si>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</si>
  <si>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</si>
  <si>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</si>
  <si>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</si>
  <si>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</si>
  <si>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</si>
  <si>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</si>
  <si>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</si>
  <si>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</si>
  <si>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</si>
  <si>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</si>
  <si>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</si>
  <si>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</si>
  <si>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</si>
  <si>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</si>
  <si>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</si>
  <si>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</si>
  <si>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</si>
  <si>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</si>
  <si>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</si>
  <si>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</si>
  <si>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</si>
  <si>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</si>
  <si>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</si>
  <si>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</si>
  <si>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</si>
  <si>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</si>
  <si>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</si>
  <si>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Company Use</t>
  </si>
  <si>
    <t>117.67.c</t>
  </si>
  <si>
    <t>Less Acct 216.1 Unappropriated Undistributed Subsidiary Earnings</t>
  </si>
  <si>
    <t>Transmission serving transmission related amounts associated with the Calpine Acquisition are included.</t>
  </si>
  <si>
    <t>FERC Form No. 1 reference</t>
  </si>
  <si>
    <t>(page 204 &amp; 205 Ln. 5)</t>
  </si>
  <si>
    <t>(page 204 &amp; 205 Ln. 16)</t>
  </si>
  <si>
    <t>(page 204 &amp; 205 Ln. 35)</t>
  </si>
  <si>
    <t>(page 204 &amp; 205 Ln. 45)</t>
  </si>
  <si>
    <t>(page 206 &amp; 207 Ln. 58)</t>
  </si>
  <si>
    <t>(page 206 &amp; 207 Ln. 75)</t>
  </si>
  <si>
    <t>(page 200 Ln. 21)</t>
  </si>
  <si>
    <t>(page 219 Ln. 20)</t>
  </si>
  <si>
    <t>(page 219 Ln. 22 + 23)</t>
  </si>
  <si>
    <t>(page 219 Ln. 24)</t>
  </si>
  <si>
    <t>(page 219 Ln. 25)</t>
  </si>
  <si>
    <t>(page 219 Ln. 26)</t>
  </si>
  <si>
    <t>(page 219 Ln. 28)</t>
  </si>
  <si>
    <t>(page 206 &amp; 207 Ln. 99)</t>
  </si>
  <si>
    <t>(page 336 Ln. 1)</t>
  </si>
  <si>
    <t>(page 336 Ln. 2)</t>
  </si>
  <si>
    <t>(page 336 Ln. 4 + 5)</t>
  </si>
  <si>
    <t>(page 336 Ln. 6)</t>
  </si>
  <si>
    <t>(page 336 Ln. 7)</t>
  </si>
  <si>
    <t>(page 336 Ln. 8)</t>
  </si>
  <si>
    <t>(page 336 Ln. 10)</t>
  </si>
  <si>
    <t>(page 336 Ln. 11)</t>
  </si>
  <si>
    <t>112.12.c,d</t>
  </si>
  <si>
    <t>Rates</t>
  </si>
  <si>
    <t>Prior Period Corrections</t>
  </si>
  <si>
    <t>Transmission System Peak Demand Summary</t>
  </si>
  <si>
    <t>WP_B-3</t>
  </si>
  <si>
    <t>REVENUE REQUIREMENT</t>
  </si>
  <si>
    <t xml:space="preserve"> Formula amounts for all of the foregoing items will remain at $0 until approved by FERC pursuant to a Section 205 filing under a separate docket.</t>
  </si>
  <si>
    <t xml:space="preserve">  Regulatory Commission expenses (FERC Account 928) will be directly assigned or allocated to Transmission.</t>
  </si>
  <si>
    <t>Account 456.1- Revenues from Transmission of Electricity of Others</t>
  </si>
  <si>
    <t xml:space="preserve">Ancillary Services, Schedule No. 1 - </t>
  </si>
  <si>
    <t>Scheduling System Control and Dispatch Service</t>
  </si>
  <si>
    <t>FERC Annual Charge</t>
  </si>
  <si>
    <t>Daily Point-to-Point Delivery On-Peak</t>
  </si>
  <si>
    <t>Daily Point-to-Point Delivery Off-Peak</t>
  </si>
  <si>
    <t>Hourly Point-to-Point Delivery On-Peak</t>
  </si>
  <si>
    <t>Hourly Point-to-Point Delivery Off-Peak</t>
  </si>
  <si>
    <t>$ per MWh ((Line 26 / 16) X 1000)</t>
  </si>
  <si>
    <t>$ per MWh ((Line 27 / 24) X 1000)</t>
  </si>
  <si>
    <t>Pg 320, Ln 56b</t>
  </si>
  <si>
    <t>1. Deferred Taxes associated with implementing Statements of Financial Accounting Standards Board 109, distribution, production, retail, and non-utility plant related are eliminated.</t>
  </si>
  <si>
    <t xml:space="preserve">  Account No. 454 (Rent from Transmission Facilities)</t>
  </si>
  <si>
    <t>Total Prepayments</t>
  </si>
  <si>
    <r>
      <t>N/A</t>
    </r>
    <r>
      <rPr>
        <vertAlign val="superscript"/>
        <sz val="10"/>
        <rFont val="Arial"/>
        <family val="2"/>
      </rPr>
      <t>2</t>
    </r>
  </si>
  <si>
    <r>
      <t>N/A</t>
    </r>
    <r>
      <rPr>
        <vertAlign val="superscript"/>
        <sz val="10"/>
        <rFont val="Arial"/>
        <family val="2"/>
      </rPr>
      <t>1</t>
    </r>
  </si>
  <si>
    <r>
      <t>N/A</t>
    </r>
    <r>
      <rPr>
        <vertAlign val="superscript"/>
        <sz val="10"/>
        <rFont val="Arial"/>
        <family val="2"/>
      </rPr>
      <t>3</t>
    </r>
  </si>
  <si>
    <t>Table 31</t>
  </si>
  <si>
    <t>Regulatory Commission Expense Detail (FERC Account 928)</t>
  </si>
  <si>
    <t>GSU Reclass</t>
  </si>
  <si>
    <t>1. GSU's are eliminated from Transmission, Distribution, and General Plant and reassigned to Production Plant</t>
  </si>
  <si>
    <t>13 Month Avg (2)</t>
  </si>
  <si>
    <t>Intangible (3) (4)</t>
  </si>
  <si>
    <t>12 Month Total (1)</t>
  </si>
  <si>
    <t>1. Generator Step Up's (GSU) are eliminated from Transmission, Distribution, and General Plant and reassigned to Production Plant</t>
  </si>
  <si>
    <t>Preferred Stock (1)</t>
  </si>
  <si>
    <t>Fixed Charge Rate Worksheet ("FCR")</t>
  </si>
  <si>
    <t>(1) O&amp;M</t>
  </si>
  <si>
    <t>(2) Other Taxes</t>
  </si>
  <si>
    <t>(3) A&amp;G</t>
  </si>
  <si>
    <t>`</t>
  </si>
  <si>
    <t>FIXED CHARGE RATE</t>
  </si>
  <si>
    <t>O&amp;M Expense:</t>
  </si>
  <si>
    <t>$ Amount</t>
  </si>
  <si>
    <t>A. Total Power Production Expenses</t>
  </si>
  <si>
    <t>C. Energy Related O&amp;M</t>
  </si>
  <si>
    <t>Total C</t>
  </si>
  <si>
    <t>E. Total Production Plant Investment</t>
  </si>
  <si>
    <t>OTHER TAXES EXPENSE</t>
  </si>
  <si>
    <t>A&amp;G EXPENSE</t>
  </si>
  <si>
    <t>Less: Dual Use Plant Alloc. To Reactive Power</t>
  </si>
  <si>
    <t>Net Production Plant</t>
  </si>
  <si>
    <t>Pg 321, Ln 80b</t>
  </si>
  <si>
    <t>Pg 321.76b</t>
  </si>
  <si>
    <t>B. Purchased Power Expenses (Acct. 555)</t>
  </si>
  <si>
    <t>Account 501</t>
  </si>
  <si>
    <t>Account 503</t>
  </si>
  <si>
    <t>Account 504</t>
  </si>
  <si>
    <t>Account 510</t>
  </si>
  <si>
    <t>Account 512</t>
  </si>
  <si>
    <t>Account 513</t>
  </si>
  <si>
    <t>Account 518</t>
  </si>
  <si>
    <t>Account 528</t>
  </si>
  <si>
    <t>Account 530</t>
  </si>
  <si>
    <t>Account 531</t>
  </si>
  <si>
    <t>Account 544</t>
  </si>
  <si>
    <t>Account 547</t>
  </si>
  <si>
    <t>Pg 320, Ln 5b</t>
  </si>
  <si>
    <t>Pg 320, Ln 15b</t>
  </si>
  <si>
    <t>Pg 320, Ln 17b</t>
  </si>
  <si>
    <t>Pg 320, Ln 18b</t>
  </si>
  <si>
    <t>Pg 321, Ln 63b</t>
  </si>
  <si>
    <t>Account 509</t>
  </si>
  <si>
    <t>Pg 320, Ln 7b</t>
  </si>
  <si>
    <t>Pg 320, Ln 8b</t>
  </si>
  <si>
    <t>Pg 320, Ln 25b</t>
  </si>
  <si>
    <t>Pg 320, Ln 35b</t>
  </si>
  <si>
    <t>Pg 320, Ln 37b</t>
  </si>
  <si>
    <t>Pg 320, Ln 38b</t>
  </si>
  <si>
    <t>Total Production Plant</t>
  </si>
  <si>
    <t>Plus Generator Step Ups</t>
  </si>
  <si>
    <t xml:space="preserve">Pg 205, Ln 46g </t>
  </si>
  <si>
    <t>Pg 115, Ln 14g</t>
  </si>
  <si>
    <t>Common Electric Plant in Service</t>
  </si>
  <si>
    <t>A. Other Taxes (Electric Only)</t>
  </si>
  <si>
    <t>B. Total Electric Plant in Service</t>
  </si>
  <si>
    <t>Pg 356</t>
  </si>
  <si>
    <t>A/B</t>
  </si>
  <si>
    <t>Production O&amp;M FCR</t>
  </si>
  <si>
    <t>Other Taxes FCR</t>
  </si>
  <si>
    <t>A. Production Wages Expense</t>
  </si>
  <si>
    <t>Pg 354, Ln 20b</t>
  </si>
  <si>
    <t>Pg 323, Ln 181b</t>
  </si>
  <si>
    <t>Pg 354, Ln 28b</t>
  </si>
  <si>
    <t>A&amp;G Expense FCR</t>
  </si>
  <si>
    <t>Pg 323, Ln 197b</t>
  </si>
  <si>
    <t>Pg 112 Ln 16c</t>
  </si>
  <si>
    <t>Less: Preferred Stock Issued</t>
  </si>
  <si>
    <t>Less: Account No. 216.1</t>
  </si>
  <si>
    <t>Less: Accum other comprehensive Income</t>
  </si>
  <si>
    <t>Common Equity =</t>
  </si>
  <si>
    <t>Pg 112 Ln 3c</t>
  </si>
  <si>
    <t>Pg 112 Ln 12c</t>
  </si>
  <si>
    <t>Pg 112 Ln 15</t>
  </si>
  <si>
    <t>Long Term Debt</t>
  </si>
  <si>
    <t>Common Equity</t>
  </si>
  <si>
    <t>Interest on Debt to Assoc. Companies (LTD portion only)</t>
  </si>
  <si>
    <t>Pg 117 Ln 62c</t>
  </si>
  <si>
    <t>Pg 117 Ln 67c</t>
  </si>
  <si>
    <t>Pg 117 Ln 63c</t>
  </si>
  <si>
    <t>Other Prepaid (Rent)</t>
  </si>
  <si>
    <t xml:space="preserve">Hardware Maintenance Prepaids </t>
  </si>
  <si>
    <t xml:space="preserve">Other Prepaid - Benefits      </t>
  </si>
  <si>
    <t xml:space="preserve">Prepaid Transmission Exp      </t>
  </si>
  <si>
    <t xml:space="preserve">Other Prepaid-TU              </t>
  </si>
  <si>
    <t>Pg 117 Ln 64c</t>
  </si>
  <si>
    <t>Pg 117 Ln 65c</t>
  </si>
  <si>
    <t>Pg 117 Ln 66c</t>
  </si>
  <si>
    <t>Pg 118 Ln 29c</t>
  </si>
  <si>
    <t>Pg 336 Lns 2-6b</t>
  </si>
  <si>
    <t>General &amp; Intangible plant</t>
  </si>
  <si>
    <t>State Tax Rate</t>
  </si>
  <si>
    <t>Accumulated Deferred Income Tax</t>
  </si>
  <si>
    <t>Total ADIT</t>
  </si>
  <si>
    <t>B. Return and Taxes</t>
  </si>
  <si>
    <t>C. Production Plant (plus step ups)</t>
  </si>
  <si>
    <t>A.  Production share of ADIT</t>
  </si>
  <si>
    <t>Pg 275 Ln 2k</t>
  </si>
  <si>
    <t>Pg 273 Ln 4k</t>
  </si>
  <si>
    <t>Pg 277 Ln 9k</t>
  </si>
  <si>
    <t>Pg 227 Ln 7</t>
  </si>
  <si>
    <t>(10)  Materials &amp; Supplies</t>
  </si>
  <si>
    <t>A. Total Non-Fuel M&amp;S</t>
  </si>
  <si>
    <t>B.  ROR</t>
  </si>
  <si>
    <t>C.  Return on M&amp;S</t>
  </si>
  <si>
    <t>D.  Total Prod Plnt</t>
  </si>
  <si>
    <t>E. Total Plnt in Service</t>
  </si>
  <si>
    <t>G. Prod M&amp;S Factor</t>
  </si>
  <si>
    <t>Note 1.  The FERC's annual charge per MWh is established by the Commission annually, and is assessed to the Transmission Owner, and is passed through to the Transmission Customers.</t>
  </si>
  <si>
    <t>Total Other Related Allocated to Electric</t>
  </si>
  <si>
    <t>Reserved Capacity Factor</t>
  </si>
  <si>
    <t>Daily Point-to-Point Delivery on Peak</t>
  </si>
  <si>
    <t>Daily Point-to-Point Delivery off Peak</t>
  </si>
  <si>
    <t>Hourly Point-to-Point Delivery on Peak</t>
  </si>
  <si>
    <t>Hourly Point-to-Point Delivery off Peak</t>
  </si>
  <si>
    <t>Reserved Capacity Factor applicable to network load or reserved capacity</t>
  </si>
  <si>
    <t>Settlement Credit</t>
  </si>
  <si>
    <t xml:space="preserve">  Settlement Credit</t>
  </si>
  <si>
    <t>per kW year (Col. ( h) ln 19 / Col. ( i ) Ln 19)</t>
  </si>
  <si>
    <t>(10) Materials &amp; Supplies</t>
  </si>
  <si>
    <t>RATE OF RETURN WORKSHEET</t>
  </si>
  <si>
    <t>Proprietary Capital</t>
  </si>
  <si>
    <t xml:space="preserve">  FERC 421.1 Gain on the Disposition of Utility Property will be assigned or allocated to the transmission function based on the specific property sold.</t>
  </si>
  <si>
    <t>Total Capital =</t>
  </si>
  <si>
    <t xml:space="preserve">CAPITAL STRUCTURE </t>
  </si>
  <si>
    <t>Weighted Cost</t>
  </si>
  <si>
    <t xml:space="preserve"> Of Capital  %</t>
  </si>
  <si>
    <t>DEPRECIATION EXPENSE</t>
  </si>
  <si>
    <t>Production Depreciation Expense</t>
  </si>
  <si>
    <t>Total Production Plant Investment</t>
  </si>
  <si>
    <t>SLDp  =</t>
  </si>
  <si>
    <t>n     =</t>
  </si>
  <si>
    <t>SFDp  =</t>
  </si>
  <si>
    <t>(6)</t>
  </si>
  <si>
    <t>COMPOSITE INCOME TAX EXPENSE</t>
  </si>
  <si>
    <t>Production CIT=</t>
  </si>
  <si>
    <t>Formula: (35/65+State Tx)/(1-State Tx)*(ROR+SFD-SLD)*(1-Wtd.LTD/ROR)</t>
  </si>
  <si>
    <t>NET ACQUISITION ADJUSTMENT</t>
  </si>
  <si>
    <t>Future Acquisition Adjustment amounts will not be included in the formula except as directed by the Commission pursuant to a Section 205 filing.</t>
  </si>
  <si>
    <t>Col. (1)</t>
  </si>
  <si>
    <t>Col. (2)</t>
  </si>
  <si>
    <t>Col. (3)</t>
  </si>
  <si>
    <t>Col. (4)</t>
  </si>
  <si>
    <t>Col. (5)</t>
  </si>
  <si>
    <t>Col. (b)</t>
  </si>
  <si>
    <t>Col. (a)</t>
  </si>
  <si>
    <t>Col. (c)</t>
  </si>
  <si>
    <t>Col. (d)</t>
  </si>
  <si>
    <t>Col. (e)</t>
  </si>
  <si>
    <t>Col. (f)</t>
  </si>
  <si>
    <t>Col. (g)</t>
  </si>
  <si>
    <t>Col. (h)</t>
  </si>
  <si>
    <t>Col. (i)</t>
  </si>
  <si>
    <t>Col. (j)</t>
  </si>
  <si>
    <t>Col. (k)</t>
  </si>
  <si>
    <t>Col. (l)</t>
  </si>
  <si>
    <t>Col. (m)</t>
  </si>
  <si>
    <t>Col. (n)</t>
  </si>
  <si>
    <t>General Notes:  a)  References to data from FERC Form No. 1 are indicated as:  page#.line#.col.#</t>
  </si>
  <si>
    <t>1. FERC Account 114- FERC Form No. 1 pg. 200 Ln. 12</t>
  </si>
  <si>
    <t>2. FERC Account 115- FERC Form No. 1 pg. 200 Ln. 32</t>
  </si>
  <si>
    <t>3. FERC Account 406- FERC Form No. 1 pg. 114 Ln. 9</t>
  </si>
  <si>
    <t>FERC Form No. 1 pg. 111, Line 57, Col. (c) &amp; (d)</t>
  </si>
  <si>
    <t>FERC Form No. 1</t>
  </si>
  <si>
    <t>Total 454- FERC Form No. 1 pg. 300 Ln 19</t>
  </si>
  <si>
    <t>Transmission Formula Rate Template</t>
  </si>
  <si>
    <t>Note 1.  Amount reflects 3 year amortization of the pre-construction costs associated with the San Luis-Calumet-Comanche transmission project ($2,625,528 X 50% / 3 = $437,588) beginning November 17, 2012 as shown on FERC Form No. 1 page 321, line 90 footnote page.  See additional details on Table 25 concerning the 50/50 sharing.</t>
  </si>
  <si>
    <t>Total 421.1- FERC Form No. 1 pg. 117 Ln 40</t>
  </si>
  <si>
    <r>
      <t xml:space="preserve">The calculation of the </t>
    </r>
    <r>
      <rPr>
        <b/>
        <sz val="8.5"/>
        <rFont val="Arial"/>
        <family val="2"/>
      </rPr>
      <t>GP</t>
    </r>
    <r>
      <rPr>
        <sz val="10"/>
        <rFont val="Arial"/>
        <family val="2"/>
      </rPr>
      <t xml:space="preserve"> Allocator is found on Line 10.</t>
    </r>
  </si>
  <si>
    <r>
      <t xml:space="preserve">The calculation of the </t>
    </r>
    <r>
      <rPr>
        <b/>
        <sz val="8.5"/>
        <rFont val="Arial"/>
        <family val="2"/>
      </rPr>
      <t>NP</t>
    </r>
    <r>
      <rPr>
        <sz val="10"/>
        <rFont val="Arial"/>
        <family val="2"/>
      </rPr>
      <t xml:space="preserve"> Allocator is found on Line 37.</t>
    </r>
  </si>
  <si>
    <t>115.14.g</t>
  </si>
  <si>
    <t>Electric Intangible Software 5 Yr</t>
  </si>
  <si>
    <t>Electric Intangible Software 10 Yr</t>
  </si>
  <si>
    <t>2.  Adjustment to ADIT associated with plant adjustments, see WP_B-Inputs.</t>
  </si>
  <si>
    <t>1. Company Records</t>
  </si>
  <si>
    <t>2. Company Records</t>
  </si>
  <si>
    <t>3. Company Records</t>
  </si>
  <si>
    <t>Gain on the sale of the Technical Service Building (Electric portion)</t>
  </si>
  <si>
    <t>Section 205 filing (to be made annually to update the PBOP expense) or a Section 206 filing.</t>
  </si>
  <si>
    <t xml:space="preserve">  Annual Cost ($/kW-Yr)</t>
  </si>
  <si>
    <t xml:space="preserve">  Network &amp; Point-to-Point Rate ($/kW-Mo) </t>
  </si>
  <si>
    <t>TOTAL NET ACQUISITION ADJUSTMENT</t>
  </si>
  <si>
    <t>(9) ADIT Adjustment</t>
  </si>
  <si>
    <t>Note 1. The PSCo budget estimates these taxes only in total.  Details as to actual taxes will be available for actuals in the Annual True-up.</t>
  </si>
  <si>
    <t>(9)</t>
  </si>
  <si>
    <t xml:space="preserve">ACCUMULATED DEFERRED INCOME TAX </t>
  </si>
  <si>
    <t>Total Production plant</t>
  </si>
  <si>
    <t>Total Electric Plant</t>
  </si>
  <si>
    <t>2. Regulatory Commission expenses (FERC Account 928) will be directly assigned to Transmission and are shown on WP_C-4.</t>
  </si>
  <si>
    <t>Total 421.1</t>
  </si>
  <si>
    <t>Revenue credit because the load is not included in divisor.</t>
  </si>
  <si>
    <t xml:space="preserve">(A x B) / C =  </t>
  </si>
  <si>
    <t>Acct 314</t>
  </si>
  <si>
    <t>Steam Turbogenerators</t>
  </si>
  <si>
    <t>Acct 344</t>
  </si>
  <si>
    <t>CT Generators</t>
  </si>
  <si>
    <t>Subtotal of Production Accounts 314 &amp; 344</t>
  </si>
  <si>
    <t>Generation Step Ups</t>
  </si>
  <si>
    <t>Total Dual Use Production Plant</t>
  </si>
  <si>
    <t>Fixed Charge Rate (including O&amp;M) for all Production Plant</t>
  </si>
  <si>
    <t xml:space="preserve">Annual Cost of Reactive Power Equipment </t>
  </si>
  <si>
    <t>Total Production Plant Revenue Requirement including O&amp;M</t>
  </si>
  <si>
    <t>Total Revenue Requirement for Reactive Power</t>
  </si>
  <si>
    <t>Average of 12 Month Coincident Peaks</t>
  </si>
  <si>
    <t>Annual Reactive Power Charge</t>
  </si>
  <si>
    <t>PSCO Total Rated Capacity =</t>
  </si>
  <si>
    <t>kVA</t>
  </si>
  <si>
    <t xml:space="preserve">PSCO Total VAR Rating = </t>
  </si>
  <si>
    <t xml:space="preserve"> kVAR</t>
  </si>
  <si>
    <t>% of Plant dedicated to VAR Production is = (kVAR^2 / kVA^2) X 100 =</t>
  </si>
  <si>
    <t>Total Cost (1)</t>
  </si>
  <si>
    <t>Name</t>
  </si>
  <si>
    <t>Non VAR</t>
  </si>
  <si>
    <t>Total Cost</t>
  </si>
  <si>
    <t>Name Plate</t>
  </si>
  <si>
    <t>Step Ups</t>
  </si>
  <si>
    <t>W/ Step Ups</t>
  </si>
  <si>
    <t>Arapahoe</t>
  </si>
  <si>
    <t>Cherokee</t>
  </si>
  <si>
    <t>Comanche</t>
  </si>
  <si>
    <t>Craig</t>
  </si>
  <si>
    <t>Approved in FERC Docket</t>
  </si>
  <si>
    <t>Adjustment to Gross Plant</t>
  </si>
  <si>
    <t>Adjustment to Accumulated Reserves</t>
  </si>
  <si>
    <t>Adjustment to ADIT</t>
  </si>
  <si>
    <t>Annual Amortization</t>
  </si>
  <si>
    <t>Adjustment to Net Plant</t>
  </si>
  <si>
    <t>Prefunded AFUDC Adjustments (2)</t>
  </si>
  <si>
    <t>Hayden</t>
  </si>
  <si>
    <t>Pawnee</t>
  </si>
  <si>
    <t>Zuni</t>
  </si>
  <si>
    <t>Alamosa</t>
  </si>
  <si>
    <t>Fort Lupton</t>
  </si>
  <si>
    <t>Fruita</t>
  </si>
  <si>
    <t>Valmont 6</t>
  </si>
  <si>
    <t>Cabin Creek</t>
  </si>
  <si>
    <t>Total dual use</t>
  </si>
  <si>
    <t xml:space="preserve">Total Cost for  </t>
  </si>
  <si>
    <t xml:space="preserve">Unity = </t>
  </si>
  <si>
    <t xml:space="preserve">Prod. FCR </t>
  </si>
  <si>
    <t xml:space="preserve">Annual Cost of Gen. </t>
  </si>
  <si>
    <t xml:space="preserve">Gen. Max </t>
  </si>
  <si>
    <t xml:space="preserve">Cost of plant / </t>
  </si>
  <si>
    <t>for VAR Production</t>
  </si>
  <si>
    <t xml:space="preserve">Reg. and Freq. </t>
  </si>
  <si>
    <t>Plants Selected</t>
  </si>
  <si>
    <t>with O&amp;M</t>
  </si>
  <si>
    <t>Plnt.. To provide Svc.</t>
  </si>
  <si>
    <t>Plant</t>
  </si>
  <si>
    <t>per Plant</t>
  </si>
  <si>
    <t>Response Serv..</t>
  </si>
  <si>
    <t>(kW)</t>
  </si>
  <si>
    <t>( b x  c )</t>
  </si>
  <si>
    <t>( a ) - ( d )</t>
  </si>
  <si>
    <t>Average Generation Unit Cost to Provide Service</t>
  </si>
  <si>
    <t>for Op Res</t>
  </si>
  <si>
    <t>Annual Cost</t>
  </si>
  <si>
    <t>Oper. Reserve</t>
  </si>
  <si>
    <t>of Selected Plant</t>
  </si>
  <si>
    <t>Supplemental</t>
  </si>
  <si>
    <t>to Provide Service</t>
  </si>
  <si>
    <r>
      <t>R/(1+R)^</t>
    </r>
    <r>
      <rPr>
        <sz val="9"/>
        <rFont val="Arial"/>
        <family val="2"/>
      </rPr>
      <t>n-1</t>
    </r>
  </si>
  <si>
    <t>Delete</t>
  </si>
  <si>
    <t>Add</t>
  </si>
  <si>
    <t>Generation</t>
  </si>
  <si>
    <t>Comanche 3</t>
  </si>
  <si>
    <t>3rd Party</t>
  </si>
  <si>
    <t xml:space="preserve">Generation </t>
  </si>
  <si>
    <t>Step-up Loss</t>
  </si>
  <si>
    <t>IREA</t>
  </si>
  <si>
    <t>Reserved</t>
  </si>
  <si>
    <t>System Peak</t>
  </si>
  <si>
    <t>at Peak</t>
  </si>
  <si>
    <t>Includes any incentive Construction Work in Progress (CWIP), any related Pre-funded Allowance for Funds Used During Construction (AFUDC), any unamortized balances</t>
  </si>
  <si>
    <t>Account 565 Transmission by Others is included only to the extent used to integrate the PSCo Transmission system.</t>
  </si>
  <si>
    <t>Network Load</t>
  </si>
  <si>
    <t>Capacity</t>
  </si>
  <si>
    <t>Date &amp; Time</t>
  </si>
  <si>
    <t>12 Month Average</t>
  </si>
  <si>
    <t>Estimated System Peak Demand Summary</t>
  </si>
  <si>
    <t>Actual System Peak Demand Summary</t>
  </si>
  <si>
    <t xml:space="preserve">Ancillary Services, Schedule No. 2 - </t>
  </si>
  <si>
    <t xml:space="preserve">Ancillary Services, Schedule No. 5 - </t>
  </si>
  <si>
    <t>Sum Lines 2 - 9</t>
  </si>
  <si>
    <t xml:space="preserve">Total FERC Account 561 </t>
  </si>
  <si>
    <t xml:space="preserve">  All industry association dues recorded in FERC Account 930.2 will be excluded.  The adjustment is shown on WP_C-2, Note 4.</t>
  </si>
  <si>
    <t xml:space="preserve">Ancillary Services, Schedule No. 6 - </t>
  </si>
  <si>
    <t>Cost Per Unit</t>
  </si>
  <si>
    <t>Includes only FICA, unemployment, property, and other assessments charged in the current year.</t>
  </si>
  <si>
    <t>Rental Income on Other Facilities</t>
  </si>
  <si>
    <t>Annual Transmission Revenue Requirements- Actual</t>
  </si>
  <si>
    <t>Annual Transmission Revenue Requirements- Estimated</t>
  </si>
  <si>
    <t>/kW-year</t>
  </si>
  <si>
    <t>Current Year</t>
  </si>
  <si>
    <t>Balance</t>
  </si>
  <si>
    <t>Credit</t>
  </si>
  <si>
    <t>SIT=</t>
  </si>
  <si>
    <t>13 Month Avg (1)</t>
  </si>
  <si>
    <t>OTHER RATE BASE ITEMS</t>
  </si>
  <si>
    <t>TOTAL OTHER RATE BASE ITEMS</t>
  </si>
  <si>
    <t xml:space="preserve">  Account No. 421.1 (Gain From Disposition of Utility Plant)</t>
  </si>
  <si>
    <t>If a change in an income tax rate is known sufficiently in advance to be reflected in the estimated rates that will become effective January 1 for the upcoming formula rate year, PSCo will reflect the new tax rate(s) in the estimated rate calculations for the months in which the new tax rate will be in effect for the formula rate year.  Otherwise, such tax change will be captured and reflected in the annual formula true-up by weighting the tax rates in effect during the year by the number of days each such tax rate was in effect.</t>
  </si>
  <si>
    <t>System Integration Costs- Holy Cross TIEA (3)</t>
  </si>
  <si>
    <t>Table 32</t>
  </si>
  <si>
    <t>Construction Work in Progress</t>
  </si>
  <si>
    <t>Rate Base Data Inputs- Actual</t>
  </si>
  <si>
    <t>Capital Structure Details</t>
  </si>
  <si>
    <t>FF1, pg. 323, Line 181</t>
  </si>
  <si>
    <t>FF1, pg. 323, Line 182</t>
  </si>
  <si>
    <t>FF1, pg. 323, Line 183</t>
  </si>
  <si>
    <t>FF1, pg. 323, Line 184</t>
  </si>
  <si>
    <t>FF1, pg. 323, Line 185</t>
  </si>
  <si>
    <t>FF1, pg. 323, Line 186</t>
  </si>
  <si>
    <t>FF1, pg. 323, Line 187</t>
  </si>
  <si>
    <t>FF1, pg. 323, Line 188</t>
  </si>
  <si>
    <t>FF1, pg. 323, Line 189</t>
  </si>
  <si>
    <t>FF1, pg. 323, Line 190</t>
  </si>
  <si>
    <t>FF1, pg. 323, Line 191</t>
  </si>
  <si>
    <t>FF1, pg. 323, Line 192</t>
  </si>
  <si>
    <t>FF1, pg. 323, Line 193</t>
  </si>
  <si>
    <t>FF1, pg. 323, Line 196</t>
  </si>
  <si>
    <t xml:space="preserve">     Add Back  Account 561.4</t>
  </si>
  <si>
    <t>Ancillary Service Rates (2)</t>
  </si>
  <si>
    <t>(Note 1)</t>
  </si>
  <si>
    <t>RATE BASE &amp; RETURN CALCULATION</t>
  </si>
  <si>
    <t xml:space="preserve">  Account No. 281</t>
  </si>
  <si>
    <t xml:space="preserve">  Account No. 282</t>
  </si>
  <si>
    <t xml:space="preserve">  Account No. 283</t>
  </si>
  <si>
    <t xml:space="preserve">  Account No. 255</t>
  </si>
  <si>
    <t xml:space="preserve">  Cash Working Capital</t>
  </si>
  <si>
    <t>EXPENSE, TAXES &amp; REVENUE</t>
  </si>
  <si>
    <t xml:space="preserve">              Account 928 - Transmission Specific</t>
  </si>
  <si>
    <t xml:space="preserve">     Plus: Account 924, Property Insurance</t>
  </si>
  <si>
    <t>TRANSMISSION PLANT INCLUDED IN THE ATRR</t>
  </si>
  <si>
    <t xml:space="preserve">Transmission plant   </t>
  </si>
  <si>
    <t xml:space="preserve">Total Transmission Plant   </t>
  </si>
  <si>
    <t xml:space="preserve">  Eliminate Generator Step-up facilities</t>
  </si>
  <si>
    <t>Electric Intangible Franchises are amortized over the life of the Franchise Agreement.</t>
  </si>
  <si>
    <t>Common Intangible Franchises are amortized over the life of the Franchise Agreement.</t>
  </si>
  <si>
    <t>The Depreciation Rates were approved in Docket ER08-224-000 and Docket ER11-2853 and will not change absent a 205 or 206 filing.</t>
  </si>
  <si>
    <t>( e ) X ( f ) * (g)</t>
  </si>
  <si>
    <t>pg.112, sum of 18c thru 21c</t>
  </si>
  <si>
    <t>Percent of Transmission Plant in the ATRR</t>
  </si>
  <si>
    <t>Note 1. The True-up calculations will include interest pursuant to Section 35.19a of the FERC's regulations.  Interest will be calculated from the beginning of the Rate year to the date the refunds or surcharges are billed.</t>
  </si>
  <si>
    <t>The Net Acquisition Adjustment will be the average of thirteen monthly balances.</t>
  </si>
  <si>
    <t>207, Ln.100, Col. (g)</t>
  </si>
  <si>
    <t>214, Ln. 47, Col. (d)</t>
  </si>
  <si>
    <t>216, Ln. 43, Col. (b)</t>
  </si>
  <si>
    <t>110, Ln. 4, Col. (c), plus Ln. 16, Col. (c)</t>
  </si>
  <si>
    <t>formula except as directed by the Commission pursuant to a Section 205 filing.</t>
  </si>
  <si>
    <t>Electric Distribution-Prod</t>
  </si>
  <si>
    <t>Electric Transmission-Prod</t>
  </si>
  <si>
    <t>Electric General-Prod</t>
  </si>
  <si>
    <t>Common General (2)</t>
  </si>
  <si>
    <t>Electric General (2)</t>
  </si>
  <si>
    <t>Common Intangible (2)</t>
  </si>
  <si>
    <t>Electric Intangible (2)</t>
  </si>
  <si>
    <t>The Regulatory Liability associated with the sale of the Technical Service Building (TSB) will be included in Rate Base.  Future Regulatory Liabilities will not be included in the</t>
  </si>
  <si>
    <t>(Note A)</t>
  </si>
  <si>
    <t>(Note B)</t>
  </si>
  <si>
    <t xml:space="preserve">  Account No. 107 (CWIP) (Note E)</t>
  </si>
  <si>
    <t xml:space="preserve">  Net Pre-Funded AFUDC on CWIP included (Note E)</t>
  </si>
  <si>
    <t xml:space="preserve">  Unamortized Balance of Abandoned Incentive Plant (Note E)</t>
  </si>
  <si>
    <t xml:space="preserve">  Unamortized Balance of Extraordinary Property Loss (Note E)</t>
  </si>
  <si>
    <t>LAND HELD FOR FUTURE USE (Note F)</t>
  </si>
  <si>
    <t>(Note G)</t>
  </si>
  <si>
    <t xml:space="preserve">     Less Total Account 565 (Note H)</t>
  </si>
  <si>
    <t>Administrative and General (Note I)</t>
  </si>
  <si>
    <t>(Note J)</t>
  </si>
  <si>
    <t xml:space="preserve"> (Note K)</t>
  </si>
  <si>
    <t xml:space="preserve">       and FIT, SIT &amp; p are as given in Note K.</t>
  </si>
  <si>
    <t>(Note L)</t>
  </si>
  <si>
    <t xml:space="preserve">  Regulatory Liabilities- FERC Account No. 254 (Note C)</t>
  </si>
  <si>
    <t>(4) Return (1)</t>
  </si>
  <si>
    <t>(5) Depreciation (1)</t>
  </si>
  <si>
    <t xml:space="preserve"> Incentive Plant (2)</t>
  </si>
  <si>
    <t>Expense (2)</t>
  </si>
  <si>
    <r>
      <t xml:space="preserve">The interest is calculated </t>
    </r>
    <r>
      <rPr>
        <sz val="10"/>
        <rFont val="Arial"/>
        <family val="2"/>
      </rPr>
      <t>pursuant to Section 35.19a using the in</t>
    </r>
    <r>
      <rPr>
        <sz val="10"/>
        <rFont val="Arial"/>
        <family val="2"/>
      </rPr>
      <t>terest rate posted on the FERC website.</t>
    </r>
  </si>
  <si>
    <t>Property Loss (2)</t>
  </si>
  <si>
    <t>Use (3)</t>
  </si>
  <si>
    <t>Note 2.  Abandoned Plant and Extraordinary Property Loss will remain at zero and can not be changes without a Section 205 filing.</t>
  </si>
  <si>
    <t>Note 3.  Plant Held for Future Use recovered in the formula will be limited to Transmission related land and land rights recorded in Account 105, Plant Held for Future Use.</t>
  </si>
  <si>
    <t>Less: Reliability, Planning and Standards Development (Account 561.5)</t>
  </si>
  <si>
    <t>Less: Transmission Service Studies (Account 561.6)</t>
  </si>
  <si>
    <t>Less: Generation Interconnection Studies (Account 561.7)</t>
  </si>
  <si>
    <t>Less: Reliability, Planning &amp; Standards Development Services (Account 561.8)</t>
  </si>
  <si>
    <t xml:space="preserve">     Add Back  Account 561.5</t>
  </si>
  <si>
    <t xml:space="preserve">     Add Back  Account 561.8</t>
  </si>
  <si>
    <t>4. Retail related Franchises and Consents are eliminated from FERC 302</t>
  </si>
  <si>
    <t>5. Retail Related CRS (Customer Resources System) and OMS (Outage Management System) are eliminated from Common Plant FERC 303</t>
  </si>
  <si>
    <t>Post-Employment Benefits Other than Pensions (FAS 106)</t>
  </si>
  <si>
    <t>O&amp;M</t>
  </si>
  <si>
    <t>Total Expense</t>
  </si>
  <si>
    <t>O&amp;M $</t>
  </si>
  <si>
    <t>Electric $</t>
  </si>
  <si>
    <t>Once established in the true-up for the first Formula Rate Year that rates are in effect,</t>
  </si>
  <si>
    <t>the amount for Post-Employment Benefits Other than Pensions shall be the amount recovered</t>
  </si>
  <si>
    <t>in the formula rate until a change is accepted and permitted by FERC pursuant to a</t>
  </si>
  <si>
    <t>Employee pensions and benefits (1)</t>
  </si>
  <si>
    <t>changed without a Section 205 or 206 filing.</t>
  </si>
  <si>
    <t>Regulatory commission expenses (2)</t>
  </si>
  <si>
    <t>General Advertising Expenses (3)</t>
  </si>
  <si>
    <t>Miscellaneous general expenses (4)</t>
  </si>
  <si>
    <t>3. General Advertising Expenses (FERC Account 930.1) will be excluded.</t>
  </si>
  <si>
    <t>I.  Revenue Requirement True-up:</t>
  </si>
  <si>
    <t>II.  Volume True-up:</t>
  </si>
  <si>
    <t>kw</t>
  </si>
  <si>
    <t>III.  Interest Calculation:</t>
  </si>
  <si>
    <t>Amortization</t>
  </si>
  <si>
    <t>of Abandoned</t>
  </si>
  <si>
    <t>Unamort. Balance</t>
  </si>
  <si>
    <t>of Extraordinary</t>
  </si>
  <si>
    <t>Land Held</t>
  </si>
  <si>
    <t>For Future</t>
  </si>
  <si>
    <t>Production Plant</t>
  </si>
  <si>
    <t>Distribution (3)</t>
  </si>
  <si>
    <t>General (3)</t>
  </si>
  <si>
    <t>12 Month Total (2)</t>
  </si>
  <si>
    <t>Most recent FF1, Pg 205, Ln 12</t>
  </si>
  <si>
    <t>Most recent FF1, Pg 205, Ln 41</t>
  </si>
  <si>
    <t>Most recent FF1, Footnote, Page 204, Line 58</t>
  </si>
  <si>
    <t>Dual Use Plant Alloc. To Reactive Power</t>
  </si>
  <si>
    <t>Valmont 5</t>
  </si>
  <si>
    <t>Fort St. Vrain 1-4</t>
  </si>
  <si>
    <t>TOTAL:</t>
  </si>
  <si>
    <t>(1) WP_Cost per Unit</t>
  </si>
  <si>
    <t>( e ) * ( f ) * (g)</t>
  </si>
  <si>
    <t>(kW) (1)</t>
  </si>
  <si>
    <t>per MWh ((Line 24 / 16) X 1000)</t>
  </si>
  <si>
    <t>per kW month (Line 22)</t>
  </si>
  <si>
    <t>Spinning Reserve (3)</t>
  </si>
  <si>
    <t>per kW month (Line 21 / 12)</t>
  </si>
  <si>
    <t>(6) Composite Income Tax</t>
  </si>
  <si>
    <t>(8) Cash Working Capital</t>
  </si>
  <si>
    <t>Plate kW (2)</t>
  </si>
  <si>
    <t>Percent of</t>
  </si>
  <si>
    <t>Transmission Specific</t>
  </si>
  <si>
    <t>Non-Transmission Related</t>
  </si>
  <si>
    <t>Gross Plant, Accumulated Depreciation &amp; Amortization, and Depreciation Expense</t>
  </si>
  <si>
    <t>WS</t>
  </si>
  <si>
    <t>13 Month Avg.</t>
  </si>
  <si>
    <t>Long Term Debt:</t>
  </si>
  <si>
    <t>Acct 221 Bonds</t>
  </si>
  <si>
    <t>112.18.c,d</t>
  </si>
  <si>
    <t>Acct 224 Other Long Term Debt</t>
  </si>
  <si>
    <t>112.21.c,d</t>
  </si>
  <si>
    <t>Total Long Term Debt</t>
  </si>
  <si>
    <t>Preferred Stock</t>
  </si>
  <si>
    <t>112.3.c,d</t>
  </si>
  <si>
    <t>Common Equity- Per Books</t>
  </si>
  <si>
    <t>112.16.c,d</t>
  </si>
  <si>
    <t>Less Acct 204 Preferred Stock</t>
  </si>
  <si>
    <t>Less Acct 219 Accum Other Compre. Income</t>
  </si>
  <si>
    <t>112.15.c,d</t>
  </si>
  <si>
    <t>Adjusted Common Equity</t>
  </si>
  <si>
    <t>Cost of Debt</t>
  </si>
  <si>
    <t>Interest on Long Term Debt</t>
  </si>
  <si>
    <t>117.62.c</t>
  </si>
  <si>
    <t>Amortization of Debt Discount and Expense</t>
  </si>
  <si>
    <t>117.63.c</t>
  </si>
  <si>
    <t>Amortization of Loss on Reacquired Debt</t>
  </si>
  <si>
    <t>117.64.c</t>
  </si>
  <si>
    <t>Less:  Amort of Premium on Debt</t>
  </si>
  <si>
    <t>Less:  Amort of Gain on Reacquired Debt</t>
  </si>
  <si>
    <t>Total Interest Expense</t>
  </si>
  <si>
    <t>Cost of Preferred Stock</t>
  </si>
  <si>
    <t>Preferred Stock Dividends</t>
  </si>
  <si>
    <t>118.29.c</t>
  </si>
  <si>
    <t xml:space="preserve">Long Term Debt </t>
  </si>
  <si>
    <t xml:space="preserve">Common Stock </t>
  </si>
  <si>
    <t xml:space="preserve">  Total </t>
  </si>
  <si>
    <t xml:space="preserve">  or is otherwise not eligible to be recovered under this Tariff.</t>
  </si>
  <si>
    <t>Transmission plant included in OATT Trans Rate</t>
  </si>
  <si>
    <t>Includes only transmission related or functionally booked as transmission land held for future use.</t>
  </si>
  <si>
    <t>TAXES OTHER THAN INCOME</t>
  </si>
  <si>
    <t>TOTAL OTHER TAXES</t>
  </si>
  <si>
    <t>INCOME TAXES</t>
  </si>
  <si>
    <t>TOTAL INCOME TAXES</t>
  </si>
  <si>
    <t>TOTAL DEPRECIATION AND AMORTIZATION</t>
  </si>
  <si>
    <t>GROSS PLANT IN SERVICE</t>
  </si>
  <si>
    <t>ACCUMULATED DEPRECIATION</t>
  </si>
  <si>
    <t>NET PLANT IN SERVICE</t>
  </si>
  <si>
    <t xml:space="preserve">Scheduling, </t>
  </si>
  <si>
    <t>Reactive</t>
  </si>
  <si>
    <t xml:space="preserve">Network &amp; </t>
  </si>
  <si>
    <t>System</t>
  </si>
  <si>
    <t xml:space="preserve">Supply &amp; </t>
  </si>
  <si>
    <t>Regulation</t>
  </si>
  <si>
    <t xml:space="preserve">Interco. </t>
  </si>
  <si>
    <t xml:space="preserve">Supplemental </t>
  </si>
  <si>
    <t>Network</t>
  </si>
  <si>
    <t xml:space="preserve">Control &amp; </t>
  </si>
  <si>
    <t>Voltage</t>
  </si>
  <si>
    <t>and</t>
  </si>
  <si>
    <t xml:space="preserve">Spinning </t>
  </si>
  <si>
    <t>Assess</t>
  </si>
  <si>
    <t>Dispatch</t>
  </si>
  <si>
    <t>Control</t>
  </si>
  <si>
    <t>Frequency</t>
  </si>
  <si>
    <t>Imbalance</t>
  </si>
  <si>
    <t>Reserve</t>
  </si>
  <si>
    <t>Pass</t>
  </si>
  <si>
    <t xml:space="preserve">Total of </t>
  </si>
  <si>
    <t>Schedules 7 &amp; 8</t>
  </si>
  <si>
    <t>Schedule 9</t>
  </si>
  <si>
    <t>Schedule 1</t>
  </si>
  <si>
    <t>Schedule 2</t>
  </si>
  <si>
    <t>Schedule 4</t>
  </si>
  <si>
    <t>Schedule 5</t>
  </si>
  <si>
    <t>Schedule 6</t>
  </si>
  <si>
    <t>Through</t>
  </si>
  <si>
    <t xml:space="preserve">Type </t>
  </si>
  <si>
    <t>Items</t>
  </si>
  <si>
    <t>Ancillary</t>
  </si>
  <si>
    <t>Land Rights</t>
  </si>
  <si>
    <t>Structures &amp; Improvements</t>
  </si>
  <si>
    <t>Towers &amp; Fixtures</t>
  </si>
  <si>
    <t>Poles &amp; Fixtures</t>
  </si>
  <si>
    <t>OH Conductors &amp; Devices</t>
  </si>
  <si>
    <t>UG Conduit</t>
  </si>
  <si>
    <t>UG Conductors &amp; Devices</t>
  </si>
  <si>
    <t>Roads &amp; Trails</t>
  </si>
  <si>
    <r>
      <t>N/A</t>
    </r>
    <r>
      <rPr>
        <vertAlign val="superscript"/>
        <sz val="10"/>
        <rFont val="Arial"/>
        <family val="2"/>
      </rPr>
      <t>4</t>
    </r>
  </si>
  <si>
    <t>Description of Revenue Types:</t>
  </si>
  <si>
    <t>Load associated with these revenues are included in the formula divisor.</t>
  </si>
  <si>
    <t>TIE Agmt</t>
  </si>
  <si>
    <t>Sales Load</t>
  </si>
  <si>
    <t>At Peak</t>
  </si>
  <si>
    <t xml:space="preserve">PSCO Total Generator Net Max. = </t>
  </si>
  <si>
    <t>Fort St. Vrain 5-6</t>
  </si>
  <si>
    <t>Rocky Mountain</t>
  </si>
  <si>
    <t>Reactive Supply and Voltage Control From Generation Source Services</t>
  </si>
  <si>
    <t>Regulation and Frequency Response Service</t>
  </si>
  <si>
    <t>Operating Reserve - Spinning Reserve Service</t>
  </si>
  <si>
    <t>Operating Reserve - Supplemental Reserve Service</t>
  </si>
  <si>
    <t xml:space="preserve">  "the percentage of federal income tax deductible for state income taxes".</t>
  </si>
  <si>
    <t xml:space="preserve">  PSCo has elected to utilize amortization of tax credits against taxable income, rather than book tax credits to Account No. 255 and reduce </t>
  </si>
  <si>
    <t>per kW week (Line 21 / 52)</t>
  </si>
  <si>
    <t>per kW day (Line 23 / 6)</t>
  </si>
  <si>
    <t>Summarized by Type:</t>
  </si>
  <si>
    <t>Estimate</t>
  </si>
  <si>
    <t>Point-to-Point</t>
  </si>
  <si>
    <t xml:space="preserve">  Facilities, or is booked to transmission (e.g. step-up transformers) that is included in the development of OATT ancillary service rates,</t>
  </si>
  <si>
    <t>Removes the dollars of plant booked to transmission plant that is excluded from the Tariff because it does not meet the Tariff's definition of Transmission</t>
  </si>
  <si>
    <t xml:space="preserve">  Prepayments (Account 165) Plant Related</t>
  </si>
  <si>
    <t xml:space="preserve">  Prepayments (Account 165) Labor Related</t>
  </si>
  <si>
    <t xml:space="preserve">  Prepayments (Account 165) Transmission Related</t>
  </si>
  <si>
    <t>Ending Balance (1)</t>
  </si>
  <si>
    <t>Table 34</t>
  </si>
  <si>
    <t>Prepayments- FERC Account 165</t>
  </si>
  <si>
    <t>Note 1:  Prepayments are the 13-month average of the most recent calendar year actuals.</t>
  </si>
  <si>
    <t>REQUIREMENTS  CALCULATION</t>
  </si>
  <si>
    <t>OPERATION &amp; MAINTENANCE EXPENSE</t>
  </si>
  <si>
    <t xml:space="preserve">     Transmission Subtotal</t>
  </si>
  <si>
    <t xml:space="preserve">     Balance of A &amp; G</t>
  </si>
  <si>
    <t xml:space="preserve">     A &amp; G Subtotal</t>
  </si>
  <si>
    <t>TOTAL O &amp; M EXPENSE</t>
  </si>
  <si>
    <t xml:space="preserve"> related to the recovery of abandoned incentive plant costs, any extraordinary property losses and any related depreciation and amortization expense amounts.</t>
  </si>
  <si>
    <t xml:space="preserve">REVENUE CREDITS </t>
  </si>
  <si>
    <t xml:space="preserve">     Add Back  Account 561.6</t>
  </si>
  <si>
    <t xml:space="preserve">     Add Back  Account 561.7</t>
  </si>
  <si>
    <t>Public Service Company of Colorado</t>
  </si>
  <si>
    <t>RETURN   (Rate Base * Rate of Return)</t>
  </si>
  <si>
    <t>SUPPORTING CALCULATIONS</t>
  </si>
  <si>
    <t>267.8.h</t>
  </si>
  <si>
    <t>WAGES &amp; SALARY ALLOCATOR (W/S)</t>
  </si>
  <si>
    <t>W/S=</t>
  </si>
  <si>
    <t xml:space="preserve">     ITC adjustment</t>
  </si>
  <si>
    <t>TOTAL WORKING CAPITAL</t>
  </si>
  <si>
    <t>TOTAL NET PLANT IN SERVICE</t>
  </si>
  <si>
    <t>TOTAL ACCUMULATED DEPRECIATION</t>
  </si>
  <si>
    <t>TOTAL GROSS PLANT</t>
  </si>
  <si>
    <t xml:space="preserve">  Prepayments (Account 165) Other Not Allocated</t>
  </si>
  <si>
    <t>W/S Allocator</t>
  </si>
  <si>
    <t>DEPRECIATION AND AMORTIZATION EXPENSE</t>
  </si>
  <si>
    <t xml:space="preserve"> </t>
  </si>
  <si>
    <t>Transmission</t>
  </si>
  <si>
    <t>Total</t>
  </si>
  <si>
    <t>TP</t>
  </si>
  <si>
    <t>Total Revenue Credits</t>
  </si>
  <si>
    <t>(1)</t>
  </si>
  <si>
    <t>(2)</t>
  </si>
  <si>
    <t>(3)</t>
  </si>
  <si>
    <t>Pg 234 Ln 2c + 3c</t>
  </si>
  <si>
    <t>Pg 320, Ln 12b</t>
  </si>
  <si>
    <t>(4)</t>
  </si>
  <si>
    <t>(5)</t>
  </si>
  <si>
    <t xml:space="preserve">  Production</t>
  </si>
  <si>
    <t>NA</t>
  </si>
  <si>
    <t xml:space="preserve">  Transmission</t>
  </si>
  <si>
    <t>DA</t>
  </si>
  <si>
    <t>2012 act</t>
  </si>
  <si>
    <t xml:space="preserve">  Distribution</t>
  </si>
  <si>
    <t xml:space="preserve">  General Plant   </t>
  </si>
  <si>
    <t>W/S</t>
  </si>
  <si>
    <t xml:space="preserve">  Intangible Plant</t>
  </si>
  <si>
    <t>NP=</t>
  </si>
  <si>
    <t>NP</t>
  </si>
  <si>
    <t xml:space="preserve">  Account No. 190 </t>
  </si>
  <si>
    <t xml:space="preserve">  General </t>
  </si>
  <si>
    <t xml:space="preserve">  Intangible</t>
  </si>
  <si>
    <t xml:space="preserve">  Labor Related</t>
  </si>
  <si>
    <t xml:space="preserve">  Plant Related</t>
  </si>
  <si>
    <t xml:space="preserve">     T=1 - {[(1 - SIT) * (1 - FIT)] / (1 - SIT * FIT * p)} =</t>
  </si>
  <si>
    <t xml:space="preserve">     CIT=(T/1-T) * (1-(WCLTD/R)) =</t>
  </si>
  <si>
    <t xml:space="preserve">Income Tax Calculation </t>
  </si>
  <si>
    <t>TP=</t>
  </si>
  <si>
    <t>$</t>
  </si>
  <si>
    <t xml:space="preserve">  Other</t>
  </si>
  <si>
    <t>Cost</t>
  </si>
  <si>
    <t>%</t>
  </si>
  <si>
    <t>Weighted</t>
  </si>
  <si>
    <t>A</t>
  </si>
  <si>
    <t>B</t>
  </si>
  <si>
    <t>C</t>
  </si>
  <si>
    <t>D</t>
  </si>
  <si>
    <t>E</t>
  </si>
  <si>
    <t>F</t>
  </si>
  <si>
    <t>G</t>
  </si>
  <si>
    <t>H</t>
  </si>
  <si>
    <t>I</t>
  </si>
  <si>
    <t>J</t>
  </si>
  <si>
    <t>K</t>
  </si>
  <si>
    <t>L</t>
  </si>
  <si>
    <t>N</t>
  </si>
  <si>
    <t>M</t>
  </si>
  <si>
    <t>The currently effective income tax rate,  where FIT is the Federal income tax rate; SIT is the State income tax rate, and p =</t>
  </si>
  <si>
    <t xml:space="preserve">         Inputs Required:</t>
  </si>
  <si>
    <t>FIT =</t>
  </si>
  <si>
    <t xml:space="preserve">  (State Income Tax Rate or Composite SIT)</t>
  </si>
  <si>
    <t>p =</t>
  </si>
  <si>
    <t xml:space="preserve">     Less Total Account 561</t>
  </si>
  <si>
    <t xml:space="preserve">  Materials &amp; Supplies - Transmission</t>
  </si>
  <si>
    <t xml:space="preserve">  Materials &amp; Supplies  - Other</t>
  </si>
  <si>
    <t>x monthly Load</t>
  </si>
  <si>
    <t>Col. (5) = (3) - (4)</t>
  </si>
  <si>
    <t>Actual     Rates</t>
  </si>
  <si>
    <t>Summary of Estimated Rates</t>
  </si>
  <si>
    <t>Estimated Schedule 1 ARR</t>
  </si>
  <si>
    <t>Actual Average 12-Mo. Demand</t>
  </si>
  <si>
    <t>Estimated Average 12-Mo. Demand</t>
  </si>
  <si>
    <t>B.  Schedule 1 Estimated Rate Calculations</t>
  </si>
  <si>
    <t>D.  Schedule 1 Actual Rate Calculations</t>
  </si>
  <si>
    <t>Less:  Schedule 1 Point to Point Estimated Revenues</t>
  </si>
  <si>
    <t>Actual Rates and True-up</t>
  </si>
  <si>
    <t>Line 9, Col. (5) divided by Col. (3)</t>
  </si>
  <si>
    <t>Amortized Investment Tax Credit (enter negative)</t>
  </si>
  <si>
    <t>WORKING CAPITAL</t>
  </si>
  <si>
    <t xml:space="preserve">  Regional Market</t>
  </si>
  <si>
    <t xml:space="preserve">  (percent of FIT deductible for state purposes)</t>
  </si>
  <si>
    <t>Line No.</t>
  </si>
  <si>
    <t>Revenue Requirement</t>
  </si>
  <si>
    <t>Reference</t>
  </si>
  <si>
    <t>Transmission Amount</t>
  </si>
  <si>
    <t xml:space="preserve">  Transmission Network Load</t>
  </si>
  <si>
    <t>Peak</t>
  </si>
  <si>
    <t>Divisor</t>
  </si>
  <si>
    <t>Reference/Notes</t>
  </si>
  <si>
    <t>Note:</t>
  </si>
  <si>
    <t>Total Load Dispatch and Scheduling (Account 561)</t>
  </si>
  <si>
    <t>Total 561 Costs for Projected Schedule 1 ARR</t>
  </si>
  <si>
    <t>kW</t>
  </si>
  <si>
    <t>Monthly Point to Point Rate in $/kW - Month</t>
  </si>
  <si>
    <t>Weekly Point to Point Rate in $/kW - Weekly</t>
  </si>
  <si>
    <t>Daily Point to Point Rate in $/kW - Day</t>
  </si>
  <si>
    <t>Common Intangible (4) (5)</t>
  </si>
  <si>
    <t>Common General (3)</t>
  </si>
  <si>
    <t>Transmission related Acquisition Adjustment</t>
  </si>
  <si>
    <t>Hourly Point to Point Rate in $/mW - Hourly</t>
  </si>
  <si>
    <t>mW</t>
  </si>
  <si>
    <t>Total 561 Costs for Actual Schedule 1 ARR</t>
  </si>
  <si>
    <t>Less:  Schedule 1 Point to Point Actual Revenues Billed</t>
  </si>
  <si>
    <t>Actual Schedule 1 ARR</t>
  </si>
  <si>
    <t>Construction Work in Progress (1)</t>
  </si>
  <si>
    <t>Work Order #</t>
  </si>
  <si>
    <t>CWIP Balance (2)</t>
  </si>
  <si>
    <t>Work Order Description</t>
  </si>
  <si>
    <t>Source:  Unless noted otherwise, all data from the Capital Asset Accounting Work Order tracking system.</t>
  </si>
  <si>
    <t>No CWIP cost data will be included except as directed by the Commission following a filing pursuant to section 205 of the FPA.</t>
  </si>
  <si>
    <t>FERC</t>
  </si>
  <si>
    <t>Monthly</t>
  </si>
  <si>
    <t>Quarterly</t>
  </si>
  <si>
    <t>Interest</t>
  </si>
  <si>
    <t>Months</t>
  </si>
  <si>
    <t>Interest Rates</t>
  </si>
  <si>
    <t>Rate</t>
  </si>
  <si>
    <t>February</t>
  </si>
  <si>
    <t>March</t>
  </si>
  <si>
    <t>April</t>
  </si>
  <si>
    <t>May</t>
  </si>
  <si>
    <t>June</t>
  </si>
  <si>
    <t>July</t>
  </si>
  <si>
    <t>August</t>
  </si>
  <si>
    <t>September</t>
  </si>
  <si>
    <t>October</t>
  </si>
  <si>
    <t>November</t>
  </si>
  <si>
    <t>December</t>
  </si>
  <si>
    <t>Average Monthly Interest Rate</t>
  </si>
  <si>
    <t>See link to website below.</t>
  </si>
  <si>
    <t>Description</t>
  </si>
  <si>
    <t>Amount</t>
  </si>
  <si>
    <t xml:space="preserve">  Common General</t>
  </si>
  <si>
    <t xml:space="preserve">  Common Intangible</t>
  </si>
  <si>
    <t>CE</t>
  </si>
  <si>
    <t>CE=</t>
  </si>
  <si>
    <r>
      <t xml:space="preserve">Note 2.  Ancillary Service Schedules 2, 3, 5, 6 will be based on actual data from the </t>
    </r>
    <r>
      <rPr>
        <sz val="10"/>
        <rFont val="Arial"/>
        <family val="2"/>
      </rPr>
      <t>latest FERC Form No. 1.</t>
    </r>
    <r>
      <rPr>
        <sz val="10"/>
        <rFont val="Arial"/>
        <family val="2"/>
      </rPr>
      <t xml:space="preserve">  These schedules will be updated annually with the Annual Update but will not be subject to the True-up provision.  Ancillary Service Schedule 1 will be updated annually, will be based on forecast data and will be subject to the True-up provision.  </t>
    </r>
  </si>
  <si>
    <t>Note:  Only transmission related amounts associated with the Calpine Acquisition are included.  Future Acquisition Adjustment amounts will not be included in the formula except as directed by the Commission pursuant to a Section 205 filing.  The Acquisition Adjustment related to the Production function will be amortized over 40 years, Transmission Serving Production 55 years, and Transmission Serving Transmission 55 years.</t>
  </si>
  <si>
    <r>
      <t xml:space="preserve">4.  </t>
    </r>
    <r>
      <rPr>
        <sz val="10"/>
        <rFont val="Arial"/>
        <family val="2"/>
      </rPr>
      <t>All industry assocation dues recorded in FERC Account 930.2 will be excluded.</t>
    </r>
  </si>
  <si>
    <r>
      <t>Source:  Employee Benefit Accounting PBOP analysis and actuaria</t>
    </r>
    <r>
      <rPr>
        <sz val="10"/>
        <rFont val="Arial"/>
        <family val="2"/>
      </rPr>
      <t>l study filed annually with the Commission.</t>
    </r>
  </si>
  <si>
    <t>(1) FERC Form No. 1 Pages 402-403, Line 17</t>
  </si>
  <si>
    <t>(2) FERC Form No. 1 Pages 402-403, Line 5</t>
  </si>
  <si>
    <t>Common Plant to Electric (Common Plant Study)</t>
  </si>
  <si>
    <t>kW (1)</t>
  </si>
  <si>
    <t>Regulatory Asset Amortization</t>
  </si>
  <si>
    <t>Prior Year's True-up Formula Template</t>
  </si>
  <si>
    <t>110, Ln. 4, Col. (c)</t>
  </si>
  <si>
    <t>Date</t>
  </si>
  <si>
    <t>Beginning Balance</t>
  </si>
  <si>
    <t>Ending Balance</t>
  </si>
  <si>
    <t>Regulatory Liabilities- FERC Account 254</t>
  </si>
  <si>
    <t xml:space="preserve">       where WCLTD=(line 153) and R= (line 156)</t>
  </si>
  <si>
    <t xml:space="preserve">      1 / (1 - T)  = (from ln 110)</t>
  </si>
  <si>
    <t>Total Accumulated Depreciation &amp; Amortization with Adjustments</t>
  </si>
  <si>
    <t>421.1 Gain on disposition of property</t>
  </si>
  <si>
    <t xml:space="preserve">Common to Electric Transmission Allocator </t>
  </si>
  <si>
    <t>Rate Base Data Inputs- Estimated</t>
  </si>
  <si>
    <t>Gross Plant</t>
  </si>
  <si>
    <t>Intangible Plant</t>
  </si>
  <si>
    <t>FERC 302</t>
  </si>
  <si>
    <t>Steam Production</t>
  </si>
  <si>
    <t>Hydraulic Production</t>
  </si>
  <si>
    <t>Other Production</t>
  </si>
  <si>
    <t>Transmission Plant</t>
  </si>
  <si>
    <t>Distribution Plant</t>
  </si>
  <si>
    <t>(Pg.112 Ln 3c)</t>
  </si>
  <si>
    <t>General Plant</t>
  </si>
  <si>
    <t>Common Intangible</t>
  </si>
  <si>
    <t>Common General</t>
  </si>
  <si>
    <t>January</t>
  </si>
  <si>
    <t>13 Month Avg</t>
  </si>
  <si>
    <t>Less ARO (13 Month Avg) (1)</t>
  </si>
  <si>
    <t>Adj Balance</t>
  </si>
  <si>
    <t>Accumulated Depreciation and Amortization</t>
  </si>
  <si>
    <t>GSU's (Schedule 2, Line 7)</t>
  </si>
  <si>
    <t xml:space="preserve">Gross  Plant </t>
  </si>
  <si>
    <t>Smart Grid City</t>
  </si>
  <si>
    <t>CRS</t>
  </si>
  <si>
    <t>OMS</t>
  </si>
  <si>
    <t>Accumulated Depreciation</t>
  </si>
  <si>
    <t>Depreciation Expense</t>
  </si>
  <si>
    <t>Dec 12 Month</t>
  </si>
  <si>
    <t>ADIT</t>
  </si>
  <si>
    <t>Generator Step ups</t>
  </si>
  <si>
    <t>Accum Depreciation &amp; Amort</t>
  </si>
  <si>
    <t>Transmission GSU</t>
  </si>
  <si>
    <t>Distribution GSU</t>
  </si>
  <si>
    <t>General GSU</t>
  </si>
  <si>
    <t>Note 1. ARO is not included in the budgeted amounts</t>
  </si>
  <si>
    <t>Balance at</t>
  </si>
  <si>
    <t>Adjusted</t>
  </si>
  <si>
    <t>Adjustments</t>
  </si>
  <si>
    <t>Functional Class</t>
  </si>
  <si>
    <t>Plant in Service:</t>
  </si>
  <si>
    <t>Total Plant In Service with Adjustments</t>
  </si>
  <si>
    <t>Electric Intangible</t>
  </si>
  <si>
    <t>Adjusted Balance</t>
  </si>
  <si>
    <t>Per Books</t>
  </si>
  <si>
    <t>Plant Related:</t>
  </si>
  <si>
    <t>Insurance</t>
  </si>
  <si>
    <t>Labor Related:</t>
  </si>
  <si>
    <t>Transmission Related:</t>
  </si>
  <si>
    <t>Accumulated Deferred Income Taxes (Credits)</t>
  </si>
  <si>
    <t>Estimated</t>
  </si>
  <si>
    <t>Account Number</t>
  </si>
  <si>
    <t>Average Balance</t>
  </si>
  <si>
    <t>Adjustments (1)</t>
  </si>
  <si>
    <t>Pollution Control Facilities - Production</t>
  </si>
  <si>
    <t>Plant Related- Direct Assigned to Production</t>
  </si>
  <si>
    <t>Electric Distribution</t>
  </si>
  <si>
    <t>Electric Transmission</t>
  </si>
  <si>
    <t>Transmission Service Studies (1)</t>
  </si>
  <si>
    <t>Overhead Lines (2)</t>
  </si>
  <si>
    <t xml:space="preserve">Service </t>
  </si>
  <si>
    <t>Type</t>
  </si>
  <si>
    <t xml:space="preserve">Note 3. The Holy Cross system integration surplus/deficit payments are difficult to project, therefore, PSCo makes no effort to budget these costs or include them in the ATRR Est.  However, these payments will be included on actuals and in the ATRR Act. calculation.  </t>
  </si>
  <si>
    <t>Hydro Production</t>
  </si>
  <si>
    <t>Pre-Funded (Retail)</t>
  </si>
  <si>
    <t>FAS 109</t>
  </si>
  <si>
    <t>Sub-total FAS 109</t>
  </si>
  <si>
    <t>Electric Production</t>
  </si>
  <si>
    <t>Regulatory Asset- Calpine Acquisition Costs</t>
  </si>
  <si>
    <t>Electric General</t>
  </si>
  <si>
    <t>Labor Related</t>
  </si>
  <si>
    <t>Non-Qualified Pension Plan</t>
  </si>
  <si>
    <t>Sub-total labor Related</t>
  </si>
  <si>
    <t>Related to All Plant</t>
  </si>
  <si>
    <t>Max</t>
  </si>
  <si>
    <t>Time Zone</t>
  </si>
  <si>
    <t>0100</t>
  </si>
  <si>
    <t>0200</t>
  </si>
  <si>
    <t>0300</t>
  </si>
  <si>
    <t>0400</t>
  </si>
  <si>
    <t>0500</t>
  </si>
  <si>
    <t>0600</t>
  </si>
  <si>
    <t>0700</t>
  </si>
  <si>
    <t>0800</t>
  </si>
  <si>
    <t>0900</t>
  </si>
  <si>
    <t>1000</t>
  </si>
  <si>
    <t>1100</t>
  </si>
  <si>
    <t>1200</t>
  </si>
  <si>
    <t>1300</t>
  </si>
  <si>
    <t>1400</t>
  </si>
  <si>
    <t>1500</t>
  </si>
  <si>
    <t>1600</t>
  </si>
  <si>
    <t>1700</t>
  </si>
  <si>
    <r>
      <t>The calculation of the</t>
    </r>
    <r>
      <rPr>
        <b/>
        <sz val="8.5"/>
        <rFont val="Arial"/>
        <family val="2"/>
      </rPr>
      <t xml:space="preserve"> TP</t>
    </r>
    <r>
      <rPr>
        <sz val="10"/>
        <rFont val="Arial"/>
        <family val="2"/>
      </rPr>
      <t xml:space="preserve"> Allocator is found on Line 137.</t>
    </r>
  </si>
  <si>
    <t>Acct 223 Advances from Assoc. Companies</t>
  </si>
  <si>
    <t>Less  Acct 222 Reacquired Debt</t>
  </si>
  <si>
    <t>112.20.c,d</t>
  </si>
  <si>
    <t>112.19 c,d enter negative</t>
  </si>
  <si>
    <t>Acct 427 Interest on Long Term Debt</t>
  </si>
  <si>
    <t>Acct 428 Amortization of Debt Discount and Expense</t>
  </si>
  <si>
    <t>Acct 428.1 Amortization of Loss on Reacquired Debt</t>
  </si>
  <si>
    <t>Acct 430 Interest on Debt to Assoc. Companies (LTD portion only) (2)</t>
  </si>
  <si>
    <t>Less:  Acct 429 Amort of Premium on Debt</t>
  </si>
  <si>
    <t>Less:  Acct 429.1 Amort of Gain on Reacquired Debt</t>
  </si>
  <si>
    <t>117.65.c enter negative</t>
  </si>
  <si>
    <t>117.66.c enter negative</t>
  </si>
  <si>
    <t>Prepayments (FERC Account 165) (1)</t>
  </si>
  <si>
    <t xml:space="preserve">Prepaid Taxes - Federal       </t>
  </si>
  <si>
    <t xml:space="preserve">Prepaid Taxes State - CO      </t>
  </si>
  <si>
    <t>Additional Prepayments included in the FERC Form No. 1</t>
  </si>
  <si>
    <t>1800</t>
  </si>
  <si>
    <t>1900</t>
  </si>
  <si>
    <t>2000</t>
  </si>
  <si>
    <t>2100</t>
  </si>
  <si>
    <t>2200</t>
  </si>
  <si>
    <t>2300</t>
  </si>
  <si>
    <t>2400</t>
  </si>
  <si>
    <t>Hourly Demand Data from Form 714 page 9a</t>
  </si>
  <si>
    <t>12 CP (Average of Column 27)</t>
  </si>
  <si>
    <t>Reg Demand (Average of Columns 28-51 &amp; Lines 1- 365)</t>
  </si>
  <si>
    <t>Table 33</t>
  </si>
  <si>
    <t>State Tax Deduction Cash vs Accrual</t>
  </si>
  <si>
    <t>Book Unamortized Cost of Reacquired Debt</t>
  </si>
  <si>
    <t>Total Related to All Plant</t>
  </si>
  <si>
    <t>Retail Related</t>
  </si>
  <si>
    <t>Regulatory Asset - ICT</t>
  </si>
  <si>
    <t>Demand Side Management</t>
  </si>
  <si>
    <t>Sub-total Retail Related</t>
  </si>
  <si>
    <t>Regulatory Asset - MPB Tree Clearing</t>
  </si>
  <si>
    <t>Mark to Market Adjust - LT</t>
  </si>
  <si>
    <t>Sub-total Other Related</t>
  </si>
  <si>
    <t>Actual</t>
  </si>
  <si>
    <t>Accumulated Deferred Income Taxes (Debits)</t>
  </si>
  <si>
    <t>Account No.</t>
  </si>
  <si>
    <t>Production Related - Demand</t>
  </si>
  <si>
    <t>Total Production - Demand Related</t>
  </si>
  <si>
    <t>Production Related - Energy</t>
  </si>
  <si>
    <t>Fuel Tax Credit - Inc Addback</t>
  </si>
  <si>
    <t>Trapper Mine Reclamation</t>
  </si>
  <si>
    <t>Windpower Credit - FED DIT Only</t>
  </si>
  <si>
    <t>Total Production - Energy Related</t>
  </si>
  <si>
    <t>(Note C)</t>
  </si>
  <si>
    <t>Gross Plant, Accumulated Depreciation Reserves will be the average of thirteen monthly balances.</t>
  </si>
  <si>
    <t>Post-Employment Benefits Other than Pensions (FAS 106) shall remain as a stated, fixed amount and shall not be changed except as directed by the Commission</t>
  </si>
  <si>
    <t xml:space="preserve">  following a filing seeking such change pursuant to section 205 or 206 of the FPA.  The adjustment is shown on WP_C-3 PBOP.</t>
  </si>
  <si>
    <t>Direct Assigned to Transmission</t>
  </si>
  <si>
    <t xml:space="preserve">  General Advertising Expenses (FERC Account 930.1) will be excluded.</t>
  </si>
  <si>
    <t xml:space="preserve">     Plus:  Pre-Funded AFUDC Amortization (Note E)</t>
  </si>
  <si>
    <t xml:space="preserve">     Plus: Recovery of Abandoned Incentive Plant (Note E)</t>
  </si>
  <si>
    <t xml:space="preserve">     Plus: Recovery of Extraordinary Property Loss (Note E)</t>
  </si>
  <si>
    <t xml:space="preserve">  Taxes related to income are excluded.  Franchise taxes are not included in transmission revenue requirement in the Rate Formula Template, </t>
  </si>
  <si>
    <t xml:space="preserve">  rate base, must reduce its income tax expense by the amount of the Amortized Investment Tax Credit (Form 1, 266.8.f) less adjustments</t>
  </si>
  <si>
    <t xml:space="preserve">  multiplied by (1/1-T) (page 3, line 30).</t>
  </si>
  <si>
    <t>(Note M)</t>
  </si>
  <si>
    <t>Divisor kW</t>
  </si>
  <si>
    <t>Fixed Value</t>
  </si>
  <si>
    <t>Schedule 3 Load Factor</t>
  </si>
  <si>
    <t>Total (1) (a)+(b)+(c)</t>
  </si>
  <si>
    <t>ATRR Act &amp; Est. Line 130</t>
  </si>
  <si>
    <t>Estimated Rates</t>
  </si>
  <si>
    <t>Difference (True-up) (Note 1)</t>
  </si>
  <si>
    <t>Ancillary Service Rates (Note 2)</t>
  </si>
  <si>
    <t>Note 2.  Ancillary Service Schedule 1 is the only Ancillary Services rate that is subject to true up.</t>
  </si>
  <si>
    <t>Total (2) (e)+(f)+(g)</t>
  </si>
  <si>
    <t>Production (a)-(e)</t>
  </si>
  <si>
    <t>Transmission Serving Production (b)-(f)</t>
  </si>
  <si>
    <t>Transmission Serving Transmission (c)-(g)</t>
  </si>
  <si>
    <t>Total (i)+(j)+(k)</t>
  </si>
  <si>
    <t>Col. (o)</t>
  </si>
  <si>
    <t>Total (3) (m)+(n)+(o)</t>
  </si>
  <si>
    <t>Col. (p)</t>
  </si>
  <si>
    <t>(d) * Ln 22</t>
  </si>
  <si>
    <t>(b) + (e)</t>
  </si>
  <si>
    <t>302/303</t>
  </si>
  <si>
    <t>Licenses</t>
  </si>
  <si>
    <t>Steam Production Land Rights</t>
  </si>
  <si>
    <t>Steam Production Water Rights</t>
  </si>
  <si>
    <t>Cherokee 4</t>
  </si>
  <si>
    <t>Cherokee C</t>
  </si>
  <si>
    <t>Comanche 1</t>
  </si>
  <si>
    <t>Comanche 2</t>
  </si>
  <si>
    <t>Comanche C</t>
  </si>
  <si>
    <t>Craig 1</t>
  </si>
  <si>
    <t>Craig 2</t>
  </si>
  <si>
    <t>Craig C</t>
  </si>
  <si>
    <t>Hayden 1</t>
  </si>
  <si>
    <t>Hayden 2</t>
  </si>
  <si>
    <t>Hayden C</t>
  </si>
  <si>
    <t>Pawnee 1</t>
  </si>
  <si>
    <t>Pawnee C</t>
  </si>
  <si>
    <t>Valmont C</t>
  </si>
  <si>
    <t>Boiler Plant Equipment</t>
  </si>
  <si>
    <t>Cherokee 4 AQIR</t>
  </si>
  <si>
    <t>Cherokee C AQIR</t>
  </si>
  <si>
    <t>Valmont 5 AQIR</t>
  </si>
  <si>
    <t>Coal Cars</t>
  </si>
  <si>
    <t>Turbogenerator Units</t>
  </si>
  <si>
    <t>Accessory Electric Equipment</t>
  </si>
  <si>
    <t>Boiler Controls</t>
  </si>
  <si>
    <t>Miscellaneous Power Plant Equipment</t>
  </si>
  <si>
    <t>Asset Retirement Costs for Steam Production Plant</t>
  </si>
  <si>
    <t>Hydro Production Land Rights</t>
  </si>
  <si>
    <t>Ames</t>
  </si>
  <si>
    <t>Georgetown</t>
  </si>
  <si>
    <t>Salida</t>
  </si>
  <si>
    <t>Shoshone</t>
  </si>
  <si>
    <t>Tacoma</t>
  </si>
  <si>
    <t>Reservoirs, Dams and Waterways</t>
  </si>
  <si>
    <t>Water Wheels, Turbines and Generators</t>
  </si>
  <si>
    <t>Recreation Facility</t>
  </si>
  <si>
    <t>Road, RR, Bridge</t>
  </si>
  <si>
    <t>Other Production Land Rights</t>
  </si>
  <si>
    <t>Blue Spruce 1</t>
  </si>
  <si>
    <t>Blue Spruce 2</t>
  </si>
  <si>
    <t>Blue Spruce C</t>
  </si>
  <si>
    <t>Fruita CT</t>
  </si>
  <si>
    <t>FSV GT 1</t>
  </si>
  <si>
    <t>FSV GT 2</t>
  </si>
  <si>
    <t>FSV GT 3</t>
  </si>
  <si>
    <t>FSV GT 4</t>
  </si>
  <si>
    <t>FSV GT 5</t>
  </si>
  <si>
    <t>FSV GT 6</t>
  </si>
  <si>
    <t>FSV GT C</t>
  </si>
  <si>
    <t>Ft Lupton CT</t>
  </si>
  <si>
    <t>Misc PP&amp;E</t>
  </si>
  <si>
    <t>Rocky Mtn 1</t>
  </si>
  <si>
    <t>Rocky Mtn 2</t>
  </si>
  <si>
    <t>Rocky Mtn 3</t>
  </si>
  <si>
    <t>Rocky Mtn C</t>
  </si>
  <si>
    <t>Valmont CT</t>
  </si>
  <si>
    <t>Fuel Holders, Products and Accessories</t>
  </si>
  <si>
    <t>Prime Movers</t>
  </si>
  <si>
    <t>Generators</t>
  </si>
  <si>
    <t>Ft Lupton</t>
  </si>
  <si>
    <t>Asset Retirement Costs for Other Production Plant</t>
  </si>
  <si>
    <t>Land</t>
  </si>
  <si>
    <t>Structures &amp; Improvements-Production</t>
  </si>
  <si>
    <t>Station Equipment-Production</t>
  </si>
  <si>
    <t>Poles, Towers &amp; Fixtures</t>
  </si>
  <si>
    <t>Line Transformers</t>
  </si>
  <si>
    <t>Services</t>
  </si>
  <si>
    <t>Services-Overhead</t>
  </si>
  <si>
    <t>Services-Underground</t>
  </si>
  <si>
    <t>Meters</t>
  </si>
  <si>
    <t>AMR Equipment</t>
  </si>
  <si>
    <t>Installation on Customer Premises</t>
  </si>
  <si>
    <t>Street Lighting &amp; Signal Systems</t>
  </si>
  <si>
    <t>Includes income related to transmission facilities, such as pole attachments, rentals and special use for the Transmission facilities included herein.</t>
  </si>
  <si>
    <t>(Note N)</t>
  </si>
  <si>
    <t>RETURN</t>
  </si>
  <si>
    <t xml:space="preserve">Return on Equity will be set at 10.25%.  Thereafter, any change will require a filing with the Commission pursuant to Section 205 or 206 filing.  </t>
  </si>
  <si>
    <t xml:space="preserve">  If and when the Company issues preferred stock, footnote will indicate the authorizing regulatory agency, the docket/case number, and the date of the authorizing order.</t>
  </si>
  <si>
    <t xml:space="preserve">  Revenue from coincident peak loads included in the DIVISOR are also not included as revenue credits unless this revenue is offset by a corresponding expense</t>
  </si>
  <si>
    <t>Prepaid Water- Aurora</t>
  </si>
  <si>
    <t>Rent Expense- Brokerage Fees</t>
  </si>
  <si>
    <t>Regulatory Reserve- Enviromental</t>
  </si>
  <si>
    <t>Reg Asset- Leasehold Improvements</t>
  </si>
  <si>
    <t>Deferred Fuel</t>
  </si>
  <si>
    <t>Rate Case/ Restructuring Expense</t>
  </si>
  <si>
    <t>Regulatory Asset- Property Tax</t>
  </si>
  <si>
    <t>Reg Asset- Transmission Cost Adj</t>
  </si>
  <si>
    <t>NEW HIRE RETENTION</t>
  </si>
  <si>
    <t xml:space="preserve">ELECTRIC VEHICLE </t>
  </si>
  <si>
    <t>INVEST TAX CREDIT</t>
  </si>
  <si>
    <t>REG A/L - TRANSMISSION ATTACH O</t>
  </si>
  <si>
    <t>Common Equity (1)</t>
  </si>
  <si>
    <t>Prior Period Correction True up Adjustment</t>
  </si>
  <si>
    <t>Blue Spruce</t>
  </si>
  <si>
    <t>Franchises and Consents</t>
  </si>
  <si>
    <t>Footnote 1. Amount in column (a) includes the Lamar DC tie</t>
  </si>
  <si>
    <t>Less:  Scheduling, System Control &amp; Dispatch Services (Account 561.4)</t>
  </si>
  <si>
    <t>General Land Rights</t>
  </si>
  <si>
    <t>Structures and Improvements</t>
  </si>
  <si>
    <t>Office, Furniture and Equipment</t>
  </si>
  <si>
    <t>Computers</t>
  </si>
  <si>
    <t>Stores Equipment</t>
  </si>
  <si>
    <t>Tools Shop Equipment</t>
  </si>
  <si>
    <t>Laboratory Equipment</t>
  </si>
  <si>
    <t>Power Operated Equipment</t>
  </si>
  <si>
    <t>Communications Equipment</t>
  </si>
  <si>
    <t>Miscellaneous Equipment</t>
  </si>
  <si>
    <t>Franchises and Consents – Non-Unitized</t>
  </si>
  <si>
    <t>Note 3</t>
  </si>
  <si>
    <t>GP=</t>
  </si>
  <si>
    <t>Note P</t>
  </si>
  <si>
    <r>
      <t xml:space="preserve">The calculation of the </t>
    </r>
    <r>
      <rPr>
        <b/>
        <sz val="8.5"/>
        <rFont val="Arial"/>
        <family val="2"/>
      </rPr>
      <t>CE</t>
    </r>
    <r>
      <rPr>
        <sz val="10"/>
        <rFont val="Arial"/>
        <family val="2"/>
      </rPr>
      <t xml:space="preserve"> Allocator is found on Line 151.</t>
    </r>
  </si>
  <si>
    <t>P</t>
  </si>
  <si>
    <t>Note 3. Fixed value that cannot change without a Section 205 or 206 filing.</t>
  </si>
  <si>
    <t>Note 2. Amount will include a 3 year amortization of the total amount deferred related to Mountain Pine Beetle as shown on FERC Form No. 1 page 321, line 108 footnote page.  $5,926,097 will be amortized over 3 years beginning January 1, 2013.</t>
  </si>
  <si>
    <t>Footnote 1:  Rate Case Expenses will be amortized over 3 years beginning November 17, 2012.</t>
  </si>
  <si>
    <t>FF1, pg 351, Ln 46</t>
  </si>
  <si>
    <t>Table 30</t>
  </si>
  <si>
    <t>Note 2.  Interest on Debt to Associated Companies (FERC 430) will be populated with interest related to Long-Term Debt only.</t>
  </si>
  <si>
    <t>Interest on Prior Period Correction True Up Adjustment</t>
  </si>
  <si>
    <t>Explanation of Prior Period Correction:</t>
  </si>
  <si>
    <t>Rate Year Prior Period Correction Applicable to (input year)</t>
  </si>
  <si>
    <t>Eliminate Generator Step-up facilities</t>
  </si>
  <si>
    <t>Year Prior Period Correction Settled/Agreed (input)</t>
  </si>
  <si>
    <t>Revenue Requirement for Prior Period Correction True-up Year without Prior Period Correction (input)</t>
  </si>
  <si>
    <t>Revised Revenue Requirement for True-up Year with Prior Period Correction (input)</t>
  </si>
  <si>
    <t>Other Related: Non-Transmission</t>
  </si>
  <si>
    <t>Divisor for Prior Period Correction True-up Year without Prior Period Correction (input)</t>
  </si>
  <si>
    <t>Divisor for True-up Year with Prior Period Correction (input)</t>
  </si>
  <si>
    <t>Number</t>
  </si>
  <si>
    <t>of Days</t>
  </si>
  <si>
    <t>Month/Year</t>
  </si>
  <si>
    <t>in Month</t>
  </si>
  <si>
    <t>NOL Carryforward- Distribution</t>
  </si>
  <si>
    <t>NOL Carryforward- Transmission</t>
  </si>
  <si>
    <t>NOL Carryforward- Production</t>
  </si>
  <si>
    <t>NOL Carryforward- Common (Allocated to Electric)</t>
  </si>
  <si>
    <t>NOL Carryforward- Electric General</t>
  </si>
  <si>
    <t>Environmental Remediation</t>
  </si>
  <si>
    <t>Inventory Reserve</t>
  </si>
  <si>
    <t>Enterprise Zone Credit - State DIT Only</t>
  </si>
  <si>
    <t>Employee Incentive Plans</t>
  </si>
  <si>
    <t>Ancillary Service Delivery</t>
  </si>
  <si>
    <t>Deferred Compensation Plan Reserve - ST</t>
  </si>
  <si>
    <t>Severance Accrual</t>
  </si>
  <si>
    <t>Vacation Accrual</t>
  </si>
  <si>
    <t>Performance Share Plan</t>
  </si>
  <si>
    <t>Post Employment Benefits - FAS 106</t>
  </si>
  <si>
    <t>Post Employment Benefits - FAS 112</t>
  </si>
  <si>
    <t>Deferred Rent</t>
  </si>
  <si>
    <t>Total Labor Related</t>
  </si>
  <si>
    <t>Bad Debts</t>
  </si>
  <si>
    <t>Rate Refund</t>
  </si>
  <si>
    <t>REC Margin Sharing</t>
  </si>
  <si>
    <t>Percent of Production Plant for Dual Use</t>
  </si>
  <si>
    <t>Acquisition Adjustment Amortization (Note F)</t>
  </si>
  <si>
    <t>Dual use of Production Accounts 314 &amp; 344</t>
  </si>
  <si>
    <t>Revenue Requirement for Real Power losses related to reactive power equipment</t>
  </si>
  <si>
    <t>Real Power Losses</t>
  </si>
  <si>
    <t>(A-B-C)/D =</t>
  </si>
  <si>
    <t>D. Total Production Plant Investment</t>
  </si>
  <si>
    <t>Pg 205, -Ln 15g</t>
  </si>
  <si>
    <t>Less: Production ARO</t>
  </si>
  <si>
    <t>Electric Plant in Service (Less ARO)</t>
  </si>
  <si>
    <t>Less ARO</t>
  </si>
  <si>
    <t>Pg 207, Ln 100g</t>
  </si>
  <si>
    <t>Plus Total Acquisition Adjustment</t>
  </si>
  <si>
    <t>B. A&amp;G Wages Expense</t>
  </si>
  <si>
    <t>C. Total Wages Expense</t>
  </si>
  <si>
    <t>D. Total A&amp;G related O&amp;M</t>
  </si>
  <si>
    <t>(A/(C-B))*D/E</t>
  </si>
  <si>
    <t>F.  % of Prod Plant</t>
  </si>
  <si>
    <t>Pg 205 and 207, Lns5G + 96 G</t>
  </si>
  <si>
    <t>Total D</t>
  </si>
  <si>
    <t>Production Wages Expense</t>
  </si>
  <si>
    <t>Total Wage Expense Less A&amp;G Wage expenses</t>
  </si>
  <si>
    <t>Production W/S Allocator</t>
  </si>
  <si>
    <t>General &amp; Intangible plant allocated to Production</t>
  </si>
  <si>
    <t>General &amp; Intangible Plant FCR</t>
  </si>
  <si>
    <t>(7) General &amp; Intangible Plant</t>
  </si>
  <si>
    <t>General &amp; Intangible Plant Revenue Requirement</t>
  </si>
  <si>
    <t>Revenue Requirement FCR</t>
  </si>
  <si>
    <t>A.   Common Equity Calculation</t>
  </si>
  <si>
    <t>B.   Rate of Return Calculation</t>
  </si>
  <si>
    <t>C.   Cost of Debt</t>
  </si>
  <si>
    <t>D.   Cost of Preferred Stock</t>
  </si>
  <si>
    <t>Solar Rewards Program</t>
  </si>
  <si>
    <t>Line 36, Col (5) divided by Col (3)</t>
  </si>
  <si>
    <t>Unbilled Revenue</t>
  </si>
  <si>
    <t>Total Retail Related</t>
  </si>
  <si>
    <t>Total Other Related</t>
  </si>
  <si>
    <t>Plant Related- Direct Assigned to Transmission</t>
  </si>
  <si>
    <t>Plant Related- Allocated to Transmission</t>
  </si>
  <si>
    <t>Total Plant Related Allocated to Transmission</t>
  </si>
  <si>
    <t>Pension Expense (3)</t>
  </si>
  <si>
    <t>Total Acct. 281 (Form No. 1 pg. 272-273, Line 17, Col. b &amp; k)</t>
  </si>
  <si>
    <t>Total Acct. 282 (Form No. 1, pg. 274-275, ln 2 + Ln 6, col b &amp; k)</t>
  </si>
  <si>
    <t>Total Acct. 283 (Form No. 1, pg. 276-277, line 9, col b &amp; k)</t>
  </si>
  <si>
    <t>Total Account 190 (Form No. 1, page 234, line 8, cols b &amp; c)</t>
  </si>
  <si>
    <t>Form No.1</t>
  </si>
  <si>
    <t>Line 9, Col (5) divided by Col (3)</t>
  </si>
  <si>
    <t>O</t>
  </si>
  <si>
    <t>Allocator (Note O)</t>
  </si>
  <si>
    <t xml:space="preserve">6.  Should the FERC and Colorado depreciation rates be different, the Company will keep separate books for the two jurisdictions </t>
  </si>
  <si>
    <t>Accumulated Depreciation &amp; Amortization: (6)</t>
  </si>
  <si>
    <t>Depreciation and Amortization Expense: (6)</t>
  </si>
  <si>
    <t xml:space="preserve">4.  Should the FERC and Colorado depreciation rates be different, the Company will keep separate books for the two jurisdictions </t>
  </si>
  <si>
    <t>Account 281 - Accelerated amortization property (4)</t>
  </si>
  <si>
    <t>Account 283 - Other (4)</t>
  </si>
  <si>
    <t>Account 282 - Other Property (4)</t>
  </si>
  <si>
    <t xml:space="preserve">2.  Should the FERC and Colorado depreciation rates be different, the Company will keep separate books for the two jurisdictions </t>
  </si>
  <si>
    <t>Account 190- Accumulated Deferred Income Taxes (2)</t>
  </si>
  <si>
    <t>Industry Association Dues</t>
  </si>
  <si>
    <t>FF1, pg. 335, Line 1</t>
  </si>
  <si>
    <t>Licenses are amortized over the License term.</t>
  </si>
  <si>
    <r>
      <t>N/A</t>
    </r>
    <r>
      <rPr>
        <vertAlign val="superscript"/>
        <sz val="10"/>
        <rFont val="Arial"/>
        <family val="2"/>
      </rPr>
      <t>5</t>
    </r>
  </si>
  <si>
    <r>
      <t>N/A</t>
    </r>
    <r>
      <rPr>
        <vertAlign val="superscript"/>
        <sz val="10"/>
        <rFont val="Arial"/>
        <family val="2"/>
      </rPr>
      <t>6</t>
    </r>
  </si>
  <si>
    <r>
      <t>N/A</t>
    </r>
    <r>
      <rPr>
        <vertAlign val="superscript"/>
        <sz val="10"/>
        <rFont val="Arial"/>
        <family val="2"/>
      </rPr>
      <t>7</t>
    </r>
  </si>
  <si>
    <t xml:space="preserve">Pg 207,Ln 15, Ln 34 Ln 44, Ln 57, Ln 74, Ln 83, Ln 98  </t>
  </si>
  <si>
    <t>col. ( a )</t>
  </si>
  <si>
    <t>col. ( b )</t>
  </si>
  <si>
    <t>col. ( d )</t>
  </si>
  <si>
    <t>col. ( e )</t>
  </si>
  <si>
    <t>col. ( f )</t>
  </si>
  <si>
    <t>col. ( g )</t>
  </si>
  <si>
    <t>col. ( h )</t>
  </si>
  <si>
    <t>col. ( i )</t>
  </si>
  <si>
    <t>(a) / Ln 19</t>
  </si>
  <si>
    <t>col. ( c )</t>
  </si>
  <si>
    <t>3.  ADIT associated with Pension expense has been eliminated because the prepaid pension asset is not included in rate base.</t>
  </si>
  <si>
    <t>Actuals</t>
  </si>
  <si>
    <t>Company Records-FF1 pg. 266</t>
  </si>
  <si>
    <t>Litigation Reserve</t>
  </si>
  <si>
    <t>R &amp; E Credit - FED DIT Only</t>
  </si>
  <si>
    <t>Acquisition Adjustment</t>
  </si>
  <si>
    <t>FERC 114- Electric Plant Acquisition Adjustment</t>
  </si>
  <si>
    <t>FERC 115- Accumulated Provision for Amortization of Electric Plant Acquisition Adjustment</t>
  </si>
  <si>
    <t>Materials and Supplies - FERC Account 154</t>
  </si>
  <si>
    <t>Month</t>
  </si>
  <si>
    <t>Year</t>
  </si>
  <si>
    <t>Col (b)</t>
  </si>
  <si>
    <t xml:space="preserve">   Production Plant (Estimated)</t>
  </si>
  <si>
    <t xml:space="preserve">   Transmission Plant (Estimated)</t>
  </si>
  <si>
    <t xml:space="preserve">   Assigned to Construction (Estimated)</t>
  </si>
  <si>
    <t xml:space="preserve">   Assigned to Operation and Maintenance (Estimated)</t>
  </si>
  <si>
    <t xml:space="preserve">   Distribution Plant (Estimated)</t>
  </si>
  <si>
    <t xml:space="preserve">   Regional Transmission and Market Operation Plant (Estimated)</t>
  </si>
  <si>
    <t xml:space="preserve">   Assigned to - Other</t>
  </si>
  <si>
    <t>Total Account 154 (sum Lns 17 - 23)</t>
  </si>
  <si>
    <t>Materials &amp; Supplies Allocation Factor at Year End</t>
  </si>
  <si>
    <t>Transmission Materials &amp; Supplies</t>
  </si>
  <si>
    <t>Transmission Materials &amp; Supplies Allocation Factor</t>
  </si>
  <si>
    <t>Ln 20 / Ln 24</t>
  </si>
  <si>
    <t>Other Materials &amp; Supplies Allocation Factor</t>
  </si>
  <si>
    <t>Ln 23 / Ln 24</t>
  </si>
  <si>
    <t>Other Materials &amp; Supplies</t>
  </si>
  <si>
    <t>(Ln 14 * Ln 26)</t>
  </si>
  <si>
    <t>(Ln 14 * Ln 27)</t>
  </si>
  <si>
    <t>Note 1:  Materials and Supplies are the 13-month average of the most recent calendar year actuals.</t>
  </si>
  <si>
    <t>FF1, Page 227, ln 12, Col. (b)</t>
  </si>
  <si>
    <t>FF1, Page 227, ln 12, Col. (c)</t>
  </si>
  <si>
    <t>FF1, Page 227, ln 5, Col. (c)</t>
  </si>
  <si>
    <t>FF1, Page 227, ln 6, Col. (c)</t>
  </si>
  <si>
    <t>FF1, Page 227, ln 11, Col. (c)</t>
  </si>
  <si>
    <t>FF1, Page 227, ln 10, Col. (c)</t>
  </si>
  <si>
    <t>FF1, Page 227, ln 9, Col. (c)</t>
  </si>
  <si>
    <t>FF1, Page 227, ln 8, Col. (c)</t>
  </si>
  <si>
    <t>FF1, Page 227, ln 7, Col. (c)</t>
  </si>
  <si>
    <r>
      <t xml:space="preserve">The calculation of the </t>
    </r>
    <r>
      <rPr>
        <b/>
        <sz val="8.5"/>
        <rFont val="Arial"/>
        <family val="2"/>
      </rPr>
      <t>W/S</t>
    </r>
    <r>
      <rPr>
        <sz val="10"/>
        <rFont val="Arial"/>
        <family val="2"/>
      </rPr>
      <t xml:space="preserve"> Allocator is found on Line 147.</t>
    </r>
  </si>
  <si>
    <t>Net Acquisition Adjustment (Amount included in Rate Base)</t>
  </si>
  <si>
    <t>FERC 406 (Amount included in Depreciation and Amortization Expense)</t>
  </si>
  <si>
    <t>Line No</t>
  </si>
  <si>
    <t>Production</t>
  </si>
  <si>
    <t>Transmission Serving Production</t>
  </si>
  <si>
    <t>Transmission Serving Transmission</t>
  </si>
  <si>
    <t>Estimated Balance</t>
  </si>
  <si>
    <t>Source:</t>
  </si>
  <si>
    <t>Actual Balance</t>
  </si>
  <si>
    <t xml:space="preserve">RATE BASE  </t>
  </si>
  <si>
    <t>Company Records</t>
  </si>
  <si>
    <t>Total Plant Related</t>
  </si>
  <si>
    <t>Allocation Factor to Electric</t>
  </si>
  <si>
    <t>Total Plant Related Allocated to Electric</t>
  </si>
  <si>
    <t>Total Labor Related Allocated to Electric</t>
  </si>
  <si>
    <t>Auto Licensing</t>
  </si>
  <si>
    <t>Dark Fiber Lease</t>
  </si>
  <si>
    <t>Total Electric Plant in Service</t>
  </si>
  <si>
    <t>Common PIS Allocated to Electric</t>
  </si>
  <si>
    <t>Electric Plant Held for Future Use</t>
  </si>
  <si>
    <t>Electric Construction Work in Progress</t>
  </si>
  <si>
    <t>The Company agreed in Docket No. ER12-1589-000 to include a total company credit in the Transmission Formula Template equal to $726,905.  This amount is fixed and cannot be</t>
  </si>
  <si>
    <t>Common CWIP Allocated to Electric</t>
  </si>
  <si>
    <t xml:space="preserve">Total Electric Plant </t>
  </si>
  <si>
    <t>Total Utility Plant</t>
  </si>
  <si>
    <t>Electric Plant to Total Plant Allocation Factor</t>
  </si>
  <si>
    <t>PREPAYMENTS ALLOCATION FACTOR TO ELECTRIC</t>
  </si>
  <si>
    <t>ROR=</t>
  </si>
  <si>
    <t>Cash Working Capital will be set at and remain $0 until such time as PSCo files and receives FERC approval.</t>
  </si>
  <si>
    <t>Non Labor</t>
  </si>
  <si>
    <t>Labor</t>
  </si>
  <si>
    <t xml:space="preserve">     TRANSMISSION EXPENSES</t>
  </si>
  <si>
    <t>OPERATION</t>
  </si>
  <si>
    <t>Supervision and Engineering</t>
  </si>
  <si>
    <t>Load Dispatching - Reliability</t>
  </si>
  <si>
    <t>303.40</t>
  </si>
  <si>
    <t>Electric Intangible Software 3 Yr</t>
  </si>
  <si>
    <t>Electric Intangible Software 15 Yr</t>
  </si>
  <si>
    <t>Cherokee 2 Synchronous Condenser</t>
  </si>
  <si>
    <t>Cherokee 5-7</t>
  </si>
  <si>
    <r>
      <t xml:space="preserve">6.67 </t>
    </r>
    <r>
      <rPr>
        <vertAlign val="superscript"/>
        <sz val="10"/>
        <rFont val="Arial"/>
        <family val="2"/>
      </rPr>
      <t>12</t>
    </r>
  </si>
  <si>
    <t>Wind to Hydrogen</t>
  </si>
  <si>
    <r>
      <t xml:space="preserve">2.57 </t>
    </r>
    <r>
      <rPr>
        <vertAlign val="superscript"/>
        <sz val="10"/>
        <rFont val="Arial"/>
        <family val="2"/>
      </rPr>
      <t>11</t>
    </r>
  </si>
  <si>
    <r>
      <t xml:space="preserve">8.81 </t>
    </r>
    <r>
      <rPr>
        <vertAlign val="superscript"/>
        <sz val="10"/>
        <rFont val="Arial"/>
        <family val="2"/>
      </rPr>
      <t>10</t>
    </r>
  </si>
  <si>
    <t>Transportation Equipment - Autos</t>
  </si>
  <si>
    <t>Transportation Equipment - Light Trucks</t>
  </si>
  <si>
    <t>Transportation Equipment - Trailors</t>
  </si>
  <si>
    <t>Transportation Equipment - Heavy Trucks</t>
  </si>
  <si>
    <t>Communications Equipment - EMS</t>
  </si>
  <si>
    <t>303.00</t>
  </si>
  <si>
    <t>303.04</t>
  </si>
  <si>
    <t>303.14</t>
  </si>
  <si>
    <t>Electric Intangible Software - CRS</t>
  </si>
  <si>
    <t>390.00</t>
  </si>
  <si>
    <t xml:space="preserve">Structures and Improvements </t>
  </si>
  <si>
    <t>390.08</t>
  </si>
  <si>
    <t>Structures and Improvements - Partitions</t>
  </si>
  <si>
    <t>390.07</t>
  </si>
  <si>
    <t>Structures and Improvements-Leasehold Improvements</t>
  </si>
  <si>
    <r>
      <t>N/A</t>
    </r>
    <r>
      <rPr>
        <vertAlign val="superscript"/>
        <sz val="10"/>
        <rFont val="Arial"/>
        <family val="2"/>
      </rPr>
      <t>8</t>
    </r>
  </si>
  <si>
    <t>390.85</t>
  </si>
  <si>
    <t>Structures and Improvements-1800 Larimer Lshld Improve</t>
  </si>
  <si>
    <r>
      <t>N/A</t>
    </r>
    <r>
      <rPr>
        <vertAlign val="superscript"/>
        <sz val="10"/>
        <rFont val="Arial"/>
        <family val="2"/>
      </rPr>
      <t>9</t>
    </r>
  </si>
  <si>
    <t>391.00</t>
  </si>
  <si>
    <t>391.04</t>
  </si>
  <si>
    <t>Computers Hardware</t>
  </si>
  <si>
    <t>391.05</t>
  </si>
  <si>
    <t>Computers Hardware - 3 Year Life</t>
  </si>
  <si>
    <t>Asset Retirement Costs are not included in FERC-ONLY Depreciation Rates.</t>
  </si>
  <si>
    <t>Leasehold Improvements are amortized over the lease term.</t>
  </si>
  <si>
    <t>Leasehold Improvements amortized to the end of the lease term 6/2025.</t>
  </si>
  <si>
    <t>Twelve Months Ended December 31, 2016</t>
  </si>
  <si>
    <t>Schedule 3 and 3A- Regulation and Frequency Response Service</t>
  </si>
  <si>
    <t xml:space="preserve">Load </t>
  </si>
  <si>
    <t>Non-VER</t>
  </si>
  <si>
    <t>VER</t>
  </si>
  <si>
    <t>/MW-day</t>
  </si>
  <si>
    <t>Plant/Type</t>
  </si>
  <si>
    <t>Contribution Ratio (1)</t>
  </si>
  <si>
    <t>Installed
Cost 
($/kW)                           (2)</t>
  </si>
  <si>
    <t>Operation and
Maintenance  
($/kW)                     (3)</t>
  </si>
  <si>
    <t>Fixed charge 
($/kW) 
(d) x Prod FCR without O&amp;M (4)  or if PP (d) x 1.0</t>
  </si>
  <si>
    <t>Cost of providing reactive supply services 
($/kW)                           (5)</t>
  </si>
  <si>
    <t>Weighted Annual Cost 
($/kW)
((f)+(e)-(g)) x (c)</t>
  </si>
  <si>
    <t>col. (a)</t>
  </si>
  <si>
    <t>col. (b)</t>
  </si>
  <si>
    <t>col. (c)</t>
  </si>
  <si>
    <t>col. (d)</t>
  </si>
  <si>
    <t>col. (e)</t>
  </si>
  <si>
    <t>col. (f)</t>
  </si>
  <si>
    <t>col. (g)</t>
  </si>
  <si>
    <t>col. (h)</t>
  </si>
  <si>
    <t/>
  </si>
  <si>
    <t>Brush Cogeneration Partners (Brush 1&amp;3)  PP</t>
  </si>
  <si>
    <t>Brush Cogeneration Partners (Brush 4)  PP</t>
  </si>
  <si>
    <t>Colorado Energy Management LLC (Manch)  PP</t>
  </si>
  <si>
    <t>Plains End LLC  PP</t>
  </si>
  <si>
    <t>Spindle Hill  PP</t>
  </si>
  <si>
    <t>Total Reg/LF cost ($/kW)</t>
  </si>
  <si>
    <t>losses</t>
  </si>
  <si>
    <t>Annual Cost ($/MW)</t>
  </si>
  <si>
    <t>Load</t>
  </si>
  <si>
    <t>Required Capacity (1)</t>
  </si>
  <si>
    <t>Reserve obligation (Line 29/ Line 30)</t>
  </si>
  <si>
    <t>Rate ($/kW/Yr)</t>
  </si>
  <si>
    <t>Monthly ($/kW/Mo)</t>
  </si>
  <si>
    <t>Weekly ($/kW/Wk)</t>
  </si>
  <si>
    <t>Daily On Peak ($/MW/Day)</t>
  </si>
  <si>
    <t>Daily Off Peak ($/MW/Day)</t>
  </si>
  <si>
    <t>Hourly On Peak ($/MW/hr)</t>
  </si>
  <si>
    <t>Hourly Off Peak ($/MW/hr)</t>
  </si>
  <si>
    <t>Network Integrated Delivery($/kW/Mo)</t>
  </si>
  <si>
    <t>Ancillary Service Delivery($/kW/Mo)</t>
  </si>
  <si>
    <t>(1)  Fixed value that cannot change without a Section 205 or 206 filing.</t>
  </si>
  <si>
    <t>(2)  WP_Installed Cost, Column (g).</t>
  </si>
  <si>
    <t>(3)  WP_O&amp;M Cost, Column (l).</t>
  </si>
  <si>
    <t>(4)  WP_FCR Line 21 minus Line 1.</t>
  </si>
  <si>
    <t>(5) Column (c) times WP_Reactive Cost, Column (f).  For Purchased Power, used the same Reactive Power Cost as the Plants.</t>
  </si>
  <si>
    <t>Ancillary Services, Schedule Nos. 3 and 3A</t>
  </si>
  <si>
    <t>Table 35</t>
  </si>
  <si>
    <t>Table 36</t>
  </si>
  <si>
    <t>Table 37</t>
  </si>
  <si>
    <t>Table 38</t>
  </si>
  <si>
    <t>Flex Reserves</t>
  </si>
  <si>
    <t>Installed
Cost 
($/kW)                      (2)</t>
  </si>
  <si>
    <t>Operation and
Maintenance  
($/kW)                      (3)</t>
  </si>
  <si>
    <t>Reserve obligation (Line 29 / Line 30)</t>
  </si>
  <si>
    <t>Installed Cost</t>
  </si>
  <si>
    <t>Fuel Expense ($)
(1)</t>
  </si>
  <si>
    <t>Generation 
(kwh) 
(2)</t>
  </si>
  <si>
    <t>Fuel Expense
($/kwh)
(b) / (c)</t>
  </si>
  <si>
    <t>Name Plate 
(MW)
(3) (4)</t>
  </si>
  <si>
    <t>Cumulative Name Plate capacity
(MW)</t>
  </si>
  <si>
    <t>Production Investment 
($/KW)
(5)</t>
  </si>
  <si>
    <t>Plant factor
(c)/(e)/8760/1000</t>
  </si>
  <si>
    <t>(1)  FERC Form No. 1 Pages 402-406, Line 20</t>
  </si>
  <si>
    <t>(2)  FERC Form No. 1 Page 326, Column (g), and Page 402 - 406, Line 12</t>
  </si>
  <si>
    <t>(3)  FERC Form No. 1 Page 326, Column (g) and Page 402 - 406, Line 5.</t>
  </si>
  <si>
    <t>(4)  For purchased Power the Name Plate capacity is the amount of the purchase and the Production Investment is the demand charge divided by the Name Plate.</t>
  </si>
  <si>
    <t xml:space="preserve">      The cost per kw/year is the Production Investment times 1.0. </t>
  </si>
  <si>
    <t>(5)  FERC Form No. 1 Pages 402-406, Line 18.</t>
  </si>
  <si>
    <t>(6)  Craig is operated by Tri-State</t>
  </si>
  <si>
    <t>O&amp;M Costs</t>
  </si>
  <si>
    <t>Name Plate 
(MW)
(1) (2)</t>
  </si>
  <si>
    <t>Production Expenses: Oper, Supv, &amp; Engr 
($) 
(3)</t>
  </si>
  <si>
    <t>Coolants and Water (Nuclear Plants Only) 
($) 
(4)</t>
  </si>
  <si>
    <t>Steam Expenses 
($)
(5)</t>
  </si>
  <si>
    <t>Electric Expenses 
($)
(6)</t>
  </si>
  <si>
    <t>Misc Steam (or Nuclear) Power Expenses 
($)
(7)</t>
  </si>
  <si>
    <t>Rents 
($)
(8)</t>
  </si>
  <si>
    <t>Maintenance of Structures 
($)
(9)</t>
  </si>
  <si>
    <t>Maintenance of Misc Steam (or Nuclear) Plant 
($)
(10)</t>
  </si>
  <si>
    <t>Total Expenses 
($)
sum((c):(j))</t>
  </si>
  <si>
    <t>Total 
($/kW)
(k)/(b)/1000</t>
  </si>
  <si>
    <t>col. (i)</t>
  </si>
  <si>
    <t>col. (j)</t>
  </si>
  <si>
    <t>col. (k)</t>
  </si>
  <si>
    <t>col. (l)</t>
  </si>
  <si>
    <t>(1)  FERC Form No. 1 Page 326, Column (g) and Page 402 - 406, Line 5.</t>
  </si>
  <si>
    <t>(2)  For purchased Power the Name Plate capacity is the amount of the purchase and the Production Investment is the demand charge divided by the Name Plate.</t>
  </si>
  <si>
    <t>(3)  FERC Form No. 1 Pages 402-406, Line 19</t>
  </si>
  <si>
    <t>(4)  FERC Form No. 1 Pages 402-406, Line 21</t>
  </si>
  <si>
    <t>(5)  FERC Form No. 1 Pages 402-406, Line 22</t>
  </si>
  <si>
    <t>(6)  FERC Form No. 1 Pages 402-406, Line 25</t>
  </si>
  <si>
    <t>(7)  FERC Form No. 1 Pages 402-406, Line 26</t>
  </si>
  <si>
    <t>(8)  FERC Form No. 1 Pages 402-406, Line 27</t>
  </si>
  <si>
    <t>(9)  FERC Form No. 1 Pages 402-406, Line 30</t>
  </si>
  <si>
    <t>(10)  FERC Form No. 1 Pages 402-406, Line 33</t>
  </si>
  <si>
    <t>(11)  Craig is operated by Tri-State</t>
  </si>
  <si>
    <t>Cost of Providing Reactive Supply</t>
  </si>
  <si>
    <t>Name Plate 
(MW)
(1)</t>
  </si>
  <si>
    <t>Percent of Name Plate</t>
  </si>
  <si>
    <t xml:space="preserve">Reactive Power $/MW/Year        (d) / (b) </t>
  </si>
  <si>
    <t>Reactive Power $/KW/Year                        (e) / 1000</t>
  </si>
  <si>
    <t>Total (2)</t>
  </si>
  <si>
    <t>(2)  Reactive Power Revenue Requirement from Schedule 2, Line 20.</t>
  </si>
  <si>
    <t>Reactive Power Revenue Requirement    (c ) * Line 20</t>
  </si>
  <si>
    <t>Ancillary Services, Schedule No. 16</t>
  </si>
  <si>
    <t>Schedule 3 and 3A Line 35</t>
  </si>
  <si>
    <t>Schedule 3 and 3A Line 33</t>
  </si>
  <si>
    <t>Schedule 3 and 3A Line 34</t>
  </si>
  <si>
    <t>Schedule 3 and 3A Line 36</t>
  </si>
  <si>
    <t>Schedule 3 and 3A Line 37</t>
  </si>
  <si>
    <t>Schedule 3 and 3A Line 38</t>
  </si>
  <si>
    <t>Schedule 3 and 3A Line 39</t>
  </si>
  <si>
    <t>Schedule 3 and 3A Line 40</t>
  </si>
  <si>
    <t>Schedule 3 and 3A Line 31</t>
  </si>
  <si>
    <t>Schedule 16 Line 34</t>
  </si>
  <si>
    <t>Schedule 16 Line 33</t>
  </si>
  <si>
    <t>Schedule 16 Line 35</t>
  </si>
  <si>
    <t>Schedule 16 Line 36</t>
  </si>
  <si>
    <t>Schedule 16 Line 37</t>
  </si>
  <si>
    <t>Schedule 16 Line 38</t>
  </si>
  <si>
    <t>Schedule 16 Line 39</t>
  </si>
  <si>
    <t>Schedule 16 Line 40</t>
  </si>
  <si>
    <t>Schedule 16 - Flex Reserve</t>
  </si>
  <si>
    <t>Divisor (1)</t>
  </si>
  <si>
    <t>.</t>
  </si>
  <si>
    <t>Allocation 2012</t>
  </si>
  <si>
    <t>12 Months Ended December 31, 2016</t>
  </si>
  <si>
    <t>WP_B-2</t>
  </si>
  <si>
    <t>Average Balance (7)</t>
  </si>
  <si>
    <t>Average Balance (5)</t>
  </si>
  <si>
    <t>Table 39</t>
  </si>
  <si>
    <t>Days in the Month</t>
  </si>
  <si>
    <t>WP_B-Inputs Est.</t>
  </si>
  <si>
    <t>Proration Adjustment (5)</t>
  </si>
  <si>
    <t>Note 6. Average BOY/EOY balance is reduced by the ADIT prorate adjustment in compliance with IRS regulation Section 1.167(l)-1(h)(6).</t>
  </si>
  <si>
    <t>WP_B-Inputs Act.</t>
  </si>
  <si>
    <t>Labor Allocation Factors, ATRR Est. Line 147</t>
  </si>
  <si>
    <t>Net Plant Allocation Factor, ATRR Est. Line 36</t>
  </si>
  <si>
    <t>Labor Allocation Factors, ATRR Act. Line 147</t>
  </si>
  <si>
    <t>Net Plant Allocation Factor, ATRR Act. Line 36</t>
  </si>
  <si>
    <t>263.i</t>
  </si>
  <si>
    <t>FF1, Page 278.b</t>
  </si>
  <si>
    <t>FF1, Page 278.f</t>
  </si>
  <si>
    <t>Depreciation and Amortization Rates</t>
  </si>
  <si>
    <t>Utility Plant, Regulatory Assets, &amp; Regulatory Liabilities</t>
  </si>
  <si>
    <t>Depreciation/</t>
  </si>
  <si>
    <t>FERC Account</t>
  </si>
  <si>
    <t>(%)</t>
  </si>
  <si>
    <t>San Luis- Calumet-Comanche Transmission Line: The total O&amp;M incurred associated with the project prior to the decision not to proceed, was $2,625,528.  The Wholesale share of 50% of this amount will be recovered in the formula rates over a 3 year period beginning with the effective date of the Formula Rate.  The Wholesale share of the other 50% will be booked to Account No. 426.5 and absorbed by the Company.</t>
  </si>
  <si>
    <t>36 Months</t>
  </si>
  <si>
    <t>Mountain Pine Beetle:  Amounts deferred from 2010 through 2012 will be amortized over a 3 year period beginning January 1, 2013.  The total amount to be amortized is $5,926,097.</t>
  </si>
  <si>
    <t>Regulatory Liability Amortization</t>
  </si>
  <si>
    <t>Technical Services Building-  The gain on the sale of TSB will be amortized over a 24 month period beginning with the effective date of the Formula Rate.</t>
  </si>
  <si>
    <t>24 Months</t>
  </si>
  <si>
    <t>Electric Plant Acquisition Adjustment- Calpine Acquisition</t>
  </si>
  <si>
    <t>Rocky Mountain Energy Center-  Amortization of 55 years ending in 2065.</t>
  </si>
  <si>
    <t>Cherokee 3</t>
  </si>
  <si>
    <t>Zuni 2</t>
  </si>
  <si>
    <t>Zuni C</t>
  </si>
  <si>
    <t>Cherokee 3 AQIR</t>
  </si>
  <si>
    <r>
      <t xml:space="preserve">2.55 </t>
    </r>
    <r>
      <rPr>
        <vertAlign val="superscript"/>
        <sz val="10"/>
        <rFont val="Arial"/>
        <family val="2"/>
      </rPr>
      <t>11</t>
    </r>
  </si>
  <si>
    <t>Ponnequin Wind</t>
  </si>
  <si>
    <t>CO Wind Power</t>
  </si>
  <si>
    <r>
      <t xml:space="preserve">6.67 </t>
    </r>
    <r>
      <rPr>
        <vertAlign val="superscript"/>
        <sz val="10"/>
        <rFont val="Arial"/>
        <family val="2"/>
      </rPr>
      <t>13</t>
    </r>
  </si>
  <si>
    <t>All Accounts</t>
  </si>
  <si>
    <t xml:space="preserve">Cherokee 5-7 Combined Cycle </t>
  </si>
  <si>
    <t>No Electric General Land Rights as of  December 31, 2013. To the extent PSCo acquires land rights, PSCo will make a section 205 FPA filing for approval of the depreciation rates.</t>
  </si>
  <si>
    <t>No Common General Land Rights as of December 31, 2013.  To the extent PSCo acquires land rights, PSCo will make a section 205 FPA filing for approval of the depreciation rates.</t>
  </si>
  <si>
    <t>There are no Hydro Land Rights as of December 31, 2013.  To the extent PSCo acquires land rights, PSCo will make a section 205 FPA filing under the FPA for approval of the depreciation rates.</t>
  </si>
  <si>
    <t>Account 370.2 AMR Equipment is fully depreciated.  The approved rate is 8.81%</t>
  </si>
  <si>
    <t>The Cherokee 5-7 Combined Cycle is scheduled to go in service in December 2015.  While an approved rate has not been established, for Cherokee 5-7, a depreciation rate of 2.55% was used in the forecast.</t>
  </si>
  <si>
    <t>Ponnequin Wind assets transferred in 2009 from Non-Utility to Electric Utility.  Depreciation rates were utilized from Non-utility business for Other Production Wind assets.</t>
  </si>
  <si>
    <t>Wind to Hydrogen depreciation rates were utilized from Non-utility Wind prior to transfer to Electric Utility.</t>
  </si>
  <si>
    <t>Structures and Improvements-TSB</t>
  </si>
  <si>
    <t>Structures and Improvements- Non-Unitized</t>
  </si>
  <si>
    <t>1800 Larimer Leasehold Improvements</t>
  </si>
  <si>
    <t>Partitions</t>
  </si>
  <si>
    <t>Leased Partitions</t>
  </si>
  <si>
    <t>Computers 3 Year</t>
  </si>
  <si>
    <t>Computers 5 Year</t>
  </si>
  <si>
    <t>Transportation Equipment</t>
  </si>
  <si>
    <t>No Electric General Land Rights at December 31, 2010. To the extent PSCo acquires land rights, PSCo will make a section 205 FPA filing for approval of the depreciation rates.</t>
  </si>
  <si>
    <t>No Common General Land Rights at December 31, 2010.  To the extent PSCo acquires land rights, PSCo will make a section 205 FPA filing for approval of the depreciation rates.</t>
  </si>
  <si>
    <t>Asset Retirement Costs are not included in FERC-only Depreciation Rates.</t>
  </si>
  <si>
    <t>There are no Hydro Land Rights as of December 31, 2010.  To the extent PSCo acquires land rights, PSCo will make a section 205 FPA filing under the FPA for approval of the depreciation rates.</t>
  </si>
  <si>
    <t>Account 190</t>
  </si>
  <si>
    <t>Account 281</t>
  </si>
  <si>
    <t>Account 282</t>
  </si>
  <si>
    <t>Account 283</t>
  </si>
  <si>
    <t>(a)</t>
  </si>
  <si>
    <t>(b)</t>
  </si>
  <si>
    <t>(c)</t>
  </si>
  <si>
    <t>(d)</t>
  </si>
  <si>
    <t>(e)</t>
  </si>
  <si>
    <t>(f)</t>
  </si>
  <si>
    <t>(g)</t>
  </si>
  <si>
    <t>(h)</t>
  </si>
  <si>
    <t>(l)</t>
  </si>
  <si>
    <t>(m)</t>
  </si>
  <si>
    <t>(n)</t>
  </si>
  <si>
    <t>5. Reference WP_ADIT Prorate</t>
  </si>
  <si>
    <t>Proration Adjustment (3)</t>
  </si>
  <si>
    <t>3. Reference WP_ADIT Prorate</t>
  </si>
  <si>
    <t>Rate Year =</t>
  </si>
  <si>
    <t>Account 190- Accumulated Deferred Income Taxes</t>
  </si>
  <si>
    <t>Days in Period</t>
  </si>
  <si>
    <t>Averaging with Proration - Projected</t>
  </si>
  <si>
    <t>Averaging Preserving Projected Proration - True-up</t>
  </si>
  <si>
    <t>Number of Days Prorated</t>
  </si>
  <si>
    <t>Total Days in Future Portion of Test Period</t>
  </si>
  <si>
    <t>Proration Amount (C / D)</t>
  </si>
  <si>
    <t>Projected Monthly Activity</t>
  </si>
  <si>
    <t>Prorated Projected Monthly Activity (E x F)</t>
  </si>
  <si>
    <t>Prorated Projected Balance (Cumulative Sum of G)</t>
  </si>
  <si>
    <t>Actual Monthly Activity</t>
  </si>
  <si>
    <t>Difference between projected and actual activity</t>
  </si>
  <si>
    <t>Partially prorate actual activity above Monthly projection</t>
  </si>
  <si>
    <t>Partially prorate actual activity below Monthly projection but increases ADIT</t>
  </si>
  <si>
    <t>Partially prorate actual activity below Monthly projection and is a reduction to ADIT</t>
  </si>
  <si>
    <t>Partially prorated actual balance</t>
  </si>
  <si>
    <t>December 31st Balance - Prorated Items</t>
  </si>
  <si>
    <t>Proration Factor</t>
  </si>
  <si>
    <t>Beginning Balance of Prorated items</t>
  </si>
  <si>
    <t>Ending Balance of Prorated items</t>
  </si>
  <si>
    <t>Average Balance Prorated items</t>
  </si>
  <si>
    <t>Non-prorated Average Balance</t>
  </si>
  <si>
    <t>Proration Adjustment</t>
  </si>
  <si>
    <t>Account 281 - Accelerated amortization property</t>
  </si>
  <si>
    <t>Account 282 - Other Property</t>
  </si>
  <si>
    <t>Account 283 - Other</t>
  </si>
  <si>
    <t>WP_B-Inputs - Adjustments to ADIT</t>
  </si>
  <si>
    <t>Electric Intangible - FERC 302</t>
  </si>
  <si>
    <t>Electric Intangible - Smart Grid City</t>
  </si>
  <si>
    <t>Distribution Plant - Smart Grid City</t>
  </si>
  <si>
    <t>General Plant - Smart Grid City</t>
  </si>
  <si>
    <t>Common Intangible - FERC 302</t>
  </si>
  <si>
    <t>Common Intangible - CRS</t>
  </si>
  <si>
    <t>Common Intangible - OMS</t>
  </si>
  <si>
    <t>Common General - Smart Grid City</t>
  </si>
  <si>
    <t xml:space="preserve">Reflects the BOY/EOY average of the transmission related portion of balances in Accounts 281, 282, 283, 190 and 255 as adjusted by any amounts in contra accounts identified as regulatory assets or liabilities related to FASB 106, 109, 133, 158 or FASB Interpretation No. 48. Balance of Account 255 is reduced by prior flow throughs and completely excluded if the utility chose to utilize amortization of tax credits against taxable income as discussed in Note k. The calculation of ADIT for both the true-up and the annual projection will be performed in accordance with IRS regulation Section 1.167(l)-1(h)(6). The Annual True-Up for a given year will use the same methodology that was used to project that year’s rates. The annual true-up calculation will use the beginning-of-year and end-of-year balances as set forth in Table 8, Workpaper B-2, Estimated and Table 9, Workpaper B-3, Estimated; and the calculation of ADIT in the annual projection will be performed as set forth in Table 8, Workpaper B-2, Actual and Table 9, Workpaper B-3, Actual. </t>
  </si>
  <si>
    <t>Note 4. Source of Plant Adjustments: Company Records.</t>
  </si>
  <si>
    <t>Note 5.  ADIT proration factor is derived on WP_ADIT Prorate.</t>
  </si>
  <si>
    <t>Plant Adjustments (4)</t>
  </si>
  <si>
    <t>Accumulated Deferred Income Taxes Proration Adjustments</t>
  </si>
  <si>
    <t>http://www.ferc.gov/enforcement/acct-matts/interest-rates.asp</t>
  </si>
  <si>
    <t>Note 7</t>
  </si>
  <si>
    <t>Note 8</t>
  </si>
  <si>
    <t>Note 8. FERC Form No1, Page 356.1.  Common Intangible includesFranchises and Purchased Software. Common General includes FERC Account 108 plus Office Remodeling.</t>
  </si>
  <si>
    <t>Note 7. FERC Form No1, Page 356.  Common Intangible includes Accounts 301-303.  Common General includes Accounts 389-399.1.</t>
  </si>
  <si>
    <r>
      <t xml:space="preserve">BOY/EOY Avg </t>
    </r>
    <r>
      <rPr>
        <u/>
        <sz val="10"/>
        <rFont val="Arial"/>
        <family val="2"/>
      </rPr>
      <t>(6)</t>
    </r>
  </si>
  <si>
    <t>1. Post-Employment Benefits Other than Pensions (FAS 106) shall remain as a stated, fixed amount and shall not be changed except as directed by the Commission following a filing seeking such change pursuant to section 205 or 206 of the FPA.  The adjustment is shown on WP_C-3 PBOP.  PSCo will file annually to seek FERC approval of the updated PBOP expense. Retail Deferred Pension Expense, net of any amortization amounts recorded in FERC Account 926 will be excluded. Reference Form 1 Page 323, line 187, Footnote.</t>
  </si>
  <si>
    <t>Amortization of the Gain on the Sale of TSB (Allocated to Transmission) Ref. WP_B-7 Line 15</t>
  </si>
  <si>
    <t>Total (1)</t>
  </si>
  <si>
    <t>PSCo Direct Expense</t>
  </si>
  <si>
    <t>XES - Allocated to PSCo</t>
  </si>
  <si>
    <t>Schedule 3</t>
  </si>
  <si>
    <t>Pension Expense (4)</t>
  </si>
  <si>
    <t>Point to Point</t>
  </si>
  <si>
    <t>R &amp; E Credit - FED DIT Only (2)</t>
  </si>
  <si>
    <t>State Credit Valuation Allowance</t>
  </si>
  <si>
    <t>Deferred Compensation Plan Reserve</t>
  </si>
  <si>
    <t>New Hire Retention</t>
  </si>
  <si>
    <t>Performance Recognition Awards</t>
  </si>
  <si>
    <t>Electric Vehicle</t>
  </si>
  <si>
    <t>Investment Tax Credit</t>
  </si>
  <si>
    <t>Production (2)</t>
  </si>
  <si>
    <t>Electric General (3)</t>
  </si>
  <si>
    <t>Common Intangible (3)</t>
  </si>
  <si>
    <t>Electric Intangible (3)</t>
  </si>
  <si>
    <t>456- Other Electric Revenue</t>
  </si>
  <si>
    <t>Revenues from Schedule 18 Annual Interconnection Customer O&amp;M Charge</t>
  </si>
  <si>
    <t xml:space="preserve"> Total Other Electric Revenue - (Other Than Schedule 18)</t>
  </si>
  <si>
    <t xml:space="preserve">  Account No. 456.0 (Revenue from Schedule 18)</t>
  </si>
  <si>
    <t>Schedule 16</t>
  </si>
  <si>
    <t xml:space="preserve">Flex </t>
  </si>
  <si>
    <t>(i)</t>
  </si>
  <si>
    <t>(j)</t>
  </si>
  <si>
    <t>(k)</t>
  </si>
  <si>
    <t>Ancillary services includes regulation &amp; frequency, control &amp; dispatch, voltage control, reactive, spinning reserve, scheduling, and flex reserve.</t>
  </si>
  <si>
    <t>Schedule 16 Line 29</t>
  </si>
  <si>
    <t>2016 FERC Form 1</t>
  </si>
  <si>
    <t>Sub-total Transmission Related</t>
  </si>
  <si>
    <t>Investment - FED DIT Only</t>
  </si>
  <si>
    <t>FAS 109 (1)</t>
  </si>
  <si>
    <t>Deferred Debit - FIN 48</t>
  </si>
  <si>
    <t>Prepaid Insurance - Neil NML WCR-GO</t>
  </si>
  <si>
    <t>Prepaids - Regulatory Fees</t>
  </si>
  <si>
    <t>Prepaids - Gas Imbalances</t>
  </si>
  <si>
    <t>Prepaids - Other</t>
  </si>
  <si>
    <t>Prepaids - Other Transmission</t>
  </si>
  <si>
    <t>Prepaids - Other Brand Advertising RE</t>
  </si>
  <si>
    <t>Prepaids - Other IT</t>
  </si>
  <si>
    <t>Prepaids - Other Corporate Services IT</t>
  </si>
  <si>
    <t>Prepaid Interest - Commercial Paper</t>
  </si>
  <si>
    <t>Prepaids - Other Operations Services</t>
  </si>
  <si>
    <t>Prepaids - Other DSM</t>
  </si>
  <si>
    <t>Prepaids - Other Energy Supply</t>
  </si>
  <si>
    <t>Prepaid Lease - PPAs LT</t>
  </si>
  <si>
    <t>Comanche Extended Warranty</t>
  </si>
  <si>
    <t>City of Aurora Prepaid Water</t>
  </si>
  <si>
    <t>FF1, pg. 335, Line 12</t>
  </si>
  <si>
    <t>Estimated Amount Included in Account 926</t>
  </si>
  <si>
    <t>NSPM Allocated to PSCo</t>
  </si>
  <si>
    <t>NSPW Allocated to PSCo</t>
  </si>
  <si>
    <t>SPS Allocated to PSCo</t>
  </si>
  <si>
    <t>FF1.351.H.25</t>
  </si>
  <si>
    <t>FF1.351.H.27</t>
  </si>
  <si>
    <t>Docket No. ER13-75-003</t>
  </si>
  <si>
    <t>Docket No. ER14-1969</t>
  </si>
  <si>
    <t>Docket No. ER15-266 (Loss Study)</t>
  </si>
  <si>
    <t>FF1.351.H.28</t>
  </si>
  <si>
    <t>``</t>
  </si>
  <si>
    <t>Total 456- FERC Form No. 1 pg. 300 Ln 21</t>
  </si>
  <si>
    <t>Schedule 3 &amp; 3A</t>
  </si>
  <si>
    <t>Schedule 3 &amp; 3A-VER</t>
  </si>
  <si>
    <t>MST</t>
  </si>
  <si>
    <t>MDT</t>
  </si>
  <si>
    <t>Service Company Allocation of Industry Association Dues</t>
  </si>
  <si>
    <t>Note 1. FERC Form 1 does not report Account 456.1 in the subcategories presented.  The information is from Company Records.  The total in Column N ties to the balance of Acount 456.1 as reported in the FERC Form 1.</t>
  </si>
  <si>
    <t>$ per kW - Month (Line 23)</t>
  </si>
  <si>
    <t>(3) 1 = Yes; 2 = No</t>
  </si>
  <si>
    <t>Spinning Serv. (2)</t>
  </si>
  <si>
    <t>Note: 1. Return on Equity and the Depreciation rates cannot change without a Section 205 or 206 filing.</t>
  </si>
  <si>
    <t>Non VAR Related Percent (1- Schedule 2 Line 26)</t>
  </si>
  <si>
    <t>Recoverable Non VAR GSU (Line 19 * Line 20)</t>
  </si>
  <si>
    <t>Wind Nameplate (1)</t>
  </si>
  <si>
    <t>The work paper has a calc that does not equal this referemce??</t>
  </si>
  <si>
    <t>Twelve Months Ended December 31, 2018</t>
  </si>
  <si>
    <t>Estimated Base Year 2018</t>
  </si>
  <si>
    <t>Actual Base Year 2018</t>
  </si>
  <si>
    <t>Actual Amount Included in Account 926 - 2018</t>
  </si>
  <si>
    <t>A.  Schedule 1 - Estimated ARR for Billing Period 01/01/2018 to 12/31/2018</t>
  </si>
  <si>
    <t>C.  Schedule 1 - Actual ARR for the Billing Period 01/01/2018 to 12/31/2018</t>
  </si>
  <si>
    <t>Non-Qualified Pension Plans</t>
  </si>
  <si>
    <t>Prepaids - Facility Fees</t>
  </si>
  <si>
    <t>Was actually Ln 198</t>
  </si>
  <si>
    <t>3. Smart Grid City and Advanced Grid Intelligence Project (AGIS) (retail) are eliminated</t>
  </si>
  <si>
    <t>AGIS</t>
  </si>
  <si>
    <t>Electric Intangible - AGIS</t>
  </si>
  <si>
    <t>Distribution Plant - AGIS</t>
  </si>
  <si>
    <t>General Plant - AGIS</t>
  </si>
  <si>
    <t>Common General - AGIS</t>
  </si>
  <si>
    <t>569.1</t>
  </si>
  <si>
    <t>569.2</t>
  </si>
  <si>
    <t>569.3</t>
  </si>
  <si>
    <t>569.4</t>
  </si>
  <si>
    <t>Cherokee 3,4</t>
  </si>
  <si>
    <t>Cherokee 5,6,7</t>
  </si>
  <si>
    <t>Discovery Responses and Revisions</t>
  </si>
  <si>
    <t>Item No.</t>
  </si>
  <si>
    <t>Schedule/     Workpaper</t>
  </si>
  <si>
    <t>Item Description</t>
  </si>
  <si>
    <t>Discovery Responses and Revisions Explanations</t>
  </si>
  <si>
    <t>Discovery Question From</t>
  </si>
  <si>
    <t>Date Revisions Made - Version</t>
  </si>
  <si>
    <t>N/A</t>
  </si>
  <si>
    <t>10/10/17 - v2</t>
  </si>
  <si>
    <t>2016 Transmission Formula Rate</t>
  </si>
  <si>
    <t>WP_Cost per Unit</t>
  </si>
  <si>
    <t>Updated to tie to FF1 page 402-403</t>
  </si>
  <si>
    <t>The Total Cost (1) and Name Plate kW (2) columns have been corrected to tie to the FF1 page 402-403</t>
  </si>
  <si>
    <t>Schedule 3 and 3A</t>
  </si>
  <si>
    <t xml:space="preserve">Formula updates </t>
  </si>
  <si>
    <t>WP_Installed Cost</t>
  </si>
  <si>
    <t>Updated formulas to link to correct tabs</t>
  </si>
  <si>
    <t>WP_Reactive Cost</t>
  </si>
  <si>
    <t>Name Plate (MW) column has been updated to convert to MW</t>
  </si>
  <si>
    <t>(WP_B-3, Average of Line 26, Cols (a) and (b))</t>
  </si>
  <si>
    <t>(WP_B-3, Average of Line 36, Cols (a) and (b))</t>
  </si>
  <si>
    <t>(WP_B-3, Average of Line 47, Cols (a) and (b))</t>
  </si>
  <si>
    <t>(WP_B-2, Average of Line 4, Cols (a) and (b))</t>
  </si>
  <si>
    <t>(WP_B-2, Average of Line 35, Cols (a) and (b))</t>
  </si>
  <si>
    <t>(WP_B-2, Average of Line 66, Cols (a) and (b))</t>
  </si>
  <si>
    <t>(WP_B-2, Average of Line Public Service Company of Colorado, Cols (a) and (b))</t>
  </si>
  <si>
    <t>(WP_B-2, Average of Line , Cols (a) and (b))</t>
  </si>
  <si>
    <t>(WP_B-2, Average of Line 23, Cols (a) and (b))</t>
  </si>
  <si>
    <t>(WP_B-2, Average of Line 54, Cols (a) and (b))</t>
  </si>
  <si>
    <t>(WP_B-2, Average of Line 85, Cols (a) and (b))</t>
  </si>
  <si>
    <t>WP_FCR Line 21</t>
  </si>
  <si>
    <t>WP_FCR Line 50</t>
  </si>
  <si>
    <t>(4) WP_FCR Line 21</t>
  </si>
  <si>
    <t>(2) Schedule 2 Line 8</t>
  </si>
  <si>
    <t>Schedule 2 Line 7</t>
  </si>
  <si>
    <t>WP_B-4 Line 15 ,Col. (d)</t>
  </si>
  <si>
    <t>Est. Rates</t>
  </si>
  <si>
    <t>Actual Rates</t>
  </si>
  <si>
    <t>ATRR Est.</t>
  </si>
  <si>
    <t>ATRR Act</t>
  </si>
  <si>
    <t>WP_A-2</t>
  </si>
  <si>
    <t>WP_B-1</t>
  </si>
  <si>
    <t>WP_B-4</t>
  </si>
  <si>
    <t>WP_B-5</t>
  </si>
  <si>
    <t>WP_B-6</t>
  </si>
  <si>
    <t>WP_B-7</t>
  </si>
  <si>
    <t>WP_B-8</t>
  </si>
  <si>
    <t>WP_C-1</t>
  </si>
  <si>
    <t>WP_C-2</t>
  </si>
  <si>
    <t>WP_C-3</t>
  </si>
  <si>
    <t>WP_C-4</t>
  </si>
  <si>
    <t>WP_D-1</t>
  </si>
  <si>
    <t>WP_E-1</t>
  </si>
  <si>
    <t>WP_F-1</t>
  </si>
  <si>
    <t>WP_G-1</t>
  </si>
  <si>
    <t xml:space="preserve">WP_H-1 </t>
  </si>
  <si>
    <t>WP_I-1</t>
  </si>
  <si>
    <t>WP_FCR</t>
  </si>
  <si>
    <t>WP_Load Factor</t>
  </si>
  <si>
    <t>WP_O&amp;M Cost</t>
  </si>
  <si>
    <t>WP_ADIT Prorate</t>
  </si>
  <si>
    <t>Twelve Months Ended December 31, 2017</t>
  </si>
  <si>
    <t>OATT Non-Firm PTP</t>
  </si>
  <si>
    <t>NF</t>
  </si>
  <si>
    <t>OATT Firm PTP</t>
  </si>
  <si>
    <t>SFP</t>
  </si>
  <si>
    <t>PSCoM Firm PTP</t>
  </si>
  <si>
    <t>LFP</t>
  </si>
  <si>
    <t>WAPA Firm PTP</t>
  </si>
  <si>
    <t>MEAN - Network</t>
  </si>
  <si>
    <t>FNO</t>
  </si>
  <si>
    <t>OS</t>
  </si>
  <si>
    <t>Tri-State - Network</t>
  </si>
  <si>
    <t>IREA - Network</t>
  </si>
  <si>
    <t>PSCoM - Network</t>
  </si>
  <si>
    <t>WAPA - Network</t>
  </si>
  <si>
    <t>PACIFICORP GFA Firm Contract</t>
  </si>
  <si>
    <t>Tri-State, Midway - GFA Firm Contract</t>
  </si>
  <si>
    <t>PRPA - BASOT</t>
  </si>
  <si>
    <t>Tri-State (376) BASOT</t>
  </si>
  <si>
    <t>ARPA - BASOT</t>
  </si>
  <si>
    <t>Black Hills CE BASOT</t>
  </si>
</sst>
</file>

<file path=xl/styles.xml><?xml version="1.0" encoding="utf-8"?>
<styleSheet xmlns="http://schemas.openxmlformats.org/spreadsheetml/2006/main" xmlns:mc="http://schemas.openxmlformats.org/markup-compatibility/2006" xmlns:x14ac="http://schemas.microsoft.com/office/spreadsheetml/2009/9/ac" mc:Ignorable="x14ac">
  <numFmts count="7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
    <numFmt numFmtId="166" formatCode="0."/>
    <numFmt numFmtId="167" formatCode="_-* #,##0.0_-;\-* #,##0.0_-;_-* &quot;-&quot;??_-;_-@_-"/>
    <numFmt numFmtId="168" formatCode="#,##0.00&quot; $&quot;;\-#,##0.00&quot; $&quot;"/>
    <numFmt numFmtId="169" formatCode="0.00_)"/>
    <numFmt numFmtId="170" formatCode="&quot;$&quot;#,##0.00"/>
    <numFmt numFmtId="171" formatCode="_(* #,##0_);_(* \(#,##0\);_(* &quot;&quot;_);_(@_)"/>
    <numFmt numFmtId="172" formatCode="_(* #,##0,_);_(* \(#,##0,\);_(* &quot;-   &quot;_);_(@_)"/>
    <numFmt numFmtId="173" formatCode="_(* #,##0.0,_);_(* \(#,##0.0,\);_(* &quot;-   &quot;_);_(@_)"/>
    <numFmt numFmtId="174" formatCode="0.00000"/>
    <numFmt numFmtId="175" formatCode="#,##0.00000"/>
    <numFmt numFmtId="176" formatCode="0.000%"/>
    <numFmt numFmtId="177" formatCode="_(* #,##0.00000_);_(* \(#,##0.00000\);_(* &quot;-&quot;??_);_(@_)"/>
    <numFmt numFmtId="178" formatCode="_(* #,##0.0000_);_(* \(#,##0.0000\);_(* &quot;-&quot;??_);_(@_)"/>
    <numFmt numFmtId="179" formatCode="_(* #,##0.0000_);_(* \(#,##0.0000\);_(* &quot;-&quot;_);_(@_)"/>
    <numFmt numFmtId="180" formatCode="#,##0.0000"/>
    <numFmt numFmtId="181" formatCode="0.0000"/>
    <numFmt numFmtId="182" formatCode="&quot;$&quot;#,##0"/>
    <numFmt numFmtId="183" formatCode="_(* #,##0.0_);_(* \(#,##0.0\);_(* &quot;-&quot;??_);_(@_)"/>
    <numFmt numFmtId="184" formatCode="_(* #,##0_);_(* \(#,##0\);_(* &quot;-&quot;??_);_(@_)"/>
    <numFmt numFmtId="185" formatCode="_(&quot;$&quot;* #,##0_);_(&quot;$&quot;* \(#,##0\);_(&quot;$&quot;* &quot;-&quot;??_);_(@_)"/>
    <numFmt numFmtId="186" formatCode="&quot;$&quot;#,##0.000_);\(&quot;$&quot;#,##0.000\)"/>
    <numFmt numFmtId="187" formatCode="&quot;$&quot;#,##0.0000_);\(&quot;$&quot;#,##0.0000\)"/>
    <numFmt numFmtId="188" formatCode="#,##0.0000_);\(#,##0.0000\)"/>
    <numFmt numFmtId="189" formatCode="General_)"/>
    <numFmt numFmtId="190" formatCode="0.0"/>
    <numFmt numFmtId="191" formatCode="_(&quot;$&quot;* #,##0.0000_);_(&quot;$&quot;* \(#,##0.0000\);_(&quot;$&quot;* &quot;-&quot;??_);_(@_)"/>
    <numFmt numFmtId="192" formatCode="_(&quot;$&quot;* #,##0.000_);_(&quot;$&quot;* \(#,##0.000\);_(&quot;$&quot;* &quot;-&quot;??_);_(@_)"/>
    <numFmt numFmtId="193" formatCode="0.0%"/>
    <numFmt numFmtId="194" formatCode="&quot;$&quot;#,##0.000"/>
    <numFmt numFmtId="195" formatCode="0.0000%"/>
    <numFmt numFmtId="196" formatCode="0_);\(0\)"/>
    <numFmt numFmtId="197" formatCode="0.000"/>
    <numFmt numFmtId="198" formatCode="0.00000%"/>
    <numFmt numFmtId="199" formatCode="_(* #,##0.000000_);_(* \(#,##0.000000\);_(* &quot;-&quot;??_);_(@_)"/>
    <numFmt numFmtId="200" formatCode="[$-409]mmm\-yy;@"/>
    <numFmt numFmtId="201" formatCode="_(* #,##0.000_);_(* \(#,##0.000\);_(* &quot;-&quot;??_);_(@_)"/>
    <numFmt numFmtId="202" formatCode="mmmm\-yy"/>
    <numFmt numFmtId="203" formatCode="0.00000000"/>
    <numFmt numFmtId="204" formatCode="0.000000000"/>
    <numFmt numFmtId="205" formatCode="h:mm:ss;@"/>
    <numFmt numFmtId="206" formatCode="\(@\)"/>
    <numFmt numFmtId="207" formatCode="&quot;$&quot;* #,##0.0000&quot;/kwh &quot;"/>
    <numFmt numFmtId="208" formatCode="0.0000_)"/>
    <numFmt numFmtId="209" formatCode="&quot; &quot;&quot;$&quot;* #,##0.00&quot;/kw  &quot;"/>
    <numFmt numFmtId="210" formatCode="* #,##0&quot;  &quot;\ "/>
    <numFmt numFmtId="211" formatCode="yyyy"/>
    <numFmt numFmtId="212" formatCode="#,##0.0"/>
    <numFmt numFmtId="213" formatCode="&quot;$&quot;#,##0.0;[Red]\-&quot;$&quot;#,##0.0"/>
    <numFmt numFmtId="214" formatCode="_(* #,##0.0_);_(* \(#,##0.0\);_(* &quot;-&quot;_0_);_(@_)"/>
    <numFmt numFmtId="215" formatCode="#,##0\ ;[Red]\(#,##0\)"/>
    <numFmt numFmtId="216" formatCode="#,##0."/>
    <numFmt numFmtId="217" formatCode="_(&quot;$&quot;* #,##0.0000_);_(&quot;$&quot;* \(#,##0.0000\);_(&quot;$&quot;* &quot;-&quot;????_);_(@_)"/>
    <numFmt numFmtId="218" formatCode="\$#."/>
    <numFmt numFmtId="219" formatCode="m/d/yy\ h:mm"/>
    <numFmt numFmtId="220" formatCode="_(&quot;N$&quot;* #,##0_);_(&quot;N$&quot;* \(#,##0\);_(&quot;N$&quot;* &quot;-&quot;_);_(@_)"/>
    <numFmt numFmtId="221" formatCode="_(&quot;N$&quot;* #,##0.00_);_(&quot;N$&quot;* \(#,##0.00\);_(&quot;N$&quot;* &quot;-&quot;??_);_(@_)"/>
    <numFmt numFmtId="222" formatCode="#,##0.0000\ ;[Red]\(#,##0.0000\)"/>
    <numFmt numFmtId="223" formatCode="_(* 0%_);_(* \(0%\);_(* \-_%_)"/>
    <numFmt numFmtId="224" formatCode="%#."/>
    <numFmt numFmtId="225" formatCode="#,##0.0\ \ \ \ ;[Red]\(#,##0.0\)\ \ "/>
    <numFmt numFmtId="226" formatCode="0.0\ \ \ \ \ \ ;[Red]\(0.0\)\ \ \ \ "/>
    <numFmt numFmtId="227" formatCode="0.0\ \ \ \ \ \ \ \ ;[Red]\(0.0\)\ \ \ \ \ \ "/>
    <numFmt numFmtId="228" formatCode="mmm\ dd\,\ yyyy"/>
    <numFmt numFmtId="229" formatCode="mmm\-yyyy"/>
    <numFmt numFmtId="230" formatCode="#,##0.000000_);\(#,##0.000000\)"/>
  </numFmts>
  <fonts count="104">
    <font>
      <sz val="10"/>
      <name val="Arial"/>
    </font>
    <font>
      <sz val="10"/>
      <name val="Arial"/>
      <family val="2"/>
    </font>
    <font>
      <sz val="8"/>
      <name val="Arial"/>
      <family val="2"/>
    </font>
    <font>
      <b/>
      <sz val="16"/>
      <name val="Arial"/>
      <family val="2"/>
    </font>
    <font>
      <sz val="11"/>
      <color indexed="8"/>
      <name val="Calibri"/>
      <family val="2"/>
    </font>
    <font>
      <sz val="11"/>
      <color indexed="9"/>
      <name val="Calibri"/>
      <family val="2"/>
    </font>
    <font>
      <b/>
      <sz val="10"/>
      <name val="Arial"/>
      <family val="2"/>
    </font>
    <font>
      <sz val="11"/>
      <color indexed="20"/>
      <name val="Calibri"/>
      <family val="2"/>
    </font>
    <font>
      <b/>
      <sz val="11"/>
      <color indexed="52"/>
      <name val="Calibri"/>
      <family val="2"/>
    </font>
    <font>
      <b/>
      <sz val="11"/>
      <color indexed="9"/>
      <name val="Calibri"/>
      <family val="2"/>
    </font>
    <font>
      <u val="singleAccounting"/>
      <sz val="10"/>
      <name val="Times"/>
      <family val="1"/>
    </font>
    <font>
      <sz val="11"/>
      <name val="??"/>
      <family val="3"/>
      <charset val="129"/>
    </font>
    <font>
      <sz val="12"/>
      <name val="Times New Roman"/>
      <family val="1"/>
    </font>
    <font>
      <i/>
      <sz val="11"/>
      <color indexed="23"/>
      <name val="Calibri"/>
      <family val="2"/>
    </font>
    <font>
      <sz val="11"/>
      <color indexed="17"/>
      <name val="Calibri"/>
      <family val="2"/>
    </font>
    <font>
      <sz val="8"/>
      <name val="Arial"/>
      <family val="2"/>
    </font>
    <font>
      <b/>
      <u/>
      <sz val="11"/>
      <color indexed="37"/>
      <name val="Arial"/>
      <family val="2"/>
    </font>
    <font>
      <b/>
      <sz val="15"/>
      <color indexed="56"/>
      <name val="Calibri"/>
      <family val="2"/>
    </font>
    <font>
      <b/>
      <sz val="13"/>
      <color indexed="56"/>
      <name val="Calibri"/>
      <family val="2"/>
    </font>
    <font>
      <b/>
      <sz val="11"/>
      <color indexed="56"/>
      <name val="Calibri"/>
      <family val="2"/>
    </font>
    <font>
      <sz val="10"/>
      <color indexed="12"/>
      <name val="Arial"/>
      <family val="2"/>
    </font>
    <font>
      <u/>
      <sz val="10"/>
      <color indexed="12"/>
      <name val="MS Sans Serif"/>
      <family val="2"/>
    </font>
    <font>
      <sz val="11"/>
      <color indexed="62"/>
      <name val="Calibri"/>
      <family val="2"/>
    </font>
    <font>
      <sz val="11"/>
      <color indexed="52"/>
      <name val="Calibri"/>
      <family val="2"/>
    </font>
    <font>
      <sz val="11"/>
      <color indexed="60"/>
      <name val="Calibri"/>
      <family val="2"/>
    </font>
    <font>
      <sz val="7"/>
      <name val="Small Fonts"/>
      <family val="2"/>
    </font>
    <font>
      <b/>
      <i/>
      <sz val="16"/>
      <name val="Helv"/>
    </font>
    <font>
      <sz val="12"/>
      <name val="Arial MT"/>
    </font>
    <font>
      <sz val="12"/>
      <name val="Arial"/>
      <family val="2"/>
    </font>
    <font>
      <b/>
      <sz val="11"/>
      <color indexed="63"/>
      <name val="Calibri"/>
      <family val="2"/>
    </font>
    <font>
      <sz val="10"/>
      <color indexed="12"/>
      <name val="MS Sans Serif"/>
      <family val="2"/>
    </font>
    <font>
      <b/>
      <sz val="10"/>
      <color indexed="12"/>
      <name val="MS Sans Serif"/>
      <family val="2"/>
    </font>
    <font>
      <b/>
      <sz val="18"/>
      <color indexed="56"/>
      <name val="Cambria"/>
      <family val="2"/>
    </font>
    <font>
      <sz val="8"/>
      <color indexed="12"/>
      <name val="Arial"/>
      <family val="2"/>
    </font>
    <font>
      <sz val="11"/>
      <color indexed="10"/>
      <name val="Calibri"/>
      <family val="2"/>
    </font>
    <font>
      <sz val="10"/>
      <name val="Arial"/>
      <family val="2"/>
    </font>
    <font>
      <b/>
      <sz val="10"/>
      <name val="Arial"/>
      <family val="2"/>
    </font>
    <font>
      <sz val="10"/>
      <color indexed="10"/>
      <name val="Arial"/>
      <family val="2"/>
    </font>
    <font>
      <b/>
      <u/>
      <sz val="10"/>
      <name val="Arial"/>
      <family val="2"/>
    </font>
    <font>
      <sz val="10"/>
      <color indexed="10"/>
      <name val="Arial"/>
      <family val="2"/>
    </font>
    <font>
      <u/>
      <sz val="10"/>
      <name val="Arial"/>
      <family val="2"/>
    </font>
    <font>
      <sz val="10"/>
      <color indexed="8"/>
      <name val="Arial"/>
      <family val="2"/>
    </font>
    <font>
      <sz val="9"/>
      <color indexed="10"/>
      <name val="Geneva"/>
    </font>
    <font>
      <sz val="10"/>
      <name val="Tms Rmn"/>
    </font>
    <font>
      <b/>
      <sz val="8"/>
      <name val="Arial"/>
      <family val="2"/>
    </font>
    <font>
      <sz val="12"/>
      <color indexed="12"/>
      <name val="Helv"/>
    </font>
    <font>
      <sz val="10"/>
      <name val="MS Sans Serif"/>
      <family val="2"/>
    </font>
    <font>
      <b/>
      <sz val="10"/>
      <name val="MS Sans Serif"/>
      <family val="2"/>
    </font>
    <font>
      <sz val="5.5"/>
      <name val="Small Fonts"/>
      <family val="2"/>
    </font>
    <font>
      <b/>
      <sz val="10"/>
      <color indexed="10"/>
      <name val="Arial"/>
      <family val="2"/>
    </font>
    <font>
      <sz val="12"/>
      <name val="Arial"/>
      <family val="2"/>
    </font>
    <font>
      <b/>
      <sz val="10"/>
      <color indexed="8"/>
      <name val="Arial"/>
      <family val="2"/>
    </font>
    <font>
      <sz val="12"/>
      <name val="Garamond"/>
      <family val="1"/>
    </font>
    <font>
      <sz val="10"/>
      <color indexed="8"/>
      <name val="Arial"/>
      <family val="2"/>
    </font>
    <font>
      <b/>
      <sz val="12"/>
      <name val="Arial"/>
      <family val="2"/>
    </font>
    <font>
      <sz val="9"/>
      <name val="Arial"/>
      <family val="2"/>
    </font>
    <font>
      <b/>
      <u/>
      <sz val="12"/>
      <name val="Arial"/>
      <family val="2"/>
    </font>
    <font>
      <b/>
      <sz val="11"/>
      <name val="Arial"/>
      <family val="2"/>
    </font>
    <font>
      <sz val="9"/>
      <color indexed="10"/>
      <name val="Arial"/>
      <family val="2"/>
    </font>
    <font>
      <b/>
      <sz val="9"/>
      <name val="Arial"/>
      <family val="2"/>
    </font>
    <font>
      <sz val="9"/>
      <color indexed="12"/>
      <name val="Arial"/>
      <family val="2"/>
    </font>
    <font>
      <u/>
      <sz val="9"/>
      <name val="Arial"/>
      <family val="2"/>
    </font>
    <font>
      <sz val="9"/>
      <color indexed="14"/>
      <name val="Arial"/>
      <family val="2"/>
    </font>
    <font>
      <vertAlign val="superscript"/>
      <sz val="10"/>
      <name val="Arial"/>
      <family val="2"/>
    </font>
    <font>
      <b/>
      <sz val="10"/>
      <color indexed="10"/>
      <name val="Arial"/>
      <family val="2"/>
    </font>
    <font>
      <b/>
      <sz val="10"/>
      <color indexed="10"/>
      <name val="Arial Unicode MS"/>
      <family val="2"/>
    </font>
    <font>
      <b/>
      <sz val="8.5"/>
      <name val="Arial"/>
      <family val="2"/>
    </font>
    <font>
      <sz val="10"/>
      <color indexed="45"/>
      <name val="Arial"/>
      <family val="2"/>
    </font>
    <font>
      <sz val="10"/>
      <name val="Arial"/>
      <family val="2"/>
    </font>
    <font>
      <u/>
      <sz val="10"/>
      <name val="Arial"/>
      <family val="2"/>
    </font>
    <font>
      <sz val="12"/>
      <name val="ZapfCalligr BT"/>
    </font>
    <font>
      <sz val="10"/>
      <name val="Times"/>
      <family val="1"/>
    </font>
    <font>
      <sz val="10"/>
      <name val="Courier"/>
      <family val="3"/>
    </font>
    <font>
      <sz val="10"/>
      <name val="Times New Roman"/>
      <family val="1"/>
    </font>
    <font>
      <sz val="10"/>
      <color indexed="17"/>
      <name val="Arial"/>
      <family val="2"/>
    </font>
    <font>
      <sz val="10"/>
      <name val="Geneva"/>
      <family val="2"/>
    </font>
    <font>
      <sz val="10"/>
      <name val="Arial Narrow"/>
      <family val="2"/>
    </font>
    <font>
      <b/>
      <i/>
      <sz val="12"/>
      <color indexed="12"/>
      <name val="Arial"/>
      <family val="2"/>
    </font>
    <font>
      <sz val="1"/>
      <color indexed="8"/>
      <name val="Courier"/>
      <family val="3"/>
    </font>
    <font>
      <sz val="12"/>
      <name val="Helv"/>
    </font>
    <font>
      <sz val="8"/>
      <name val="BERNHARD"/>
    </font>
    <font>
      <sz val="10"/>
      <name val="Helv"/>
    </font>
    <font>
      <sz val="9"/>
      <name val="Geneva"/>
      <family val="2"/>
    </font>
    <font>
      <sz val="8"/>
      <name val="Courier"/>
      <family val="3"/>
    </font>
    <font>
      <sz val="8"/>
      <color indexed="8"/>
      <name val="Arial"/>
      <family val="2"/>
    </font>
    <font>
      <sz val="11"/>
      <name val="Calibri"/>
      <family val="2"/>
    </font>
    <font>
      <sz val="10"/>
      <name val="Arial"/>
      <family val="2"/>
    </font>
    <font>
      <sz val="9"/>
      <color indexed="81"/>
      <name val="Tahoma"/>
      <family val="2"/>
    </font>
    <font>
      <b/>
      <sz val="9"/>
      <color indexed="81"/>
      <name val="Tahoma"/>
      <family val="2"/>
    </font>
    <font>
      <sz val="11"/>
      <color theme="1"/>
      <name val="Calibri"/>
      <family val="2"/>
      <scheme val="minor"/>
    </font>
    <font>
      <sz val="11"/>
      <color theme="1"/>
      <name val="Times New Roman"/>
      <family val="2"/>
    </font>
    <font>
      <sz val="10"/>
      <color rgb="FFFF0000"/>
      <name val="Arial"/>
      <family val="2"/>
    </font>
    <font>
      <b/>
      <sz val="10"/>
      <color theme="1"/>
      <name val="Arial"/>
      <family val="2"/>
    </font>
    <font>
      <sz val="8"/>
      <color theme="1"/>
      <name val="Arial"/>
      <family val="2"/>
    </font>
    <font>
      <i/>
      <sz val="8"/>
      <color theme="1"/>
      <name val="Arial"/>
      <family val="2"/>
    </font>
    <font>
      <sz val="10"/>
      <color theme="1"/>
      <name val="Arial"/>
      <family val="2"/>
    </font>
    <font>
      <b/>
      <sz val="8"/>
      <color theme="1"/>
      <name val="Arial"/>
      <family val="2"/>
    </font>
    <font>
      <sz val="8"/>
      <color rgb="FF0000FF"/>
      <name val="Arial"/>
      <family val="2"/>
    </font>
    <font>
      <b/>
      <sz val="8"/>
      <color theme="9" tint="-0.499984740745262"/>
      <name val="Arial"/>
      <family val="2"/>
    </font>
    <font>
      <sz val="8"/>
      <color theme="9" tint="-0.499984740745262"/>
      <name val="Arial"/>
      <family val="2"/>
    </font>
    <font>
      <b/>
      <i/>
      <sz val="8"/>
      <color theme="1"/>
      <name val="Arial"/>
      <family val="2"/>
    </font>
    <font>
      <sz val="10"/>
      <name val="Arial"/>
      <family val="2"/>
    </font>
    <font>
      <sz val="10"/>
      <name val="Arial"/>
      <family val="2"/>
    </font>
    <font>
      <b/>
      <sz val="9"/>
      <color indexed="81"/>
      <name val="Tahoma"/>
      <charset val="1"/>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43"/>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31"/>
        <bgColor indexed="64"/>
      </patternFill>
    </fill>
    <fill>
      <patternFill patternType="solid">
        <fgColor indexed="35"/>
        <bgColor indexed="64"/>
      </patternFill>
    </fill>
    <fill>
      <patternFill patternType="lightGray"/>
    </fill>
    <fill>
      <patternFill patternType="gray0625"/>
    </fill>
    <fill>
      <patternFill patternType="solid">
        <fgColor indexed="42"/>
        <bgColor indexed="64"/>
      </patternFill>
    </fill>
    <fill>
      <patternFill patternType="solid">
        <fgColor indexed="31"/>
        <bgColor indexed="8"/>
      </patternFill>
    </fill>
    <fill>
      <patternFill patternType="solid">
        <fgColor indexed="43"/>
        <bgColor indexed="8"/>
      </patternFill>
    </fill>
    <fill>
      <patternFill patternType="solid">
        <fgColor rgb="FFFF0000"/>
        <bgColor indexed="64"/>
      </patternFill>
    </fill>
    <fill>
      <patternFill patternType="solid">
        <fgColor rgb="FFFFFF99"/>
        <bgColor indexed="64"/>
      </patternFill>
    </fill>
    <fill>
      <patternFill patternType="solid">
        <fgColor rgb="FFFFC000"/>
        <bgColor indexed="64"/>
      </patternFill>
    </fill>
  </fills>
  <borders count="74">
    <border>
      <left/>
      <right/>
      <top/>
      <bottom/>
      <diagonal/>
    </border>
    <border>
      <left style="double">
        <color indexed="64"/>
      </left>
      <right/>
      <top/>
      <bottom style="hair">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double">
        <color indexed="12"/>
      </left>
      <right style="double">
        <color indexed="12"/>
      </right>
      <top style="double">
        <color indexed="12"/>
      </top>
      <bottom style="dotted">
        <color indexed="1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style="thin">
        <color indexed="64"/>
      </right>
      <top/>
      <bottom/>
      <diagonal/>
    </border>
    <border>
      <left/>
      <right/>
      <top style="medium">
        <color indexed="39"/>
      </top>
      <bottom/>
      <diagonal/>
    </border>
    <border>
      <left style="medium">
        <color indexed="39"/>
      </left>
      <right/>
      <top style="medium">
        <color indexed="39"/>
      </top>
      <bottom/>
      <diagonal/>
    </border>
    <border>
      <left style="thick">
        <color indexed="12"/>
      </left>
      <right style="thick">
        <color indexed="12"/>
      </right>
      <top style="thick">
        <color indexed="12"/>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style="thin">
        <color indexed="22"/>
      </top>
      <bottom style="thin">
        <color indexed="6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style="thin">
        <color indexed="2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top style="thin">
        <color indexed="22"/>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22"/>
      </left>
      <right/>
      <top style="thin">
        <color indexed="22"/>
      </top>
      <bottom style="thin">
        <color indexed="22"/>
      </bottom>
      <diagonal/>
    </border>
    <border>
      <left/>
      <right/>
      <top style="thin">
        <color indexed="22"/>
      </top>
      <bottom/>
      <diagonal/>
    </border>
    <border>
      <left style="thin">
        <color indexed="22"/>
      </left>
      <right style="medium">
        <color indexed="64"/>
      </right>
      <top style="thin">
        <color indexed="22"/>
      </top>
      <bottom style="thin">
        <color indexed="22"/>
      </bottom>
      <diagonal/>
    </border>
    <border>
      <left/>
      <right style="medium">
        <color indexed="64"/>
      </right>
      <top style="thin">
        <color indexed="22"/>
      </top>
      <bottom style="thin">
        <color indexed="22"/>
      </bottom>
      <diagonal/>
    </border>
    <border>
      <left/>
      <right style="medium">
        <color indexed="64"/>
      </right>
      <top style="thin">
        <color indexed="22"/>
      </top>
      <bottom/>
      <diagonal/>
    </border>
    <border>
      <left/>
      <right/>
      <top style="thin">
        <color indexed="64"/>
      </top>
      <bottom style="thin">
        <color indexed="64"/>
      </bottom>
      <diagonal/>
    </border>
    <border>
      <left style="thin">
        <color indexed="22"/>
      </left>
      <right style="medium">
        <color indexed="64"/>
      </right>
      <top/>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22"/>
      </right>
      <top style="thin">
        <color indexed="22"/>
      </top>
      <bottom style="thin">
        <color indexed="22"/>
      </bottom>
      <diagonal/>
    </border>
    <border>
      <left style="thin">
        <color indexed="22"/>
      </left>
      <right/>
      <top/>
      <bottom style="thin">
        <color indexed="64"/>
      </bottom>
      <diagonal/>
    </border>
    <border>
      <left style="medium">
        <color indexed="22"/>
      </left>
      <right style="medium">
        <color indexed="64"/>
      </right>
      <top style="medium">
        <color indexed="22"/>
      </top>
      <bottom style="thin">
        <color indexed="64"/>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medium">
        <color indexed="64"/>
      </right>
      <top style="thin">
        <color indexed="22"/>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right/>
      <top/>
      <bottom style="thin">
        <color indexed="22"/>
      </bottom>
      <diagonal/>
    </border>
    <border>
      <left/>
      <right style="thin">
        <color indexed="22"/>
      </right>
      <top/>
      <bottom style="thin">
        <color indexed="22"/>
      </bottom>
      <diagonal/>
    </border>
    <border>
      <left/>
      <right style="medium">
        <color indexed="64"/>
      </right>
      <top style="thin">
        <color indexed="64"/>
      </top>
      <bottom style="thin">
        <color indexed="64"/>
      </bottom>
      <diagonal/>
    </border>
    <border>
      <left/>
      <right style="thin">
        <color indexed="22"/>
      </right>
      <top/>
      <bottom/>
      <diagonal/>
    </border>
    <border>
      <left style="thin">
        <color rgb="FFC0C0C0"/>
      </left>
      <right style="thin">
        <color rgb="FFC0C0C0"/>
      </right>
      <top style="thin">
        <color rgb="FFC0C0C0"/>
      </top>
      <bottom style="thin">
        <color rgb="FFC0C0C0"/>
      </bottom>
      <diagonal/>
    </border>
    <border>
      <left/>
      <right/>
      <top style="thin">
        <color indexed="64"/>
      </top>
      <bottom style="medium">
        <color indexed="64"/>
      </bottom>
      <diagonal/>
    </border>
  </borders>
  <cellStyleXfs count="424">
    <xf numFmtId="0" fontId="0" fillId="0" borderId="0"/>
    <xf numFmtId="0" fontId="41" fillId="0" borderId="0">
      <alignment vertical="top"/>
    </xf>
    <xf numFmtId="0" fontId="42" fillId="0" borderId="0"/>
    <xf numFmtId="0" fontId="1" fillId="0" borderId="0" applyNumberFormat="0" applyFill="0" applyBorder="0" applyAlignment="0" applyProtection="0"/>
    <xf numFmtId="0" fontId="35"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1"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164" fontId="6" fillId="20" borderId="1">
      <alignment horizontal="center" vertical="center"/>
    </xf>
    <xf numFmtId="213" fontId="73" fillId="20" borderId="1">
      <alignment horizontal="center" vertical="center"/>
    </xf>
    <xf numFmtId="0" fontId="75" fillId="0" borderId="0" applyNumberFormat="0" applyFont="0" applyFill="0" applyBorder="0" applyProtection="0">
      <alignment vertical="top" wrapText="1"/>
    </xf>
    <xf numFmtId="0" fontId="6" fillId="21" borderId="0" applyNumberFormat="0" applyFont="0" applyAlignment="0">
      <alignment vertical="top"/>
    </xf>
    <xf numFmtId="0" fontId="35" fillId="21" borderId="0" applyNumberFormat="0" applyFont="0" applyAlignment="0">
      <alignment vertical="top" wrapText="1"/>
    </xf>
    <xf numFmtId="0" fontId="7" fillId="3" borderId="0" applyNumberFormat="0" applyBorder="0" applyAlignment="0" applyProtection="0"/>
    <xf numFmtId="201" fontId="49" fillId="0" borderId="2" applyNumberFormat="0" applyFill="0" applyBorder="0" applyAlignment="0" applyProtection="0">
      <alignment horizontal="center"/>
    </xf>
    <xf numFmtId="0" fontId="8" fillId="22" borderId="3" applyNumberFormat="0" applyAlignment="0" applyProtection="0"/>
    <xf numFmtId="0" fontId="43" fillId="0" borderId="0"/>
    <xf numFmtId="0" fontId="9" fillId="23" borderId="4" applyNumberFormat="0" applyAlignment="0" applyProtection="0"/>
    <xf numFmtId="165" fontId="10" fillId="0" borderId="0">
      <alignment horizontal="center" wrapText="1"/>
    </xf>
    <xf numFmtId="43" fontId="1" fillId="0" borderId="0" applyFont="0" applyFill="0" applyBorder="0" applyAlignment="0" applyProtection="0"/>
    <xf numFmtId="214" fontId="76" fillId="0" borderId="0" applyFont="0" applyFill="0" applyBorder="0" applyAlignment="0" applyProtection="0">
      <alignment vertical="center"/>
    </xf>
    <xf numFmtId="4" fontId="77" fillId="0" borderId="5" applyFont="0" applyFill="0" applyBorder="0" applyAlignment="0">
      <alignment horizontal="center" vertical="center"/>
    </xf>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9" fillId="0" borderId="0" applyFont="0" applyFill="0" applyBorder="0" applyAlignment="0" applyProtection="0"/>
    <xf numFmtId="43" fontId="73" fillId="0" borderId="0" applyFont="0" applyFill="0" applyBorder="0" applyAlignment="0" applyProtection="0"/>
    <xf numFmtId="43" fontId="35" fillId="0" borderId="0" applyFont="0" applyFill="0" applyBorder="0" applyAlignment="0" applyProtection="0"/>
    <xf numFmtId="43" fontId="70"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38" fontId="2" fillId="0" borderId="0">
      <alignment horizontal="right"/>
    </xf>
    <xf numFmtId="215" fontId="75" fillId="0" borderId="0" applyFont="0" applyFill="0" applyBorder="0" applyAlignment="0" applyProtection="0"/>
    <xf numFmtId="216" fontId="78" fillId="0" borderId="0">
      <protection locked="0"/>
    </xf>
    <xf numFmtId="0" fontId="79" fillId="0" borderId="0"/>
    <xf numFmtId="0" fontId="80" fillId="0" borderId="0"/>
    <xf numFmtId="216" fontId="78" fillId="0" borderId="0">
      <protection locked="0"/>
    </xf>
    <xf numFmtId="212" fontId="73" fillId="0" borderId="0" applyFont="0" applyFill="0" applyBorder="0" applyAlignment="0" applyProtection="0"/>
    <xf numFmtId="212"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44" fillId="0" borderId="0"/>
    <xf numFmtId="209" fontId="28" fillId="0" borderId="0">
      <protection locked="0"/>
    </xf>
    <xf numFmtId="44" fontId="1" fillId="0" borderId="0" applyFont="0" applyFill="0" applyBorder="0" applyAlignment="0" applyProtection="0"/>
    <xf numFmtId="44" fontId="76" fillId="0" borderId="0" applyFont="0" applyFill="0" applyBorder="0" applyAlignment="0" applyProtection="0"/>
    <xf numFmtId="217" fontId="7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18" fontId="78" fillId="0" borderId="0">
      <protection locked="0"/>
    </xf>
    <xf numFmtId="6" fontId="11" fillId="0" borderId="0">
      <protection locked="0"/>
    </xf>
    <xf numFmtId="219" fontId="35" fillId="0" borderId="0" applyFont="0" applyFill="0" applyBorder="0" applyAlignment="0" applyProtection="0">
      <alignment wrapText="1"/>
    </xf>
    <xf numFmtId="219" fontId="35" fillId="0" borderId="0" applyFont="0" applyFill="0" applyBorder="0" applyAlignment="0" applyProtection="0">
      <alignment wrapText="1"/>
    </xf>
    <xf numFmtId="16" fontId="2" fillId="0" borderId="0">
      <alignment horizontal="right"/>
    </xf>
    <xf numFmtId="15" fontId="2" fillId="0" borderId="0">
      <alignment horizontal="right"/>
    </xf>
    <xf numFmtId="166" fontId="12" fillId="0" borderId="0"/>
    <xf numFmtId="0" fontId="13" fillId="0" borderId="0" applyNumberFormat="0" applyFill="0" applyBorder="0" applyAlignment="0" applyProtection="0"/>
    <xf numFmtId="167" fontId="1" fillId="0" borderId="0">
      <protection locked="0"/>
    </xf>
    <xf numFmtId="167" fontId="35" fillId="0" borderId="0">
      <protection locked="0"/>
    </xf>
    <xf numFmtId="167" fontId="35" fillId="0" borderId="0">
      <protection locked="0"/>
    </xf>
    <xf numFmtId="0" fontId="81" fillId="0" borderId="0"/>
    <xf numFmtId="0" fontId="81" fillId="0" borderId="0"/>
    <xf numFmtId="0" fontId="82" fillId="0" borderId="0" applyNumberFormat="0" applyFill="0" applyBorder="0" applyAlignment="0" applyProtection="0"/>
    <xf numFmtId="0" fontId="14" fillId="4" borderId="0" applyNumberFormat="0" applyBorder="0" applyAlignment="0" applyProtection="0"/>
    <xf numFmtId="0" fontId="74" fillId="4" borderId="0" applyNumberFormat="0" applyBorder="0" applyAlignment="0" applyProtection="0"/>
    <xf numFmtId="38" fontId="15" fillId="24" borderId="0" applyNumberFormat="0" applyBorder="0" applyAlignment="0" applyProtection="0"/>
    <xf numFmtId="38" fontId="2" fillId="24" borderId="0" applyNumberFormat="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168" fontId="1" fillId="0" borderId="0">
      <protection locked="0"/>
    </xf>
    <xf numFmtId="168" fontId="35" fillId="0" borderId="0">
      <protection locked="0"/>
    </xf>
    <xf numFmtId="168" fontId="35" fillId="0" borderId="0">
      <protection locked="0"/>
    </xf>
    <xf numFmtId="168" fontId="1" fillId="0" borderId="0">
      <protection locked="0"/>
    </xf>
    <xf numFmtId="168" fontId="35" fillId="0" borderId="0">
      <protection locked="0"/>
    </xf>
    <xf numFmtId="168" fontId="35" fillId="0" borderId="0">
      <protection locked="0"/>
    </xf>
    <xf numFmtId="0" fontId="20" fillId="0" borderId="9" applyNumberFormat="0" applyFill="0" applyAlignment="0" applyProtection="0"/>
    <xf numFmtId="0" fontId="21" fillId="0" borderId="0" applyNumberFormat="0" applyFill="0" applyBorder="0" applyAlignment="0" applyProtection="0"/>
    <xf numFmtId="0" fontId="22" fillId="7" borderId="3" applyNumberFormat="0" applyAlignment="0" applyProtection="0"/>
    <xf numFmtId="10" fontId="15" fillId="25" borderId="10" applyNumberFormat="0" applyBorder="0" applyAlignment="0" applyProtection="0"/>
    <xf numFmtId="10" fontId="2" fillId="25" borderId="10" applyNumberFormat="0" applyBorder="0" applyAlignment="0" applyProtection="0"/>
    <xf numFmtId="210" fontId="28" fillId="0" borderId="0">
      <alignment horizontal="center"/>
      <protection locked="0"/>
    </xf>
    <xf numFmtId="0" fontId="23" fillId="0" borderId="11" applyNumberFormat="0" applyFill="0" applyAlignment="0" applyProtection="0"/>
    <xf numFmtId="220" fontId="35" fillId="0" borderId="0" applyFont="0" applyFill="0" applyBorder="0" applyAlignment="0" applyProtection="0"/>
    <xf numFmtId="221" fontId="35" fillId="0" borderId="0" applyFont="0" applyFill="0" applyBorder="0" applyAlignment="0" applyProtection="0"/>
    <xf numFmtId="0" fontId="24" fillId="26" borderId="0" applyNumberFormat="0" applyBorder="0" applyAlignment="0" applyProtection="0"/>
    <xf numFmtId="37" fontId="25" fillId="0" borderId="0"/>
    <xf numFmtId="169" fontId="26" fillId="0" borderId="0"/>
    <xf numFmtId="222" fontId="73" fillId="0" borderId="0"/>
    <xf numFmtId="37" fontId="45" fillId="0" borderId="0"/>
    <xf numFmtId="0" fontId="89" fillId="0" borderId="0"/>
    <xf numFmtId="0" fontId="35" fillId="0" borderId="0"/>
    <xf numFmtId="0" fontId="35" fillId="0" borderId="0"/>
    <xf numFmtId="0" fontId="89" fillId="0" borderId="0"/>
    <xf numFmtId="0" fontId="4" fillId="0" borderId="0"/>
    <xf numFmtId="0" fontId="89" fillId="0" borderId="0"/>
    <xf numFmtId="0" fontId="35" fillId="0" borderId="0"/>
    <xf numFmtId="0" fontId="89" fillId="0" borderId="0"/>
    <xf numFmtId="0" fontId="89" fillId="0" borderId="0"/>
    <xf numFmtId="0" fontId="35" fillId="0" borderId="0"/>
    <xf numFmtId="0" fontId="89" fillId="0" borderId="0"/>
    <xf numFmtId="0" fontId="35" fillId="0" borderId="0"/>
    <xf numFmtId="0" fontId="89" fillId="0" borderId="0"/>
    <xf numFmtId="0" fontId="89" fillId="0" borderId="0"/>
    <xf numFmtId="0" fontId="35" fillId="0" borderId="0"/>
    <xf numFmtId="0" fontId="89" fillId="0" borderId="0"/>
    <xf numFmtId="0" fontId="35" fillId="0" borderId="0"/>
    <xf numFmtId="0" fontId="35" fillId="0" borderId="0"/>
    <xf numFmtId="0" fontId="35" fillId="0" borderId="0"/>
    <xf numFmtId="0" fontId="35" fillId="0" borderId="0"/>
    <xf numFmtId="0" fontId="90" fillId="0" borderId="0"/>
    <xf numFmtId="0" fontId="35" fillId="0" borderId="0"/>
    <xf numFmtId="0" fontId="35" fillId="0" borderId="0"/>
    <xf numFmtId="0" fontId="35" fillId="0" borderId="0"/>
    <xf numFmtId="0" fontId="35" fillId="0" borderId="0"/>
    <xf numFmtId="0" fontId="35" fillId="0" borderId="0"/>
    <xf numFmtId="0" fontId="8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NumberFormat="0" applyFill="0" applyBorder="0" applyAlignment="0" applyProtection="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4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protection locked="0"/>
    </xf>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9" fillId="0" borderId="0"/>
    <xf numFmtId="0" fontId="89" fillId="0" borderId="0"/>
    <xf numFmtId="0" fontId="89" fillId="0" borderId="0"/>
    <xf numFmtId="189" fontId="28" fillId="0" borderId="0"/>
    <xf numFmtId="0" fontId="83" fillId="0" borderId="0"/>
    <xf numFmtId="0" fontId="89" fillId="0" borderId="0"/>
    <xf numFmtId="0" fontId="89" fillId="0" borderId="0"/>
    <xf numFmtId="0" fontId="89" fillId="0" borderId="0"/>
    <xf numFmtId="0" fontId="89" fillId="0" borderId="0"/>
    <xf numFmtId="0" fontId="35" fillId="0" borderId="0"/>
    <xf numFmtId="0" fontId="35" fillId="0" borderId="0"/>
    <xf numFmtId="0" fontId="35" fillId="0" borderId="0"/>
    <xf numFmtId="0" fontId="35" fillId="0" borderId="0"/>
    <xf numFmtId="0" fontId="35" fillId="0" borderId="0"/>
    <xf numFmtId="0" fontId="41" fillId="0" borderId="0">
      <alignment vertical="top"/>
    </xf>
    <xf numFmtId="0" fontId="89" fillId="0" borderId="0"/>
    <xf numFmtId="0" fontId="89" fillId="0" borderId="0"/>
    <xf numFmtId="189" fontId="72" fillId="0" borderId="0"/>
    <xf numFmtId="0" fontId="35" fillId="0" borderId="0"/>
    <xf numFmtId="0" fontId="83"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35" fillId="0" borderId="0"/>
    <xf numFmtId="0" fontId="4" fillId="0" borderId="0"/>
    <xf numFmtId="0" fontId="89" fillId="0" borderId="0"/>
    <xf numFmtId="0" fontId="89" fillId="0" borderId="0"/>
    <xf numFmtId="0" fontId="35" fillId="0" borderId="0"/>
    <xf numFmtId="0" fontId="89" fillId="0" borderId="0"/>
    <xf numFmtId="0" fontId="89" fillId="0" borderId="0"/>
    <xf numFmtId="0" fontId="35" fillId="0" borderId="0"/>
    <xf numFmtId="0" fontId="52" fillId="0" borderId="0"/>
    <xf numFmtId="0" fontId="1" fillId="0" borderId="0"/>
    <xf numFmtId="38" fontId="50" fillId="0" borderId="0"/>
    <xf numFmtId="0" fontId="28" fillId="0" borderId="0"/>
    <xf numFmtId="0" fontId="50" fillId="0" borderId="0"/>
    <xf numFmtId="38" fontId="50" fillId="0" borderId="0"/>
    <xf numFmtId="0" fontId="1" fillId="0" borderId="0"/>
    <xf numFmtId="0" fontId="28" fillId="0" borderId="0"/>
    <xf numFmtId="170" fontId="27" fillId="0" borderId="0" applyProtection="0"/>
    <xf numFmtId="0" fontId="28" fillId="0" borderId="0"/>
    <xf numFmtId="0" fontId="1" fillId="0" borderId="0"/>
    <xf numFmtId="170" fontId="27" fillId="0" borderId="0" applyProtection="0"/>
    <xf numFmtId="38" fontId="50" fillId="0" borderId="0"/>
    <xf numFmtId="41" fontId="12" fillId="0" borderId="0"/>
    <xf numFmtId="0" fontId="1" fillId="0" borderId="0"/>
    <xf numFmtId="41" fontId="71" fillId="0" borderId="0"/>
    <xf numFmtId="0" fontId="28" fillId="0" borderId="0"/>
    <xf numFmtId="189" fontId="28" fillId="0" borderId="0"/>
    <xf numFmtId="0" fontId="28" fillId="27" borderId="12" applyNumberFormat="0" applyFont="0" applyAlignment="0" applyProtection="0"/>
    <xf numFmtId="171" fontId="1" fillId="0" borderId="0"/>
    <xf numFmtId="171" fontId="35" fillId="0" borderId="0"/>
    <xf numFmtId="0" fontId="29" fillId="22" borderId="13" applyNumberFormat="0" applyAlignment="0" applyProtection="0"/>
    <xf numFmtId="9" fontId="1" fillId="0" borderId="0" applyFont="0" applyFill="0" applyBorder="0" applyAlignment="0" applyProtection="0"/>
    <xf numFmtId="223" fontId="76" fillId="0" borderId="0" applyFont="0" applyFill="0" applyBorder="0" applyAlignment="0" applyProtection="0"/>
    <xf numFmtId="10" fontId="1"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224" fontId="78" fillId="0" borderId="0">
      <protection locked="0"/>
    </xf>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47" fillId="0" borderId="14">
      <alignment horizontal="center"/>
    </xf>
    <xf numFmtId="3" fontId="46" fillId="0" borderId="0" applyFont="0" applyFill="0" applyBorder="0" applyAlignment="0" applyProtection="0"/>
    <xf numFmtId="0" fontId="46" fillId="28" borderId="0" applyNumberFormat="0" applyFont="0" applyBorder="0" applyAlignment="0" applyProtection="0"/>
    <xf numFmtId="0" fontId="30" fillId="0" borderId="15"/>
    <xf numFmtId="184" fontId="44" fillId="0" borderId="0"/>
    <xf numFmtId="3" fontId="84" fillId="0" borderId="16" applyBorder="0">
      <alignment horizontal="right" wrapText="1"/>
    </xf>
    <xf numFmtId="4" fontId="84" fillId="0" borderId="17" applyBorder="0">
      <alignment horizontal="right" wrapText="1"/>
    </xf>
    <xf numFmtId="0" fontId="35" fillId="29" borderId="13" applyNumberFormat="0" applyProtection="0">
      <alignment horizontal="left" vertical="center" indent="1"/>
    </xf>
    <xf numFmtId="4" fontId="41" fillId="30" borderId="13" applyNumberFormat="0" applyProtection="0">
      <alignment horizontal="right" vertical="center"/>
    </xf>
    <xf numFmtId="0" fontId="35" fillId="29" borderId="13" applyNumberFormat="0" applyProtection="0">
      <alignment horizontal="left" vertical="center" indent="1"/>
    </xf>
    <xf numFmtId="0" fontId="35" fillId="29" borderId="13" applyNumberFormat="0" applyProtection="0">
      <alignment horizontal="left" vertical="center" indent="1"/>
    </xf>
    <xf numFmtId="0" fontId="75" fillId="31" borderId="0" applyNumberFormat="0" applyFont="0" applyBorder="0" applyAlignment="0" applyProtection="0"/>
    <xf numFmtId="0" fontId="75" fillId="32" borderId="0" applyNumberFormat="0" applyFont="0" applyBorder="0" applyAlignment="0" applyProtection="0"/>
    <xf numFmtId="0" fontId="75" fillId="1" borderId="0" applyNumberFormat="0" applyFont="0" applyBorder="0" applyAlignment="0" applyProtection="0"/>
    <xf numFmtId="225" fontId="75" fillId="0" borderId="0" applyFont="0" applyFill="0" applyBorder="0" applyAlignment="0" applyProtection="0"/>
    <xf numFmtId="226" fontId="75" fillId="0" borderId="0" applyFont="0" applyFill="0" applyBorder="0" applyAlignment="0" applyProtection="0"/>
    <xf numFmtId="227" fontId="75" fillId="0" borderId="0" applyFont="0" applyFill="0" applyBorder="0" applyAlignment="0" applyProtection="0"/>
    <xf numFmtId="0" fontId="41" fillId="0" borderId="0">
      <alignment vertical="top"/>
    </xf>
    <xf numFmtId="0" fontId="6" fillId="33" borderId="18" applyFill="0">
      <alignment horizontal="center"/>
    </xf>
    <xf numFmtId="0" fontId="6" fillId="33" borderId="18" applyFill="0">
      <alignment horizontal="center"/>
    </xf>
    <xf numFmtId="0" fontId="6" fillId="33" borderId="18" applyFill="0">
      <alignment horizontal="center"/>
    </xf>
    <xf numFmtId="0" fontId="6" fillId="33" borderId="18" applyFill="0">
      <alignment horizontal="center"/>
    </xf>
    <xf numFmtId="0" fontId="6" fillId="34" borderId="19" applyNumberFormat="0" applyProtection="0">
      <alignment horizontal="center" wrapText="1"/>
    </xf>
    <xf numFmtId="0" fontId="6" fillId="34" borderId="19" applyNumberFormat="0" applyProtection="0">
      <alignment horizontal="center" wrapText="1"/>
    </xf>
    <xf numFmtId="0" fontId="6" fillId="34" borderId="20" applyNumberFormat="0" applyAlignment="0" applyProtection="0">
      <alignment wrapText="1"/>
    </xf>
    <xf numFmtId="0" fontId="6" fillId="34" borderId="20" applyNumberFormat="0" applyAlignment="0" applyProtection="0">
      <alignment wrapText="1"/>
    </xf>
    <xf numFmtId="0" fontId="35" fillId="35" borderId="0" applyNumberFormat="0" applyBorder="0">
      <alignment horizontal="center" wrapText="1"/>
    </xf>
    <xf numFmtId="0" fontId="35" fillId="35" borderId="0" applyNumberFormat="0" applyBorder="0">
      <alignment horizontal="center" wrapText="1"/>
    </xf>
    <xf numFmtId="0" fontId="35" fillId="35" borderId="0" applyNumberFormat="0" applyBorder="0">
      <alignment wrapText="1"/>
    </xf>
    <xf numFmtId="0" fontId="35" fillId="35" borderId="0" applyNumberFormat="0" applyBorder="0">
      <alignment wrapText="1"/>
    </xf>
    <xf numFmtId="0" fontId="35" fillId="0" borderId="0" applyNumberFormat="0" applyFill="0" applyBorder="0" applyProtection="0">
      <alignment horizontal="right" wrapText="1"/>
    </xf>
    <xf numFmtId="0" fontId="35" fillId="0" borderId="0" applyNumberFormat="0" applyFill="0" applyBorder="0" applyProtection="0">
      <alignment horizontal="right" wrapText="1"/>
    </xf>
    <xf numFmtId="228" fontId="35" fillId="0" borderId="0" applyFill="0" applyBorder="0" applyAlignment="0" applyProtection="0">
      <alignment wrapText="1"/>
    </xf>
    <xf numFmtId="228" fontId="35" fillId="0" borderId="0" applyFill="0" applyBorder="0" applyAlignment="0" applyProtection="0">
      <alignment wrapText="1"/>
    </xf>
    <xf numFmtId="229" fontId="35" fillId="0" borderId="0" applyFill="0" applyBorder="0" applyAlignment="0" applyProtection="0">
      <alignment wrapText="1"/>
    </xf>
    <xf numFmtId="229" fontId="35" fillId="0" borderId="0" applyFill="0" applyBorder="0" applyAlignment="0" applyProtection="0">
      <alignment wrapText="1"/>
    </xf>
    <xf numFmtId="211" fontId="35" fillId="0" borderId="0" applyFill="0" applyBorder="0" applyAlignment="0" applyProtection="0">
      <alignment wrapText="1"/>
    </xf>
    <xf numFmtId="211" fontId="35" fillId="0" borderId="0" applyFill="0" applyBorder="0" applyAlignment="0" applyProtection="0">
      <alignment wrapText="1"/>
    </xf>
    <xf numFmtId="0" fontId="35" fillId="0" borderId="0" applyNumberFormat="0" applyFill="0" applyBorder="0" applyProtection="0">
      <alignment horizontal="right" wrapText="1"/>
    </xf>
    <xf numFmtId="0" fontId="35" fillId="0" borderId="0" applyNumberFormat="0" applyFill="0" applyBorder="0" applyProtection="0">
      <alignment horizontal="right" wrapText="1"/>
    </xf>
    <xf numFmtId="0" fontId="35" fillId="0" borderId="0" applyNumberFormat="0" applyFill="0" applyBorder="0">
      <alignment horizontal="right" wrapText="1"/>
    </xf>
    <xf numFmtId="0" fontId="35" fillId="0" borderId="0" applyNumberFormat="0" applyFill="0" applyBorder="0">
      <alignment horizontal="right" wrapText="1"/>
    </xf>
    <xf numFmtId="17" fontId="35" fillId="0" borderId="0" applyFill="0" applyBorder="0">
      <alignment horizontal="right" wrapText="1"/>
    </xf>
    <xf numFmtId="17" fontId="35" fillId="0" borderId="0" applyFill="0" applyBorder="0">
      <alignment horizontal="right" wrapText="1"/>
    </xf>
    <xf numFmtId="8" fontId="35" fillId="0" borderId="0" applyFill="0" applyBorder="0" applyAlignment="0" applyProtection="0">
      <alignment wrapText="1"/>
    </xf>
    <xf numFmtId="8" fontId="35" fillId="0" borderId="0" applyFill="0" applyBorder="0" applyAlignment="0" applyProtection="0">
      <alignment wrapText="1"/>
    </xf>
    <xf numFmtId="0" fontId="54" fillId="0" borderId="0" applyNumberFormat="0" applyFill="0" applyBorder="0">
      <alignment horizontal="left" wrapText="1"/>
    </xf>
    <xf numFmtId="0" fontId="54"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0" fontId="6" fillId="0" borderId="0" applyNumberFormat="0" applyFill="0" applyBorder="0">
      <alignment horizontal="center" wrapText="1"/>
    </xf>
    <xf numFmtId="0" fontId="6" fillId="0" borderId="0" applyNumberFormat="0" applyFill="0" applyBorder="0">
      <alignment horizontal="center" wrapText="1"/>
    </xf>
    <xf numFmtId="0" fontId="31" fillId="0" borderId="21"/>
    <xf numFmtId="0" fontId="48" fillId="0" borderId="0">
      <alignment horizontal="centerContinuous" vertical="center" wrapText="1"/>
    </xf>
    <xf numFmtId="0" fontId="75" fillId="0" borderId="0" applyNumberFormat="0" applyFont="0" applyFill="0" applyBorder="0" applyProtection="0">
      <alignment horizontal="center" wrapText="1"/>
    </xf>
    <xf numFmtId="0" fontId="75" fillId="0" borderId="0" applyNumberFormat="0" applyFont="0" applyFill="0" applyBorder="0" applyProtection="0">
      <alignment horizontal="centerContinuous" vertical="center" wrapText="1"/>
    </xf>
    <xf numFmtId="0" fontId="1" fillId="0" borderId="0"/>
    <xf numFmtId="0" fontId="35" fillId="0" borderId="0"/>
    <xf numFmtId="172" fontId="1" fillId="0" borderId="0">
      <alignment wrapText="1"/>
    </xf>
    <xf numFmtId="172" fontId="35" fillId="0" borderId="0">
      <alignment wrapText="1"/>
    </xf>
    <xf numFmtId="173" fontId="1" fillId="0" borderId="0">
      <alignment wrapText="1"/>
    </xf>
    <xf numFmtId="173" fontId="35" fillId="0" borderId="0">
      <alignment wrapText="1"/>
    </xf>
    <xf numFmtId="0" fontId="32" fillId="0" borderId="0" applyNumberFormat="0" applyFill="0" applyBorder="0" applyAlignment="0" applyProtection="0"/>
    <xf numFmtId="168" fontId="1" fillId="0" borderId="22">
      <protection locked="0"/>
    </xf>
    <xf numFmtId="37" fontId="15" fillId="21" borderId="0" applyNumberFormat="0" applyBorder="0" applyAlignment="0" applyProtection="0"/>
    <xf numFmtId="37" fontId="2" fillId="21" borderId="0" applyNumberFormat="0" applyBorder="0" applyAlignment="0" applyProtection="0"/>
    <xf numFmtId="37" fontId="2" fillId="0" borderId="0"/>
    <xf numFmtId="37" fontId="2" fillId="0" borderId="0"/>
    <xf numFmtId="3" fontId="33" fillId="0" borderId="9" applyProtection="0"/>
    <xf numFmtId="0" fontId="72" fillId="0" borderId="0"/>
    <xf numFmtId="0" fontId="75" fillId="0" borderId="0" applyNumberFormat="0" applyFont="0" applyFill="0" applyBorder="0" applyProtection="0"/>
    <xf numFmtId="0" fontId="75" fillId="0" borderId="0" applyNumberFormat="0" applyFont="0" applyFill="0" applyBorder="0" applyProtection="0">
      <alignment vertical="center"/>
    </xf>
    <xf numFmtId="0" fontId="75" fillId="0" borderId="0" applyNumberFormat="0" applyFont="0" applyFill="0" applyBorder="0" applyProtection="0">
      <alignment vertical="top"/>
    </xf>
    <xf numFmtId="0" fontId="34" fillId="0" borderId="0" applyNumberFormat="0" applyFill="0" applyBorder="0" applyAlignment="0" applyProtection="0"/>
    <xf numFmtId="0" fontId="75" fillId="0" borderId="0" applyNumberFormat="0" applyFont="0" applyFill="0" applyBorder="0" applyProtection="0">
      <alignment wrapText="1"/>
    </xf>
    <xf numFmtId="0" fontId="101" fillId="0" borderId="0" applyNumberFormat="0" applyFill="0" applyBorder="0" applyAlignment="0" applyProtection="0"/>
    <xf numFmtId="43" fontId="101" fillId="0" borderId="0" applyFont="0" applyFill="0" applyBorder="0" applyAlignment="0" applyProtection="0"/>
    <xf numFmtId="44" fontId="101" fillId="0" borderId="0" applyFont="0" applyFill="0" applyBorder="0" applyAlignment="0" applyProtection="0"/>
    <xf numFmtId="167" fontId="101" fillId="0" borderId="0">
      <protection locked="0"/>
    </xf>
    <xf numFmtId="168" fontId="101" fillId="0" borderId="0">
      <protection locked="0"/>
    </xf>
    <xf numFmtId="168" fontId="101" fillId="0" borderId="0">
      <protection locked="0"/>
    </xf>
    <xf numFmtId="171" fontId="101" fillId="0" borderId="0"/>
    <xf numFmtId="9" fontId="101" fillId="0" borderId="0" applyFont="0" applyFill="0" applyBorder="0" applyAlignment="0" applyProtection="0"/>
    <xf numFmtId="10" fontId="101" fillId="0" borderId="0" applyFont="0" applyFill="0" applyBorder="0" applyAlignment="0" applyProtection="0"/>
    <xf numFmtId="0" fontId="101" fillId="0" borderId="0"/>
    <xf numFmtId="172" fontId="101" fillId="0" borderId="0">
      <alignment wrapText="1"/>
    </xf>
    <xf numFmtId="173" fontId="101" fillId="0" borderId="0">
      <alignment wrapText="1"/>
    </xf>
    <xf numFmtId="168" fontId="101" fillId="0" borderId="22">
      <protection locked="0"/>
    </xf>
  </cellStyleXfs>
  <cellXfs count="1262">
    <xf numFmtId="0" fontId="0" fillId="0" borderId="0" xfId="0"/>
    <xf numFmtId="0" fontId="36" fillId="0" borderId="23" xfId="0" applyFont="1" applyBorder="1" applyAlignment="1">
      <alignment horizontal="center"/>
    </xf>
    <xf numFmtId="0" fontId="3" fillId="0" borderId="0" xfId="0" applyFont="1" applyAlignment="1">
      <alignment horizontal="center"/>
    </xf>
    <xf numFmtId="0" fontId="3" fillId="21" borderId="0" xfId="0" applyFont="1" applyFill="1" applyAlignment="1">
      <alignment horizontal="center"/>
    </xf>
    <xf numFmtId="0" fontId="20" fillId="0" borderId="0" xfId="246" applyNumberFormat="1" applyFont="1" applyProtection="1">
      <protection locked="0"/>
    </xf>
    <xf numFmtId="0" fontId="35" fillId="0" borderId="0" xfId="246" applyNumberFormat="1" applyFont="1" applyAlignment="1" applyProtection="1">
      <protection locked="0"/>
    </xf>
    <xf numFmtId="0" fontId="35" fillId="0" borderId="0" xfId="0" applyFont="1" applyAlignment="1"/>
    <xf numFmtId="170" fontId="35" fillId="0" borderId="0" xfId="246" applyFont="1" applyAlignment="1"/>
    <xf numFmtId="0" fontId="35" fillId="0" borderId="0" xfId="246" applyNumberFormat="1" applyFont="1" applyProtection="1">
      <protection locked="0"/>
    </xf>
    <xf numFmtId="0" fontId="36" fillId="0" borderId="0" xfId="246" applyNumberFormat="1" applyFont="1" applyAlignment="1" applyProtection="1">
      <protection locked="0"/>
    </xf>
    <xf numFmtId="3" fontId="36" fillId="0" borderId="0" xfId="246" applyNumberFormat="1" applyFont="1" applyAlignment="1" applyProtection="1">
      <protection locked="0"/>
    </xf>
    <xf numFmtId="0" fontId="36" fillId="0" borderId="0" xfId="0" applyFont="1" applyAlignment="1"/>
    <xf numFmtId="3" fontId="35" fillId="0" borderId="0" xfId="246" applyNumberFormat="1" applyFont="1" applyAlignment="1" applyProtection="1">
      <protection locked="0"/>
    </xf>
    <xf numFmtId="49" fontId="35" fillId="0" borderId="0" xfId="246" applyNumberFormat="1" applyFont="1" applyAlignment="1" applyProtection="1">
      <alignment horizontal="center"/>
      <protection locked="0"/>
    </xf>
    <xf numFmtId="0" fontId="37" fillId="0" borderId="0" xfId="246" applyNumberFormat="1" applyFont="1" applyProtection="1">
      <protection locked="0"/>
    </xf>
    <xf numFmtId="49" fontId="35" fillId="0" borderId="0" xfId="246" applyNumberFormat="1" applyFont="1" applyProtection="1">
      <protection locked="0"/>
    </xf>
    <xf numFmtId="0" fontId="38" fillId="0" borderId="0" xfId="246" applyNumberFormat="1" applyFont="1" applyAlignment="1" applyProtection="1">
      <alignment horizontal="center"/>
      <protection locked="0"/>
    </xf>
    <xf numFmtId="0" fontId="35" fillId="0" borderId="0" xfId="246" applyNumberFormat="1" applyFont="1" applyAlignment="1" applyProtection="1">
      <alignment horizontal="center"/>
      <protection locked="0"/>
    </xf>
    <xf numFmtId="3" fontId="35" fillId="0" borderId="0" xfId="246" applyNumberFormat="1" applyFont="1" applyFill="1" applyBorder="1" applyAlignment="1" applyProtection="1">
      <alignment horizontal="center"/>
      <protection locked="0"/>
    </xf>
    <xf numFmtId="0" fontId="35" fillId="0" borderId="0" xfId="246" applyNumberFormat="1" applyFont="1" applyFill="1" applyBorder="1" applyAlignment="1" applyProtection="1">
      <protection locked="0"/>
    </xf>
    <xf numFmtId="3" fontId="35" fillId="0" borderId="0" xfId="246" applyNumberFormat="1" applyFont="1" applyFill="1" applyAlignment="1" applyProtection="1">
      <protection locked="0"/>
    </xf>
    <xf numFmtId="41" fontId="35" fillId="0" borderId="0" xfId="246" applyNumberFormat="1" applyFont="1" applyFill="1" applyAlignment="1" applyProtection="1">
      <protection locked="0"/>
    </xf>
    <xf numFmtId="175" fontId="35" fillId="0" borderId="0" xfId="246" applyNumberFormat="1" applyFont="1" applyFill="1" applyAlignment="1" applyProtection="1">
      <protection locked="0"/>
    </xf>
    <xf numFmtId="0" fontId="35" fillId="0" borderId="0" xfId="246" applyNumberFormat="1" applyFont="1" applyFill="1" applyBorder="1" applyAlignment="1" applyProtection="1">
      <alignment vertical="center"/>
      <protection locked="0"/>
    </xf>
    <xf numFmtId="41" fontId="35" fillId="0" borderId="0" xfId="246" applyNumberFormat="1" applyFont="1" applyFill="1" applyAlignment="1" applyProtection="1">
      <alignment vertical="center"/>
      <protection locked="0"/>
    </xf>
    <xf numFmtId="0" fontId="35" fillId="0" borderId="0" xfId="246" applyNumberFormat="1" applyFont="1" applyFill="1" applyAlignment="1" applyProtection="1">
      <protection locked="0"/>
    </xf>
    <xf numFmtId="41" fontId="35" fillId="0" borderId="0" xfId="246" applyNumberFormat="1" applyFont="1" applyAlignment="1" applyProtection="1">
      <protection locked="0"/>
    </xf>
    <xf numFmtId="170" fontId="35" fillId="0" borderId="0" xfId="246" applyFont="1" applyAlignment="1" applyProtection="1">
      <protection locked="0"/>
    </xf>
    <xf numFmtId="176" fontId="35" fillId="0" borderId="0" xfId="246" applyNumberFormat="1" applyFont="1" applyAlignment="1" applyProtection="1">
      <alignment horizontal="center"/>
      <protection locked="0"/>
    </xf>
    <xf numFmtId="0" fontId="35" fillId="0" borderId="0" xfId="246" applyNumberFormat="1" applyFont="1" applyBorder="1" applyAlignment="1" applyProtection="1">
      <protection locked="0"/>
    </xf>
    <xf numFmtId="175" fontId="35" fillId="0" borderId="0" xfId="246" applyNumberFormat="1" applyFont="1" applyAlignment="1" applyProtection="1">
      <protection locked="0"/>
    </xf>
    <xf numFmtId="41" fontId="35" fillId="0" borderId="0" xfId="246" applyNumberFormat="1" applyFont="1" applyFill="1" applyBorder="1" applyAlignment="1" applyProtection="1">
      <protection locked="0"/>
    </xf>
    <xf numFmtId="170" fontId="35" fillId="0" borderId="0" xfId="246" applyFont="1" applyBorder="1" applyAlignment="1" applyProtection="1">
      <protection locked="0"/>
    </xf>
    <xf numFmtId="170" fontId="35" fillId="0" borderId="0" xfId="246" applyFont="1" applyFill="1" applyAlignment="1" applyProtection="1">
      <protection locked="0"/>
    </xf>
    <xf numFmtId="170" fontId="35" fillId="0" borderId="0" xfId="246" applyFont="1" applyFill="1" applyBorder="1" applyAlignment="1" applyProtection="1">
      <protection locked="0"/>
    </xf>
    <xf numFmtId="41" fontId="35" fillId="0" borderId="0" xfId="246" applyNumberFormat="1" applyFont="1" applyFill="1" applyBorder="1" applyAlignment="1" applyProtection="1">
      <alignment vertical="top"/>
      <protection locked="0"/>
    </xf>
    <xf numFmtId="41" fontId="35" fillId="0" borderId="0" xfId="246" applyNumberFormat="1" applyFont="1" applyBorder="1" applyAlignment="1" applyProtection="1">
      <protection locked="0"/>
    </xf>
    <xf numFmtId="0" fontId="35" fillId="0" borderId="0" xfId="246" applyNumberFormat="1" applyFont="1" applyFill="1" applyProtection="1">
      <protection locked="0"/>
    </xf>
    <xf numFmtId="41" fontId="35" fillId="0" borderId="24" xfId="246" applyNumberFormat="1" applyFont="1" applyBorder="1" applyAlignment="1" applyProtection="1">
      <protection locked="0"/>
    </xf>
    <xf numFmtId="176" fontId="35" fillId="0" borderId="0" xfId="246" applyNumberFormat="1" applyFont="1" applyFill="1" applyBorder="1" applyAlignment="1" applyProtection="1">
      <alignment horizontal="left"/>
      <protection locked="0"/>
    </xf>
    <xf numFmtId="41" fontId="35" fillId="0" borderId="0" xfId="246" applyNumberFormat="1" applyFont="1" applyAlignment="1" applyProtection="1">
      <alignment horizontal="center"/>
      <protection locked="0"/>
    </xf>
    <xf numFmtId="0" fontId="36" fillId="0" borderId="0" xfId="246" applyNumberFormat="1" applyFont="1" applyAlignment="1" applyProtection="1">
      <alignment horizontal="center"/>
      <protection locked="0"/>
    </xf>
    <xf numFmtId="3" fontId="36" fillId="0" borderId="0" xfId="246" applyNumberFormat="1" applyFont="1" applyAlignment="1" applyProtection="1">
      <alignment horizontal="center"/>
      <protection locked="0"/>
    </xf>
    <xf numFmtId="177" fontId="35" fillId="0" borderId="0" xfId="42" applyNumberFormat="1" applyFont="1" applyAlignment="1" applyProtection="1">
      <protection locked="0"/>
    </xf>
    <xf numFmtId="178" fontId="35" fillId="0" borderId="0" xfId="42" applyNumberFormat="1" applyFont="1" applyFill="1" applyAlignment="1" applyProtection="1">
      <protection locked="0"/>
    </xf>
    <xf numFmtId="0" fontId="35" fillId="0" borderId="0" xfId="246" applyNumberFormat="1" applyFont="1" applyFill="1" applyAlignment="1" applyProtection="1">
      <alignment vertical="top" wrapText="1"/>
      <protection locked="0"/>
    </xf>
    <xf numFmtId="41" fontId="35" fillId="0" borderId="0" xfId="246" applyNumberFormat="1" applyFont="1" applyFill="1" applyAlignment="1" applyProtection="1">
      <alignment vertical="top" wrapText="1"/>
      <protection locked="0"/>
    </xf>
    <xf numFmtId="41" fontId="36" fillId="0" borderId="0" xfId="246" applyNumberFormat="1" applyFont="1" applyAlignment="1" applyProtection="1">
      <protection locked="0"/>
    </xf>
    <xf numFmtId="3" fontId="35" fillId="0" borderId="0" xfId="246" applyNumberFormat="1" applyFont="1" applyFill="1" applyAlignment="1" applyProtection="1">
      <alignment horizontal="center"/>
      <protection locked="0"/>
    </xf>
    <xf numFmtId="0" fontId="35" fillId="0" borderId="0" xfId="246" applyNumberFormat="1" applyFont="1" applyBorder="1" applyAlignment="1" applyProtection="1">
      <alignment vertical="center"/>
      <protection locked="0"/>
    </xf>
    <xf numFmtId="174" fontId="35" fillId="0" borderId="0" xfId="246" applyNumberFormat="1" applyFont="1" applyAlignment="1" applyProtection="1">
      <protection locked="0"/>
    </xf>
    <xf numFmtId="176" fontId="35" fillId="0" borderId="0" xfId="246" applyNumberFormat="1" applyFont="1" applyBorder="1" applyAlignment="1" applyProtection="1">
      <alignment horizontal="left"/>
      <protection locked="0"/>
    </xf>
    <xf numFmtId="174" fontId="35" fillId="0" borderId="0" xfId="246" applyNumberFormat="1" applyFont="1" applyAlignment="1" applyProtection="1">
      <alignment horizontal="center"/>
      <protection locked="0"/>
    </xf>
    <xf numFmtId="179" fontId="35" fillId="0" borderId="0" xfId="246" applyNumberFormat="1" applyFont="1" applyFill="1" applyAlignment="1" applyProtection="1">
      <alignment horizontal="right"/>
      <protection locked="0"/>
    </xf>
    <xf numFmtId="41" fontId="35" fillId="0" borderId="0" xfId="246" applyNumberFormat="1" applyFont="1" applyFill="1" applyAlignment="1" applyProtection="1">
      <alignment horizontal="right"/>
      <protection locked="0"/>
    </xf>
    <xf numFmtId="180" fontId="35" fillId="0" borderId="0" xfId="246" applyNumberFormat="1" applyFont="1" applyAlignment="1" applyProtection="1">
      <protection locked="0"/>
    </xf>
    <xf numFmtId="3" fontId="35" fillId="0" borderId="0" xfId="246" applyNumberFormat="1" applyFont="1" applyAlignment="1" applyProtection="1">
      <alignment horizontal="right"/>
      <protection locked="0"/>
    </xf>
    <xf numFmtId="0" fontId="35" fillId="0" borderId="0" xfId="0" applyFont="1" applyAlignment="1">
      <alignment horizontal="left"/>
    </xf>
    <xf numFmtId="3" fontId="35" fillId="0" borderId="0" xfId="246" applyNumberFormat="1" applyFont="1" applyFill="1" applyBorder="1" applyAlignment="1" applyProtection="1">
      <protection locked="0"/>
    </xf>
    <xf numFmtId="170" fontId="35" fillId="0" borderId="0" xfId="246" applyFont="1" applyFill="1" applyBorder="1" applyAlignment="1" applyProtection="1">
      <alignment horizontal="center"/>
      <protection locked="0"/>
    </xf>
    <xf numFmtId="49" fontId="35" fillId="0" borderId="0" xfId="246" applyNumberFormat="1" applyFont="1" applyFill="1" applyBorder="1" applyAlignment="1" applyProtection="1">
      <protection locked="0"/>
    </xf>
    <xf numFmtId="0" fontId="36" fillId="0" borderId="0" xfId="246" applyNumberFormat="1" applyFont="1" applyFill="1" applyAlignment="1" applyProtection="1">
      <protection locked="0"/>
    </xf>
    <xf numFmtId="41" fontId="35" fillId="0" borderId="23" xfId="246" applyNumberFormat="1" applyFont="1" applyFill="1" applyBorder="1" applyAlignment="1" applyProtection="1">
      <protection locked="0"/>
    </xf>
    <xf numFmtId="170" fontId="36" fillId="0" borderId="0" xfId="246" applyFont="1" applyAlignment="1">
      <alignment horizontal="right"/>
    </xf>
    <xf numFmtId="3" fontId="35" fillId="0" borderId="0" xfId="246" applyNumberFormat="1" applyFont="1" applyAlignment="1" applyProtection="1">
      <alignment horizontal="center"/>
      <protection locked="0"/>
    </xf>
    <xf numFmtId="181" fontId="35" fillId="0" borderId="0" xfId="246" applyNumberFormat="1" applyFont="1" applyFill="1" applyAlignment="1" applyProtection="1">
      <protection locked="0"/>
    </xf>
    <xf numFmtId="3" fontId="36" fillId="0" borderId="0" xfId="246" applyNumberFormat="1" applyFont="1" applyFill="1" applyAlignment="1" applyProtection="1">
      <alignment horizontal="right"/>
      <protection locked="0"/>
    </xf>
    <xf numFmtId="181" fontId="36" fillId="0" borderId="0" xfId="246" applyNumberFormat="1" applyFont="1" applyFill="1" applyAlignment="1" applyProtection="1">
      <protection locked="0"/>
    </xf>
    <xf numFmtId="170" fontId="36" fillId="0" borderId="0" xfId="246" applyNumberFormat="1" applyFont="1" applyAlignment="1" applyProtection="1">
      <protection locked="0"/>
    </xf>
    <xf numFmtId="170" fontId="36" fillId="0" borderId="0" xfId="246" applyFont="1" applyAlignment="1"/>
    <xf numFmtId="182" fontId="35" fillId="0" borderId="0" xfId="246" applyNumberFormat="1" applyFont="1" applyProtection="1">
      <protection locked="0"/>
    </xf>
    <xf numFmtId="10" fontId="35" fillId="0" borderId="0" xfId="246" applyNumberFormat="1" applyFont="1" applyFill="1" applyProtection="1">
      <protection locked="0"/>
    </xf>
    <xf numFmtId="0" fontId="35" fillId="0" borderId="0" xfId="0" applyFont="1"/>
    <xf numFmtId="170" fontId="36" fillId="0" borderId="0" xfId="246" applyFont="1" applyAlignment="1" applyProtection="1">
      <protection locked="0"/>
    </xf>
    <xf numFmtId="0" fontId="35" fillId="0" borderId="0" xfId="0" applyFont="1" applyAlignment="1">
      <alignment horizontal="center"/>
    </xf>
    <xf numFmtId="0" fontId="35" fillId="0" borderId="0" xfId="246" applyNumberFormat="1" applyFont="1" applyFill="1" applyAlignment="1" applyProtection="1">
      <alignment horizontal="center"/>
      <protection locked="0"/>
    </xf>
    <xf numFmtId="170" fontId="35" fillId="0" borderId="0" xfId="246" applyFont="1" applyAlignment="1" applyProtection="1">
      <alignment horizontal="center"/>
      <protection locked="0"/>
    </xf>
    <xf numFmtId="170" fontId="35" fillId="0" borderId="0" xfId="246" applyFont="1" applyAlignment="1">
      <alignment horizontal="center"/>
    </xf>
    <xf numFmtId="0" fontId="1" fillId="0" borderId="0" xfId="0" applyFont="1"/>
    <xf numFmtId="0" fontId="1" fillId="0" borderId="0" xfId="0" applyFont="1" applyAlignment="1">
      <alignment horizontal="center"/>
    </xf>
    <xf numFmtId="41" fontId="35" fillId="0" borderId="23" xfId="246" applyNumberFormat="1" applyFont="1" applyFill="1" applyBorder="1" applyAlignment="1" applyProtection="1">
      <alignment vertical="center"/>
      <protection locked="0"/>
    </xf>
    <xf numFmtId="10" fontId="35" fillId="0" borderId="0" xfId="260" applyNumberFormat="1" applyFont="1" applyFill="1" applyAlignment="1" applyProtection="1">
      <protection locked="0"/>
    </xf>
    <xf numFmtId="10" fontId="35" fillId="0" borderId="0" xfId="260" applyNumberFormat="1" applyFont="1" applyAlignment="1" applyProtection="1">
      <alignment horizontal="center"/>
      <protection locked="0"/>
    </xf>
    <xf numFmtId="3" fontId="35" fillId="0" borderId="23" xfId="246" applyNumberFormat="1" applyFont="1" applyFill="1" applyBorder="1" applyAlignment="1" applyProtection="1">
      <protection locked="0"/>
    </xf>
    <xf numFmtId="41" fontId="35" fillId="0" borderId="23" xfId="246" applyNumberFormat="1" applyFont="1" applyBorder="1" applyAlignment="1" applyProtection="1">
      <protection locked="0"/>
    </xf>
    <xf numFmtId="0" fontId="36" fillId="0" borderId="23" xfId="246" applyNumberFormat="1" applyFont="1" applyBorder="1" applyAlignment="1" applyProtection="1">
      <alignment horizontal="center"/>
      <protection locked="0"/>
    </xf>
    <xf numFmtId="10" fontId="35" fillId="0" borderId="0" xfId="260" applyNumberFormat="1" applyFont="1" applyFill="1" applyAlignment="1" applyProtection="1">
      <alignment horizontal="center"/>
      <protection locked="0"/>
    </xf>
    <xf numFmtId="3" fontId="35" fillId="0" borderId="0" xfId="246" applyNumberFormat="1" applyFont="1" applyFill="1" applyAlignment="1" applyProtection="1">
      <alignment horizontal="center" vertical="center"/>
      <protection locked="0"/>
    </xf>
    <xf numFmtId="10" fontId="35" fillId="0" borderId="0" xfId="260" applyNumberFormat="1" applyFont="1" applyFill="1" applyAlignment="1" applyProtection="1">
      <alignment horizontal="center" vertical="center"/>
      <protection locked="0"/>
    </xf>
    <xf numFmtId="10" fontId="36" fillId="0" borderId="0" xfId="260" applyNumberFormat="1" applyFont="1" applyFill="1" applyAlignment="1" applyProtection="1">
      <alignment horizontal="center"/>
      <protection locked="0"/>
    </xf>
    <xf numFmtId="3" fontId="35" fillId="0" borderId="0" xfId="246" applyNumberFormat="1" applyFont="1" applyAlignment="1" applyProtection="1">
      <alignment horizontal="center" vertical="top"/>
      <protection locked="0"/>
    </xf>
    <xf numFmtId="3" fontId="35" fillId="0" borderId="0" xfId="246" applyNumberFormat="1" applyFont="1" applyFill="1" applyAlignment="1" applyProtection="1">
      <alignment horizontal="center" vertical="top" wrapText="1"/>
      <protection locked="0"/>
    </xf>
    <xf numFmtId="9" fontId="35" fillId="0" borderId="0" xfId="260" applyFont="1" applyAlignment="1">
      <alignment horizontal="center"/>
    </xf>
    <xf numFmtId="184" fontId="35" fillId="0" borderId="0" xfId="0" applyNumberFormat="1" applyFont="1"/>
    <xf numFmtId="10" fontId="36" fillId="0" borderId="0" xfId="260" applyNumberFormat="1" applyFont="1" applyFill="1" applyBorder="1" applyAlignment="1" applyProtection="1">
      <alignment horizontal="right"/>
      <protection locked="0"/>
    </xf>
    <xf numFmtId="3" fontId="36" fillId="0" borderId="0" xfId="246" applyNumberFormat="1" applyFont="1" applyFill="1" applyBorder="1" applyAlignment="1" applyProtection="1">
      <alignment horizontal="right"/>
      <protection locked="0"/>
    </xf>
    <xf numFmtId="10" fontId="36" fillId="0" borderId="0" xfId="260" applyNumberFormat="1" applyFont="1" applyAlignment="1"/>
    <xf numFmtId="0" fontId="37" fillId="0" borderId="0" xfId="0" applyFont="1"/>
    <xf numFmtId="0" fontId="36" fillId="0" borderId="0" xfId="0" applyFont="1"/>
    <xf numFmtId="0" fontId="39" fillId="0" borderId="0" xfId="0" applyFont="1"/>
    <xf numFmtId="185" fontId="1" fillId="0" borderId="22" xfId="86" applyNumberFormat="1" applyFont="1" applyBorder="1"/>
    <xf numFmtId="0" fontId="35" fillId="0" borderId="0" xfId="246" applyNumberFormat="1" applyFont="1" applyBorder="1" applyAlignment="1" applyProtection="1">
      <alignment horizontal="left"/>
      <protection locked="0"/>
    </xf>
    <xf numFmtId="0" fontId="37" fillId="0" borderId="0" xfId="246" applyNumberFormat="1" applyFont="1" applyFill="1" applyAlignment="1" applyProtection="1">
      <protection locked="0"/>
    </xf>
    <xf numFmtId="0" fontId="37" fillId="0" borderId="0" xfId="246" applyNumberFormat="1" applyFont="1" applyFill="1" applyAlignment="1" applyProtection="1">
      <alignment horizontal="center"/>
      <protection locked="0"/>
    </xf>
    <xf numFmtId="0" fontId="0" fillId="0" borderId="0" xfId="0" applyAlignment="1">
      <alignment horizontal="left" indent="1"/>
    </xf>
    <xf numFmtId="0" fontId="0" fillId="0" borderId="0" xfId="0" applyAlignment="1">
      <alignment horizontal="center"/>
    </xf>
    <xf numFmtId="37" fontId="0" fillId="0" borderId="0" xfId="0" applyNumberFormat="1" applyAlignment="1">
      <alignment horizontal="right"/>
    </xf>
    <xf numFmtId="37" fontId="0" fillId="0" borderId="0" xfId="0" applyNumberFormat="1"/>
    <xf numFmtId="5" fontId="0" fillId="0" borderId="0" xfId="0" applyNumberFormat="1" applyFill="1"/>
    <xf numFmtId="0" fontId="0" fillId="0" borderId="0" xfId="0" applyFill="1"/>
    <xf numFmtId="0" fontId="0" fillId="0" borderId="0" xfId="0" applyFill="1" applyAlignment="1">
      <alignment horizontal="center"/>
    </xf>
    <xf numFmtId="5" fontId="0" fillId="0" borderId="23" xfId="0" applyNumberFormat="1" applyFill="1" applyBorder="1"/>
    <xf numFmtId="5" fontId="0" fillId="0" borderId="0" xfId="0" applyNumberFormat="1"/>
    <xf numFmtId="0" fontId="40" fillId="0" borderId="0" xfId="0" applyFont="1"/>
    <xf numFmtId="37" fontId="0" fillId="0" borderId="0" xfId="0" applyNumberFormat="1" applyFill="1"/>
    <xf numFmtId="0" fontId="0" fillId="0" borderId="0" xfId="0" applyFill="1" applyBorder="1" applyAlignment="1">
      <alignment horizontal="center"/>
    </xf>
    <xf numFmtId="37" fontId="0" fillId="0" borderId="0" xfId="0" applyNumberFormat="1" applyBorder="1"/>
    <xf numFmtId="10" fontId="0" fillId="0" borderId="0" xfId="0" applyNumberFormat="1"/>
    <xf numFmtId="0" fontId="0" fillId="0" borderId="0" xfId="0" applyFill="1" applyAlignment="1">
      <alignment horizontal="left" indent="1"/>
    </xf>
    <xf numFmtId="0" fontId="35" fillId="0" borderId="0" xfId="0" applyNumberFormat="1" applyFont="1" applyAlignment="1">
      <alignment horizontal="center"/>
    </xf>
    <xf numFmtId="0" fontId="35" fillId="0" borderId="0" xfId="0" applyFont="1" applyAlignment="1">
      <alignment horizontal="left" indent="1"/>
    </xf>
    <xf numFmtId="0" fontId="0" fillId="0" borderId="0" xfId="0" applyAlignment="1">
      <alignment horizontal="left"/>
    </xf>
    <xf numFmtId="37" fontId="36" fillId="0" borderId="23" xfId="0" applyNumberFormat="1" applyFont="1" applyBorder="1" applyAlignment="1">
      <alignment horizontal="center"/>
    </xf>
    <xf numFmtId="0" fontId="35" fillId="0" borderId="0" xfId="246" applyNumberFormat="1" applyFont="1" applyFill="1" applyAlignment="1" applyProtection="1">
      <alignment horizontal="left"/>
      <protection locked="0"/>
    </xf>
    <xf numFmtId="41" fontId="37" fillId="0" borderId="0" xfId="0" applyNumberFormat="1" applyFont="1"/>
    <xf numFmtId="10" fontId="35" fillId="0" borderId="25" xfId="260" applyNumberFormat="1" applyFont="1" applyBorder="1" applyAlignment="1"/>
    <xf numFmtId="181" fontId="35" fillId="0" borderId="23" xfId="246" applyNumberFormat="1" applyFont="1" applyFill="1" applyBorder="1" applyAlignment="1" applyProtection="1">
      <protection locked="0"/>
    </xf>
    <xf numFmtId="0" fontId="35" fillId="0" borderId="23" xfId="246" applyNumberFormat="1" applyFont="1" applyBorder="1" applyAlignment="1" applyProtection="1">
      <alignment horizontal="center"/>
      <protection locked="0"/>
    </xf>
    <xf numFmtId="3" fontId="35" fillId="0" borderId="23" xfId="246" applyNumberFormat="1" applyFont="1" applyBorder="1" applyAlignment="1" applyProtection="1">
      <alignment horizontal="center"/>
      <protection locked="0"/>
    </xf>
    <xf numFmtId="10" fontId="35" fillId="0" borderId="0" xfId="249" applyNumberFormat="1" applyFont="1" applyFill="1" applyAlignment="1">
      <alignment horizontal="right"/>
    </xf>
    <xf numFmtId="10" fontId="35" fillId="0" borderId="0" xfId="246" applyNumberFormat="1" applyFont="1" applyFill="1" applyAlignment="1" applyProtection="1">
      <alignment horizontal="right"/>
      <protection locked="0"/>
    </xf>
    <xf numFmtId="0" fontId="36" fillId="0" borderId="0" xfId="0" applyFont="1" applyAlignment="1">
      <alignment horizontal="left"/>
    </xf>
    <xf numFmtId="184" fontId="1" fillId="0" borderId="26" xfId="42" applyNumberFormat="1" applyBorder="1"/>
    <xf numFmtId="0" fontId="36" fillId="0" borderId="0" xfId="0" applyFont="1" applyAlignment="1">
      <alignment horizontal="right"/>
    </xf>
    <xf numFmtId="184" fontId="1" fillId="0" borderId="0" xfId="42" applyNumberFormat="1"/>
    <xf numFmtId="184" fontId="0" fillId="0" borderId="0" xfId="0" applyNumberFormat="1"/>
    <xf numFmtId="0" fontId="49" fillId="0" borderId="0" xfId="0" applyFont="1"/>
    <xf numFmtId="184" fontId="1" fillId="21" borderId="12" xfId="42" applyNumberFormat="1" applyFill="1" applyBorder="1"/>
    <xf numFmtId="184" fontId="1" fillId="21" borderId="27" xfId="42" applyNumberFormat="1" applyFill="1" applyBorder="1"/>
    <xf numFmtId="184" fontId="1" fillId="0" borderId="0" xfId="42" applyNumberFormat="1" applyFill="1" applyBorder="1"/>
    <xf numFmtId="0" fontId="0" fillId="0" borderId="0" xfId="0" applyAlignment="1">
      <alignment horizontal="center" wrapText="1"/>
    </xf>
    <xf numFmtId="183" fontId="1" fillId="21" borderId="27" xfId="42" applyNumberFormat="1" applyFill="1" applyBorder="1"/>
    <xf numFmtId="184" fontId="1" fillId="0" borderId="26" xfId="42" applyNumberFormat="1" applyFill="1" applyBorder="1"/>
    <xf numFmtId="0" fontId="0" fillId="0" borderId="0" xfId="0" applyFill="1" applyBorder="1"/>
    <xf numFmtId="43" fontId="1" fillId="21" borderId="27" xfId="42" applyFill="1" applyBorder="1"/>
    <xf numFmtId="0" fontId="36" fillId="0" borderId="0" xfId="0" applyFont="1" applyAlignment="1">
      <alignment horizontal="left" indent="1"/>
    </xf>
    <xf numFmtId="184" fontId="1" fillId="0" borderId="0" xfId="42" applyNumberFormat="1" applyFill="1"/>
    <xf numFmtId="184" fontId="1" fillId="21" borderId="28" xfId="42" applyNumberFormat="1" applyFill="1" applyBorder="1"/>
    <xf numFmtId="0" fontId="36" fillId="0" borderId="23" xfId="0" applyFont="1" applyBorder="1" applyAlignment="1">
      <alignment horizontal="center" wrapText="1"/>
    </xf>
    <xf numFmtId="184" fontId="0" fillId="21" borderId="26" xfId="0" applyNumberFormat="1" applyFill="1" applyBorder="1"/>
    <xf numFmtId="0" fontId="0" fillId="0" borderId="0" xfId="0" applyAlignment="1">
      <alignment horizontal="right"/>
    </xf>
    <xf numFmtId="189" fontId="51" fillId="0" borderId="0" xfId="243" applyNumberFormat="1" applyFont="1" applyFill="1" applyAlignment="1" applyProtection="1">
      <alignment horizontal="left"/>
    </xf>
    <xf numFmtId="38" fontId="35" fillId="0" borderId="0" xfId="250" applyFont="1"/>
    <xf numFmtId="37" fontId="35" fillId="0" borderId="0" xfId="240" applyNumberFormat="1" applyFont="1"/>
    <xf numFmtId="37" fontId="35" fillId="0" borderId="0" xfId="240" applyNumberFormat="1" applyFont="1" applyFill="1"/>
    <xf numFmtId="37" fontId="35" fillId="0" borderId="0" xfId="250" applyNumberFormat="1" applyFont="1"/>
    <xf numFmtId="189" fontId="51" fillId="0" borderId="0" xfId="243" applyNumberFormat="1" applyFont="1" applyAlignment="1" applyProtection="1">
      <alignment horizontal="left"/>
    </xf>
    <xf numFmtId="189" fontId="51" fillId="0" borderId="0" xfId="242" applyNumberFormat="1" applyFont="1" applyAlignment="1" applyProtection="1">
      <alignment horizontal="left"/>
    </xf>
    <xf numFmtId="37" fontId="36" fillId="0" borderId="0" xfId="240" quotePrefix="1" applyNumberFormat="1" applyFont="1" applyAlignment="1">
      <alignment horizontal="center"/>
    </xf>
    <xf numFmtId="37" fontId="36" fillId="0" borderId="0" xfId="240" applyNumberFormat="1" applyFont="1" applyFill="1" applyAlignment="1">
      <alignment horizontal="center"/>
    </xf>
    <xf numFmtId="37" fontId="36" fillId="0" borderId="0" xfId="250" applyNumberFormat="1" applyFont="1" applyAlignment="1">
      <alignment horizontal="center"/>
    </xf>
    <xf numFmtId="37" fontId="36" fillId="0" borderId="0" xfId="250" quotePrefix="1" applyNumberFormat="1" applyFont="1" applyAlignment="1">
      <alignment horizontal="center"/>
    </xf>
    <xf numFmtId="37" fontId="36" fillId="0" borderId="0" xfId="240" quotePrefix="1" applyNumberFormat="1" applyFont="1" applyFill="1" applyAlignment="1">
      <alignment horizontal="center"/>
    </xf>
    <xf numFmtId="38" fontId="36" fillId="0" borderId="0" xfId="250" applyFont="1" applyAlignment="1">
      <alignment horizontal="center"/>
    </xf>
    <xf numFmtId="189" fontId="51" fillId="0" borderId="0" xfId="242" applyNumberFormat="1" applyFont="1" applyAlignment="1" applyProtection="1">
      <alignment horizontal="center"/>
    </xf>
    <xf numFmtId="38" fontId="35" fillId="0" borderId="0" xfId="250" applyFont="1" applyAlignment="1">
      <alignment horizontal="center"/>
    </xf>
    <xf numFmtId="38" fontId="38" fillId="0" borderId="0" xfId="250" applyFont="1"/>
    <xf numFmtId="0" fontId="0" fillId="0" borderId="0" xfId="0" applyBorder="1"/>
    <xf numFmtId="184" fontId="35" fillId="0" borderId="0" xfId="42" applyNumberFormat="1" applyFont="1" applyFill="1"/>
    <xf numFmtId="184" fontId="35" fillId="0" borderId="0" xfId="42" applyNumberFormat="1" applyFont="1" applyFill="1" applyBorder="1"/>
    <xf numFmtId="184" fontId="35" fillId="0" borderId="23" xfId="42" applyNumberFormat="1" applyFont="1" applyFill="1" applyBorder="1"/>
    <xf numFmtId="189" fontId="51" fillId="0" borderId="23" xfId="242" applyNumberFormat="1" applyFont="1" applyBorder="1" applyAlignment="1" applyProtection="1">
      <alignment horizontal="center"/>
    </xf>
    <xf numFmtId="38" fontId="36" fillId="0" borderId="23" xfId="250" applyFont="1" applyBorder="1" applyAlignment="1">
      <alignment horizontal="center"/>
    </xf>
    <xf numFmtId="37" fontId="36" fillId="0" borderId="23" xfId="250" applyNumberFormat="1" applyFont="1" applyBorder="1" applyAlignment="1">
      <alignment horizontal="center"/>
    </xf>
    <xf numFmtId="189" fontId="51" fillId="0" borderId="0" xfId="242" applyNumberFormat="1" applyFont="1" applyBorder="1" applyAlignment="1" applyProtection="1">
      <alignment horizontal="center"/>
    </xf>
    <xf numFmtId="38" fontId="36" fillId="0" borderId="0" xfId="250" applyFont="1" applyBorder="1" applyAlignment="1">
      <alignment horizontal="center"/>
    </xf>
    <xf numFmtId="0" fontId="36" fillId="0" borderId="0" xfId="0" applyFont="1" applyAlignment="1">
      <alignment horizontal="center"/>
    </xf>
    <xf numFmtId="0" fontId="36" fillId="0" borderId="0" xfId="0" applyFont="1" applyFill="1"/>
    <xf numFmtId="0" fontId="39" fillId="0" borderId="0" xfId="0" applyFont="1" applyFill="1"/>
    <xf numFmtId="0" fontId="36" fillId="0" borderId="0" xfId="0" applyFont="1" applyBorder="1"/>
    <xf numFmtId="184" fontId="1" fillId="0" borderId="23" xfId="42" applyNumberFormat="1" applyBorder="1"/>
    <xf numFmtId="0" fontId="0" fillId="0" borderId="0" xfId="0" applyFill="1" applyBorder="1" applyAlignment="1">
      <alignment horizontal="left" indent="1"/>
    </xf>
    <xf numFmtId="184" fontId="1" fillId="0" borderId="0" xfId="42" applyNumberFormat="1" applyBorder="1"/>
    <xf numFmtId="0" fontId="35" fillId="0" borderId="0" xfId="0" applyFont="1" applyBorder="1" applyAlignment="1">
      <alignment horizontal="left" indent="2"/>
    </xf>
    <xf numFmtId="0" fontId="0" fillId="0" borderId="0" xfId="0" applyAlignment="1">
      <alignment horizontal="left" indent="2"/>
    </xf>
    <xf numFmtId="184" fontId="0" fillId="0" borderId="23" xfId="0" applyNumberFormat="1" applyBorder="1"/>
    <xf numFmtId="184" fontId="0" fillId="0" borderId="26" xfId="0" applyNumberFormat="1" applyBorder="1"/>
    <xf numFmtId="10" fontId="1" fillId="0" borderId="0" xfId="260" applyNumberFormat="1" applyFill="1" applyBorder="1"/>
    <xf numFmtId="0" fontId="36" fillId="0" borderId="23" xfId="0" applyFont="1" applyFill="1" applyBorder="1" applyAlignment="1">
      <alignment horizontal="center" wrapText="1"/>
    </xf>
    <xf numFmtId="184" fontId="1" fillId="0" borderId="23" xfId="42" applyNumberFormat="1" applyFill="1" applyBorder="1"/>
    <xf numFmtId="0" fontId="0" fillId="0" borderId="0" xfId="0" applyFill="1" applyBorder="1" applyAlignment="1">
      <alignment horizontal="left"/>
    </xf>
    <xf numFmtId="0" fontId="36" fillId="0" borderId="0" xfId="0" applyFont="1" applyFill="1" applyBorder="1" applyAlignment="1">
      <alignment horizontal="right"/>
    </xf>
    <xf numFmtId="0" fontId="36" fillId="0" borderId="29" xfId="0" applyFont="1" applyBorder="1"/>
    <xf numFmtId="0" fontId="0" fillId="0" borderId="5" xfId="0" applyBorder="1"/>
    <xf numFmtId="0" fontId="0" fillId="0" borderId="5" xfId="0" applyFill="1" applyBorder="1"/>
    <xf numFmtId="0" fontId="0" fillId="0" borderId="30" xfId="0" applyBorder="1"/>
    <xf numFmtId="0" fontId="0" fillId="0" borderId="2" xfId="0" applyBorder="1"/>
    <xf numFmtId="0" fontId="36" fillId="0" borderId="0" xfId="0" applyFont="1" applyBorder="1" applyAlignment="1">
      <alignment horizontal="center"/>
    </xf>
    <xf numFmtId="0" fontId="0" fillId="0" borderId="18" xfId="0" applyBorder="1"/>
    <xf numFmtId="0" fontId="36" fillId="0" borderId="31" xfId="0" applyFont="1" applyBorder="1" applyAlignment="1">
      <alignment horizontal="center"/>
    </xf>
    <xf numFmtId="0" fontId="36" fillId="0" borderId="32" xfId="0" applyFont="1" applyFill="1" applyBorder="1" applyAlignment="1">
      <alignment horizontal="center" wrapText="1"/>
    </xf>
    <xf numFmtId="0" fontId="0" fillId="0" borderId="0" xfId="0" applyBorder="1" applyAlignment="1">
      <alignment horizontal="center"/>
    </xf>
    <xf numFmtId="0" fontId="0" fillId="0" borderId="2" xfId="0" applyBorder="1" applyAlignment="1">
      <alignment horizontal="center"/>
    </xf>
    <xf numFmtId="0" fontId="0" fillId="0" borderId="0" xfId="0" applyBorder="1" applyAlignment="1">
      <alignment horizontal="left" indent="1"/>
    </xf>
    <xf numFmtId="184" fontId="0" fillId="0" borderId="0" xfId="0" applyNumberFormat="1" applyBorder="1"/>
    <xf numFmtId="184" fontId="0" fillId="0" borderId="18" xfId="0" applyNumberFormat="1" applyBorder="1"/>
    <xf numFmtId="184" fontId="1" fillId="21" borderId="33" xfId="42" applyNumberFormat="1" applyFill="1" applyBorder="1"/>
    <xf numFmtId="184" fontId="0" fillId="0" borderId="32" xfId="0" applyNumberFormat="1" applyBorder="1"/>
    <xf numFmtId="0" fontId="0" fillId="0" borderId="0" xfId="0" applyBorder="1" applyAlignment="1">
      <alignment horizontal="left" indent="2"/>
    </xf>
    <xf numFmtId="43" fontId="0" fillId="0" borderId="0" xfId="0" applyNumberFormat="1" applyBorder="1"/>
    <xf numFmtId="0" fontId="0" fillId="0" borderId="2" xfId="0" applyFill="1" applyBorder="1" applyAlignment="1">
      <alignment horizontal="left" wrapText="1"/>
    </xf>
    <xf numFmtId="0" fontId="0" fillId="0" borderId="0" xfId="0" applyFill="1" applyBorder="1" applyAlignment="1">
      <alignment horizontal="left" wrapText="1"/>
    </xf>
    <xf numFmtId="0" fontId="0" fillId="0" borderId="2" xfId="0" applyFill="1" applyBorder="1" applyAlignment="1">
      <alignment horizontal="left"/>
    </xf>
    <xf numFmtId="0" fontId="1" fillId="0" borderId="2" xfId="0" applyFont="1" applyFill="1" applyBorder="1" applyAlignment="1">
      <alignment horizontal="left"/>
    </xf>
    <xf numFmtId="0" fontId="0" fillId="0" borderId="31" xfId="0" applyBorder="1"/>
    <xf numFmtId="0" fontId="0" fillId="0" borderId="23" xfId="0" applyBorder="1"/>
    <xf numFmtId="0" fontId="0" fillId="0" borderId="23" xfId="0" applyFill="1" applyBorder="1"/>
    <xf numFmtId="0" fontId="0" fillId="0" borderId="32" xfId="0" applyBorder="1"/>
    <xf numFmtId="185" fontId="1" fillId="21" borderId="12" xfId="86" applyNumberFormat="1" applyFill="1" applyBorder="1" applyAlignment="1">
      <alignment horizontal="center"/>
    </xf>
    <xf numFmtId="185" fontId="1" fillId="21" borderId="12" xfId="86" applyNumberFormat="1" applyFill="1" applyBorder="1"/>
    <xf numFmtId="185" fontId="1" fillId="0" borderId="0" xfId="86" applyNumberFormat="1" applyFill="1" applyBorder="1"/>
    <xf numFmtId="184" fontId="1" fillId="21" borderId="12" xfId="42" applyNumberFormat="1" applyFill="1" applyBorder="1" applyAlignment="1">
      <alignment horizontal="center"/>
    </xf>
    <xf numFmtId="185" fontId="1" fillId="0" borderId="0" xfId="86" applyNumberFormat="1"/>
    <xf numFmtId="184" fontId="1" fillId="0" borderId="0" xfId="42" applyNumberFormat="1" applyAlignment="1">
      <alignment horizontal="left" indent="1"/>
    </xf>
    <xf numFmtId="185" fontId="1" fillId="0" borderId="26" xfId="86" applyNumberFormat="1" applyFill="1" applyBorder="1"/>
    <xf numFmtId="184" fontId="35" fillId="0" borderId="0" xfId="42" applyNumberFormat="1" applyFont="1" applyProtection="1">
      <protection locked="0"/>
    </xf>
    <xf numFmtId="184" fontId="35" fillId="21" borderId="12" xfId="42" applyNumberFormat="1" applyFont="1" applyFill="1" applyBorder="1" applyProtection="1">
      <protection locked="0"/>
    </xf>
    <xf numFmtId="184" fontId="35" fillId="21" borderId="27" xfId="42" applyNumberFormat="1" applyFont="1" applyFill="1" applyBorder="1" applyProtection="1">
      <protection locked="0"/>
    </xf>
    <xf numFmtId="0" fontId="35" fillId="0" borderId="0" xfId="246" applyNumberFormat="1" applyFont="1" applyAlignment="1" applyProtection="1">
      <alignment wrapText="1"/>
      <protection locked="0"/>
    </xf>
    <xf numFmtId="0" fontId="35" fillId="0" borderId="0" xfId="246" applyNumberFormat="1" applyFont="1" applyAlignment="1" applyProtection="1">
      <alignment horizontal="left" indent="1"/>
      <protection locked="0"/>
    </xf>
    <xf numFmtId="10" fontId="36" fillId="0" borderId="0" xfId="260" applyNumberFormat="1" applyFont="1" applyProtection="1">
      <protection locked="0"/>
    </xf>
    <xf numFmtId="0" fontId="35" fillId="0" borderId="0" xfId="246" quotePrefix="1" applyNumberFormat="1" applyFont="1" applyProtection="1">
      <protection locked="0"/>
    </xf>
    <xf numFmtId="170" fontId="35" fillId="0" borderId="0" xfId="246" applyFont="1" applyFill="1" applyBorder="1" applyAlignment="1">
      <alignment horizontal="center"/>
    </xf>
    <xf numFmtId="49" fontId="35" fillId="0" borderId="0" xfId="246" applyNumberFormat="1" applyFont="1" applyFill="1" applyBorder="1" applyAlignment="1" applyProtection="1">
      <alignment horizontal="center"/>
      <protection locked="0"/>
    </xf>
    <xf numFmtId="49" fontId="35" fillId="0" borderId="0" xfId="246" applyNumberFormat="1" applyFont="1" applyFill="1" applyBorder="1" applyProtection="1">
      <protection locked="0"/>
    </xf>
    <xf numFmtId="184" fontId="35" fillId="0" borderId="0" xfId="42" applyNumberFormat="1" applyFont="1" applyFill="1" applyBorder="1" applyProtection="1">
      <protection locked="0"/>
    </xf>
    <xf numFmtId="10" fontId="36" fillId="0" borderId="0" xfId="260" applyNumberFormat="1" applyFont="1" applyFill="1" applyBorder="1" applyProtection="1">
      <protection locked="0"/>
    </xf>
    <xf numFmtId="17" fontId="36" fillId="21" borderId="27" xfId="0" applyNumberFormat="1" applyFont="1" applyFill="1" applyBorder="1" applyAlignment="1">
      <alignment horizontal="center"/>
    </xf>
    <xf numFmtId="41" fontId="35" fillId="21" borderId="12" xfId="246" applyNumberFormat="1" applyFont="1" applyFill="1" applyBorder="1" applyAlignment="1" applyProtection="1">
      <protection locked="0"/>
    </xf>
    <xf numFmtId="0" fontId="36" fillId="0" borderId="34" xfId="0" applyFont="1" applyBorder="1" applyAlignment="1">
      <alignment horizontal="left"/>
    </xf>
    <xf numFmtId="0" fontId="35" fillId="0" borderId="0" xfId="0" applyFont="1" applyBorder="1" applyAlignment="1">
      <alignment horizontal="center"/>
    </xf>
    <xf numFmtId="0" fontId="35" fillId="0" borderId="0" xfId="0" applyFont="1" applyBorder="1"/>
    <xf numFmtId="0" fontId="36" fillId="0" borderId="35" xfId="0" applyFont="1" applyBorder="1" applyAlignment="1">
      <alignment horizontal="center"/>
    </xf>
    <xf numFmtId="0" fontId="51" fillId="0" borderId="23" xfId="238" applyFont="1" applyBorder="1" applyAlignment="1">
      <alignment horizontal="center"/>
    </xf>
    <xf numFmtId="0" fontId="51" fillId="0" borderId="0" xfId="238" applyFont="1" applyBorder="1" applyAlignment="1">
      <alignment horizontal="center"/>
    </xf>
    <xf numFmtId="0" fontId="53" fillId="0" borderId="0" xfId="238" applyFont="1" applyBorder="1" applyAlignment="1">
      <alignment horizontal="center"/>
    </xf>
    <xf numFmtId="0" fontId="53" fillId="0" borderId="0" xfId="238" applyFont="1" applyBorder="1" applyAlignment="1">
      <alignment horizontal="left"/>
    </xf>
    <xf numFmtId="184" fontId="35" fillId="21" borderId="12" xfId="42" applyNumberFormat="1" applyFont="1" applyFill="1" applyBorder="1"/>
    <xf numFmtId="184" fontId="35" fillId="0" borderId="0" xfId="42" applyNumberFormat="1" applyFont="1" applyBorder="1"/>
    <xf numFmtId="0" fontId="53" fillId="0" borderId="0" xfId="238" quotePrefix="1" applyFont="1" applyBorder="1" applyAlignment="1">
      <alignment horizontal="center"/>
    </xf>
    <xf numFmtId="184" fontId="35" fillId="21" borderId="27" xfId="42" applyNumberFormat="1" applyFont="1" applyFill="1" applyBorder="1"/>
    <xf numFmtId="184" fontId="35" fillId="0" borderId="23" xfId="42" applyNumberFormat="1" applyFont="1" applyBorder="1"/>
    <xf numFmtId="184" fontId="53" fillId="0" borderId="0" xfId="42" applyNumberFormat="1" applyFont="1" applyBorder="1" applyAlignment="1">
      <alignment horizontal="left"/>
    </xf>
    <xf numFmtId="0" fontId="53" fillId="0" borderId="0" xfId="238" applyFont="1" applyBorder="1"/>
    <xf numFmtId="184" fontId="53" fillId="0" borderId="0" xfId="42" applyNumberFormat="1" applyFont="1" applyBorder="1"/>
    <xf numFmtId="184" fontId="53" fillId="0" borderId="22" xfId="42" applyNumberFormat="1" applyFont="1" applyBorder="1" applyAlignment="1">
      <alignment horizontal="left"/>
    </xf>
    <xf numFmtId="184" fontId="36" fillId="0" borderId="0" xfId="0" applyNumberFormat="1" applyFont="1" applyBorder="1" applyAlignment="1">
      <alignment horizontal="center"/>
    </xf>
    <xf numFmtId="0" fontId="36" fillId="0" borderId="0" xfId="0" applyFont="1" applyBorder="1" applyAlignment="1">
      <alignment horizontal="left"/>
    </xf>
    <xf numFmtId="0" fontId="35" fillId="0" borderId="23" xfId="0" applyFont="1" applyBorder="1"/>
    <xf numFmtId="37" fontId="0" fillId="0" borderId="0" xfId="0" applyNumberFormat="1" applyFill="1" applyBorder="1" applyAlignment="1">
      <alignment horizontal="center"/>
    </xf>
    <xf numFmtId="37" fontId="0" fillId="0" borderId="0" xfId="0" applyNumberFormat="1" applyFill="1" applyBorder="1"/>
    <xf numFmtId="0" fontId="0" fillId="0" borderId="36" xfId="0" applyBorder="1"/>
    <xf numFmtId="0" fontId="0" fillId="0" borderId="37" xfId="0" applyBorder="1"/>
    <xf numFmtId="0" fontId="0" fillId="0" borderId="36" xfId="0" applyBorder="1" applyAlignment="1">
      <alignment horizontal="center"/>
    </xf>
    <xf numFmtId="0" fontId="0" fillId="0" borderId="0" xfId="0" applyNumberFormat="1" applyBorder="1" applyAlignment="1">
      <alignment horizontal="center"/>
    </xf>
    <xf numFmtId="0" fontId="0" fillId="0" borderId="0" xfId="0" applyBorder="1" applyAlignment="1">
      <alignment horizontal="left"/>
    </xf>
    <xf numFmtId="185" fontId="1" fillId="21" borderId="12" xfId="86" quotePrefix="1" applyNumberFormat="1" applyFill="1" applyBorder="1" applyAlignment="1">
      <alignment horizontal="right"/>
    </xf>
    <xf numFmtId="185" fontId="1" fillId="0" borderId="0" xfId="86" applyNumberFormat="1" applyBorder="1"/>
    <xf numFmtId="184" fontId="1" fillId="0" borderId="37" xfId="42" applyNumberFormat="1" applyBorder="1"/>
    <xf numFmtId="184" fontId="1" fillId="21" borderId="12" xfId="42" quotePrefix="1" applyNumberFormat="1" applyFill="1" applyBorder="1" applyAlignment="1">
      <alignment horizontal="right"/>
    </xf>
    <xf numFmtId="184" fontId="1" fillId="0" borderId="0" xfId="42" quotePrefix="1" applyNumberFormat="1" applyFill="1" applyBorder="1" applyAlignment="1">
      <alignment horizontal="right"/>
    </xf>
    <xf numFmtId="190" fontId="0" fillId="0" borderId="0" xfId="0" applyNumberFormat="1" applyBorder="1" applyAlignment="1">
      <alignment horizontal="center"/>
    </xf>
    <xf numFmtId="184" fontId="1" fillId="21" borderId="27" xfId="42" quotePrefix="1" applyNumberFormat="1" applyFill="1" applyBorder="1" applyAlignment="1">
      <alignment horizontal="right"/>
    </xf>
    <xf numFmtId="185" fontId="1" fillId="0" borderId="24" xfId="86" applyNumberFormat="1" applyBorder="1"/>
    <xf numFmtId="0" fontId="0" fillId="0" borderId="38" xfId="0" applyBorder="1"/>
    <xf numFmtId="0" fontId="0" fillId="0" borderId="14" xfId="0" applyBorder="1"/>
    <xf numFmtId="0" fontId="0" fillId="0" borderId="39" xfId="0" applyBorder="1"/>
    <xf numFmtId="0" fontId="36" fillId="0" borderId="23" xfId="0" applyFont="1" applyFill="1" applyBorder="1" applyAlignment="1">
      <alignment horizontal="center"/>
    </xf>
    <xf numFmtId="0" fontId="0" fillId="21" borderId="12" xfId="0" applyFill="1" applyBorder="1" applyAlignment="1">
      <alignment horizontal="center"/>
    </xf>
    <xf numFmtId="0" fontId="0" fillId="21" borderId="12" xfId="0" applyFill="1" applyBorder="1"/>
    <xf numFmtId="0" fontId="0" fillId="21" borderId="27" xfId="0" applyFill="1" applyBorder="1"/>
    <xf numFmtId="184" fontId="0" fillId="0" borderId="0" xfId="42" applyNumberFormat="1" applyFont="1"/>
    <xf numFmtId="0" fontId="0" fillId="0" borderId="40" xfId="0" applyBorder="1" applyAlignment="1">
      <alignment horizontal="center"/>
    </xf>
    <xf numFmtId="41" fontId="12" fillId="0" borderId="0" xfId="251" applyBorder="1"/>
    <xf numFmtId="0" fontId="36" fillId="0" borderId="0" xfId="0" applyFont="1" applyFill="1" applyBorder="1" applyAlignment="1">
      <alignment horizontal="center"/>
    </xf>
    <xf numFmtId="0" fontId="0" fillId="0" borderId="0" xfId="0" applyBorder="1" applyAlignment="1">
      <alignment horizontal="center" wrapText="1"/>
    </xf>
    <xf numFmtId="0" fontId="0" fillId="21" borderId="28" xfId="0" applyFill="1" applyBorder="1"/>
    <xf numFmtId="10" fontId="35" fillId="0" borderId="0" xfId="260" applyNumberFormat="1" applyFont="1" applyAlignment="1">
      <alignment horizontal="center"/>
    </xf>
    <xf numFmtId="41" fontId="35" fillId="0" borderId="0" xfId="0" applyNumberFormat="1" applyFont="1"/>
    <xf numFmtId="41" fontId="35" fillId="21" borderId="27" xfId="246" applyNumberFormat="1" applyFont="1" applyFill="1" applyBorder="1" applyAlignment="1" applyProtection="1">
      <protection locked="0"/>
    </xf>
    <xf numFmtId="41" fontId="35" fillId="0" borderId="12" xfId="246" applyNumberFormat="1" applyFont="1" applyFill="1" applyBorder="1" applyAlignment="1" applyProtection="1">
      <protection locked="0"/>
    </xf>
    <xf numFmtId="0" fontId="0" fillId="0" borderId="41" xfId="0" applyBorder="1" applyAlignment="1">
      <alignment horizontal="center"/>
    </xf>
    <xf numFmtId="0" fontId="0" fillId="0" borderId="37" xfId="0" applyBorder="1" applyAlignment="1">
      <alignment horizontal="center"/>
    </xf>
    <xf numFmtId="0" fontId="36" fillId="0" borderId="42" xfId="0" applyFont="1" applyFill="1" applyBorder="1" applyAlignment="1">
      <alignment horizontal="center"/>
    </xf>
    <xf numFmtId="10" fontId="1" fillId="0" borderId="0" xfId="260" applyNumberFormat="1" applyBorder="1"/>
    <xf numFmtId="0" fontId="1" fillId="0" borderId="0" xfId="0" applyFont="1" applyBorder="1"/>
    <xf numFmtId="37" fontId="0" fillId="21" borderId="12" xfId="0" applyNumberFormat="1" applyFill="1" applyBorder="1"/>
    <xf numFmtId="37" fontId="0" fillId="21" borderId="27" xfId="0" applyNumberFormat="1" applyFill="1" applyBorder="1"/>
    <xf numFmtId="37" fontId="0" fillId="0" borderId="37" xfId="0" applyNumberFormat="1" applyBorder="1"/>
    <xf numFmtId="0" fontId="36" fillId="0" borderId="37" xfId="0" applyFont="1" applyBorder="1"/>
    <xf numFmtId="0" fontId="1" fillId="0" borderId="0" xfId="0" applyFont="1" applyBorder="1" applyAlignment="1">
      <alignment horizontal="left" indent="1"/>
    </xf>
    <xf numFmtId="0" fontId="1" fillId="0" borderId="0" xfId="0" applyFont="1" applyBorder="1" applyAlignment="1">
      <alignment horizontal="center"/>
    </xf>
    <xf numFmtId="37" fontId="1" fillId="0" borderId="0" xfId="0" applyNumberFormat="1" applyFont="1" applyBorder="1"/>
    <xf numFmtId="0" fontId="1" fillId="0" borderId="37" xfId="0" applyFont="1" applyBorder="1"/>
    <xf numFmtId="184" fontId="1" fillId="0" borderId="0" xfId="42" applyNumberFormat="1" applyFont="1" applyBorder="1"/>
    <xf numFmtId="10" fontId="35" fillId="0" borderId="0" xfId="260" applyNumberFormat="1" applyFont="1" applyBorder="1" applyAlignment="1" applyProtection="1">
      <protection locked="0"/>
    </xf>
    <xf numFmtId="3" fontId="37" fillId="0" borderId="0" xfId="246" applyNumberFormat="1" applyFont="1" applyAlignment="1" applyProtection="1">
      <protection locked="0"/>
    </xf>
    <xf numFmtId="10" fontId="35" fillId="0" borderId="0" xfId="246" applyNumberFormat="1" applyFont="1" applyFill="1" applyAlignment="1" applyProtection="1">
      <alignment horizontal="left"/>
      <protection locked="0"/>
    </xf>
    <xf numFmtId="0" fontId="35" fillId="0" borderId="0" xfId="246" applyNumberFormat="1" applyFont="1" applyFill="1" applyBorder="1" applyAlignment="1" applyProtection="1">
      <alignment horizontal="left"/>
      <protection locked="0"/>
    </xf>
    <xf numFmtId="0" fontId="36" fillId="0" borderId="34" xfId="0" applyFont="1" applyBorder="1"/>
    <xf numFmtId="0" fontId="0" fillId="0" borderId="40" xfId="0" applyBorder="1"/>
    <xf numFmtId="0" fontId="1" fillId="0" borderId="0" xfId="42" applyNumberFormat="1" applyFill="1" applyBorder="1" applyAlignment="1">
      <alignment horizontal="left"/>
    </xf>
    <xf numFmtId="0" fontId="1" fillId="0" borderId="0" xfId="0" applyFont="1" applyAlignment="1">
      <alignment horizontal="left" indent="1"/>
    </xf>
    <xf numFmtId="0" fontId="35" fillId="0" borderId="0" xfId="0" applyFont="1" applyFill="1"/>
    <xf numFmtId="0" fontId="35" fillId="0" borderId="0" xfId="0" applyFont="1" applyFill="1" applyBorder="1"/>
    <xf numFmtId="184" fontId="35" fillId="0" borderId="0" xfId="42" applyNumberFormat="1" applyFont="1"/>
    <xf numFmtId="0" fontId="35" fillId="0" borderId="0" xfId="0" applyFont="1" applyFill="1" applyBorder="1" applyAlignment="1">
      <alignment horizontal="center"/>
    </xf>
    <xf numFmtId="0" fontId="50" fillId="0" borderId="0" xfId="0" applyFont="1" applyAlignment="1">
      <alignment horizontal="right"/>
    </xf>
    <xf numFmtId="10" fontId="35" fillId="21" borderId="12" xfId="246" applyNumberFormat="1" applyFont="1" applyFill="1" applyBorder="1" applyProtection="1">
      <protection locked="0"/>
    </xf>
    <xf numFmtId="41" fontId="35" fillId="0" borderId="22" xfId="246" applyNumberFormat="1" applyFont="1" applyBorder="1" applyAlignment="1" applyProtection="1">
      <protection locked="0"/>
    </xf>
    <xf numFmtId="185" fontId="1" fillId="0" borderId="0" xfId="86" applyNumberFormat="1" applyFont="1"/>
    <xf numFmtId="38" fontId="35" fillId="0" borderId="0" xfId="250" quotePrefix="1" applyFont="1" applyAlignment="1">
      <alignment horizontal="center"/>
    </xf>
    <xf numFmtId="184" fontId="1" fillId="0" borderId="24" xfId="42" applyNumberFormat="1" applyBorder="1"/>
    <xf numFmtId="184" fontId="1" fillId="21" borderId="16" xfId="42" quotePrefix="1" applyNumberFormat="1" applyFill="1" applyBorder="1" applyAlignment="1">
      <alignment horizontal="right"/>
    </xf>
    <xf numFmtId="0" fontId="35" fillId="21" borderId="16" xfId="241" applyFont="1" applyFill="1" applyBorder="1" applyAlignment="1">
      <alignment horizontal="center"/>
    </xf>
    <xf numFmtId="170" fontId="35" fillId="0" borderId="0" xfId="246" applyFont="1" applyFill="1" applyAlignment="1" applyProtection="1">
      <alignment vertical="top"/>
      <protection locked="0"/>
    </xf>
    <xf numFmtId="184" fontId="0" fillId="0" borderId="26" xfId="42" applyNumberFormat="1" applyFont="1" applyBorder="1"/>
    <xf numFmtId="184" fontId="1" fillId="0" borderId="37" xfId="42" applyNumberFormat="1" applyFill="1" applyBorder="1"/>
    <xf numFmtId="185" fontId="1" fillId="0" borderId="37" xfId="86" applyNumberFormat="1" applyFill="1" applyBorder="1"/>
    <xf numFmtId="0" fontId="0" fillId="0" borderId="38" xfId="0" applyFill="1" applyBorder="1" applyAlignment="1">
      <alignment horizontal="center"/>
    </xf>
    <xf numFmtId="0" fontId="0" fillId="0" borderId="14" xfId="0" applyFill="1" applyBorder="1" applyAlignment="1">
      <alignment horizontal="left" indent="1"/>
    </xf>
    <xf numFmtId="185" fontId="1" fillId="0" borderId="14" xfId="86" applyNumberFormat="1" applyFill="1" applyBorder="1"/>
    <xf numFmtId="185" fontId="1" fillId="0" borderId="39" xfId="86" applyNumberFormat="1" applyFill="1" applyBorder="1"/>
    <xf numFmtId="10" fontId="1" fillId="21" borderId="12" xfId="260" applyNumberFormat="1" applyFill="1" applyBorder="1" applyAlignment="1">
      <alignment horizontal="right"/>
    </xf>
    <xf numFmtId="38" fontId="36" fillId="0" borderId="0" xfId="250" applyFont="1"/>
    <xf numFmtId="41" fontId="35" fillId="0" borderId="0" xfId="246" applyNumberFormat="1" applyFont="1" applyFill="1" applyBorder="1" applyAlignment="1" applyProtection="1">
      <alignment vertical="center"/>
      <protection locked="0"/>
    </xf>
    <xf numFmtId="43" fontId="35" fillId="0" borderId="23" xfId="42" applyFont="1" applyBorder="1"/>
    <xf numFmtId="3" fontId="37" fillId="0" borderId="0" xfId="0" applyNumberFormat="1" applyFont="1"/>
    <xf numFmtId="9" fontId="37" fillId="0" borderId="0" xfId="260" applyNumberFormat="1" applyFont="1"/>
    <xf numFmtId="0" fontId="35" fillId="0" borderId="0" xfId="246" applyNumberFormat="1" applyFont="1" applyBorder="1" applyAlignment="1" applyProtection="1">
      <alignment horizontal="center"/>
      <protection locked="0"/>
    </xf>
    <xf numFmtId="170" fontId="35" fillId="0" borderId="0" xfId="246" applyFont="1" applyFill="1" applyAlignment="1" applyProtection="1">
      <alignment horizontal="center"/>
      <protection locked="0"/>
    </xf>
    <xf numFmtId="10" fontId="35" fillId="0" borderId="0" xfId="246" applyNumberFormat="1" applyFont="1" applyFill="1" applyBorder="1" applyProtection="1">
      <protection locked="0"/>
    </xf>
    <xf numFmtId="0" fontId="1" fillId="0" borderId="0" xfId="0" applyFont="1" applyFill="1" applyAlignment="1">
      <alignment horizontal="center"/>
    </xf>
    <xf numFmtId="0" fontId="36" fillId="0" borderId="0" xfId="245" applyFont="1"/>
    <xf numFmtId="0" fontId="35" fillId="0" borderId="0" xfId="245" applyFont="1"/>
    <xf numFmtId="10" fontId="35" fillId="0" borderId="0" xfId="245" applyNumberFormat="1" applyFont="1"/>
    <xf numFmtId="0" fontId="35" fillId="0" borderId="0" xfId="245" applyFont="1" applyAlignment="1">
      <alignment horizontal="right"/>
    </xf>
    <xf numFmtId="0" fontId="36" fillId="0" borderId="0" xfId="245" applyFont="1" applyAlignment="1">
      <alignment horizontal="right"/>
    </xf>
    <xf numFmtId="0" fontId="35" fillId="0" borderId="0" xfId="245" applyFont="1" applyAlignment="1">
      <alignment horizontal="center"/>
    </xf>
    <xf numFmtId="5" fontId="35" fillId="0" borderId="0" xfId="245" applyNumberFormat="1" applyFont="1"/>
    <xf numFmtId="0" fontId="40" fillId="0" borderId="0" xfId="245" applyFont="1" applyAlignment="1">
      <alignment horizontal="center"/>
    </xf>
    <xf numFmtId="0" fontId="40" fillId="0" borderId="0" xfId="245" applyFont="1"/>
    <xf numFmtId="0" fontId="35" fillId="0" borderId="0" xfId="245" applyFont="1" applyBorder="1"/>
    <xf numFmtId="0" fontId="35" fillId="0" borderId="0" xfId="245" applyNumberFormat="1" applyFont="1" applyFill="1"/>
    <xf numFmtId="0" fontId="35" fillId="0" borderId="23" xfId="245" applyFont="1" applyBorder="1"/>
    <xf numFmtId="5" fontId="35" fillId="0" borderId="22" xfId="245" applyNumberFormat="1" applyFont="1" applyBorder="1"/>
    <xf numFmtId="37" fontId="35" fillId="0" borderId="0" xfId="245" applyNumberFormat="1" applyFont="1"/>
    <xf numFmtId="37" fontId="35" fillId="0" borderId="0" xfId="245" applyNumberFormat="1" applyFont="1" applyBorder="1"/>
    <xf numFmtId="0" fontId="35" fillId="0" borderId="0" xfId="245" applyFont="1" applyFill="1"/>
    <xf numFmtId="187" fontId="35" fillId="0" borderId="0" xfId="245" applyNumberFormat="1" applyFont="1"/>
    <xf numFmtId="0" fontId="35" fillId="0" borderId="0" xfId="245" applyFont="1" applyBorder="1" applyAlignment="1">
      <alignment horizontal="center"/>
    </xf>
    <xf numFmtId="5" fontId="35" fillId="0" borderId="26" xfId="245" applyNumberFormat="1" applyFont="1" applyBorder="1"/>
    <xf numFmtId="10" fontId="35" fillId="0" borderId="0" xfId="245" applyNumberFormat="1" applyFont="1" applyAlignment="1">
      <alignment horizontal="center"/>
    </xf>
    <xf numFmtId="10" fontId="35" fillId="0" borderId="0" xfId="245" applyNumberFormat="1" applyFont="1" applyFill="1" applyBorder="1" applyAlignment="1">
      <alignment horizontal="center"/>
    </xf>
    <xf numFmtId="0" fontId="35" fillId="0" borderId="0" xfId="245" applyFont="1" applyFill="1" applyBorder="1" applyAlignment="1">
      <alignment horizontal="center"/>
    </xf>
    <xf numFmtId="10" fontId="40" fillId="0" borderId="0" xfId="245" applyNumberFormat="1" applyFont="1" applyAlignment="1">
      <alignment horizontal="center"/>
    </xf>
    <xf numFmtId="10" fontId="40" fillId="0" borderId="0" xfId="245" applyNumberFormat="1" applyFont="1" applyFill="1" applyBorder="1" applyAlignment="1">
      <alignment horizontal="center"/>
    </xf>
    <xf numFmtId="0" fontId="40" fillId="0" borderId="0" xfId="245" applyFont="1" applyFill="1" applyBorder="1" applyAlignment="1">
      <alignment horizontal="center"/>
    </xf>
    <xf numFmtId="181" fontId="35" fillId="0" borderId="0" xfId="245" applyNumberFormat="1" applyFont="1"/>
    <xf numFmtId="10" fontId="35" fillId="0" borderId="0" xfId="245" applyNumberFormat="1" applyFont="1" applyFill="1" applyBorder="1"/>
    <xf numFmtId="181" fontId="35" fillId="0" borderId="0" xfId="245" applyNumberFormat="1" applyFont="1" applyFill="1" applyBorder="1"/>
    <xf numFmtId="188" fontId="35" fillId="0" borderId="14" xfId="245" applyNumberFormat="1" applyFont="1" applyBorder="1"/>
    <xf numFmtId="5" fontId="35" fillId="0" borderId="0" xfId="245" applyNumberFormat="1" applyFont="1" applyBorder="1"/>
    <xf numFmtId="0" fontId="36" fillId="0" borderId="0" xfId="246" applyNumberFormat="1" applyFont="1" applyAlignment="1" applyProtection="1">
      <alignment horizontal="right"/>
      <protection locked="0"/>
    </xf>
    <xf numFmtId="37" fontId="36" fillId="0" borderId="0" xfId="250" applyNumberFormat="1" applyFont="1" applyAlignment="1">
      <alignment horizontal="right"/>
    </xf>
    <xf numFmtId="37" fontId="36" fillId="0" borderId="0" xfId="0" applyNumberFormat="1" applyFont="1" applyAlignment="1">
      <alignment horizontal="right"/>
    </xf>
    <xf numFmtId="0" fontId="35" fillId="0" borderId="23" xfId="0" applyFont="1" applyBorder="1" applyAlignment="1"/>
    <xf numFmtId="39" fontId="35" fillId="0" borderId="0" xfId="0" applyNumberFormat="1" applyFont="1"/>
    <xf numFmtId="39" fontId="35" fillId="0" borderId="0" xfId="0" applyNumberFormat="1" applyFont="1" applyFill="1"/>
    <xf numFmtId="43" fontId="35" fillId="0" borderId="0" xfId="42" applyFont="1"/>
    <xf numFmtId="0" fontId="38" fillId="0" borderId="0" xfId="0" applyFont="1" applyFill="1"/>
    <xf numFmtId="0" fontId="35" fillId="21" borderId="12" xfId="0" applyFont="1" applyFill="1" applyBorder="1"/>
    <xf numFmtId="0" fontId="56" fillId="0" borderId="0" xfId="254" applyFont="1" applyAlignment="1">
      <alignment horizontal="center"/>
    </xf>
    <xf numFmtId="0" fontId="54" fillId="0" borderId="0" xfId="254" applyFont="1"/>
    <xf numFmtId="0" fontId="55" fillId="0" borderId="0" xfId="254" applyFont="1"/>
    <xf numFmtId="0" fontId="57" fillId="0" borderId="0" xfId="254" applyFont="1"/>
    <xf numFmtId="0" fontId="58" fillId="0" borderId="0" xfId="254" applyFont="1" applyFill="1"/>
    <xf numFmtId="0" fontId="59" fillId="0" borderId="0" xfId="254" applyFont="1"/>
    <xf numFmtId="0" fontId="61" fillId="0" borderId="0" xfId="254" applyFont="1" applyFill="1" applyBorder="1" applyAlignment="1">
      <alignment horizontal="center"/>
    </xf>
    <xf numFmtId="184" fontId="55" fillId="0" borderId="0" xfId="42" applyNumberFormat="1" applyFont="1" applyFill="1" applyBorder="1"/>
    <xf numFmtId="174" fontId="55" fillId="0" borderId="10" xfId="254" applyNumberFormat="1" applyFont="1" applyFill="1" applyBorder="1"/>
    <xf numFmtId="174" fontId="60" fillId="0" borderId="0" xfId="254" applyNumberFormat="1" applyFont="1" applyFill="1" applyBorder="1"/>
    <xf numFmtId="6" fontId="55" fillId="0" borderId="0" xfId="254" applyNumberFormat="1" applyFont="1"/>
    <xf numFmtId="174" fontId="60" fillId="0" borderId="0" xfId="254" applyNumberFormat="1" applyFont="1" applyFill="1"/>
    <xf numFmtId="174" fontId="60" fillId="0" borderId="0" xfId="254" applyNumberFormat="1" applyFont="1" applyBorder="1"/>
    <xf numFmtId="0" fontId="61" fillId="0" borderId="0" xfId="254" applyFont="1" applyAlignment="1">
      <alignment horizontal="center"/>
    </xf>
    <xf numFmtId="0" fontId="59" fillId="0" borderId="0" xfId="254" applyFont="1" applyAlignment="1">
      <alignment horizontal="center"/>
    </xf>
    <xf numFmtId="6" fontId="61" fillId="0" borderId="0" xfId="254" applyNumberFormat="1" applyFont="1"/>
    <xf numFmtId="174" fontId="55" fillId="0" borderId="0" xfId="254" applyNumberFormat="1" applyFont="1" applyFill="1"/>
    <xf numFmtId="197" fontId="55" fillId="0" borderId="0" xfId="254" applyNumberFormat="1" applyFont="1" applyFill="1"/>
    <xf numFmtId="176" fontId="55" fillId="0" borderId="0" xfId="260" applyNumberFormat="1" applyFont="1" applyFill="1" applyBorder="1" applyAlignment="1">
      <alignment horizontal="right"/>
    </xf>
    <xf numFmtId="199" fontId="55" fillId="0" borderId="10" xfId="42" applyNumberFormat="1" applyFont="1" applyFill="1" applyBorder="1"/>
    <xf numFmtId="182" fontId="0" fillId="0" borderId="0" xfId="0" applyNumberFormat="1"/>
    <xf numFmtId="0" fontId="57" fillId="0" borderId="0" xfId="0" applyFont="1" applyAlignment="1">
      <alignment horizontal="center"/>
    </xf>
    <xf numFmtId="170" fontId="0" fillId="0" borderId="0" xfId="0" applyNumberFormat="1"/>
    <xf numFmtId="182" fontId="0" fillId="0" borderId="0" xfId="0" applyNumberFormat="1" applyFill="1"/>
    <xf numFmtId="198" fontId="0" fillId="0" borderId="0" xfId="0" applyNumberFormat="1"/>
    <xf numFmtId="0" fontId="0" fillId="0" borderId="0" xfId="0" applyAlignment="1"/>
    <xf numFmtId="174" fontId="0" fillId="0" borderId="0" xfId="0" applyNumberFormat="1"/>
    <xf numFmtId="43" fontId="1" fillId="0" borderId="0" xfId="42"/>
    <xf numFmtId="0" fontId="0" fillId="0" borderId="14" xfId="0" applyFill="1" applyBorder="1"/>
    <xf numFmtId="0" fontId="1" fillId="0" borderId="0" xfId="248" applyAlignment="1">
      <alignment horizontal="center"/>
    </xf>
    <xf numFmtId="3" fontId="0" fillId="0" borderId="0" xfId="0" applyNumberFormat="1" applyBorder="1"/>
    <xf numFmtId="3" fontId="40" fillId="0" borderId="0" xfId="0" applyNumberFormat="1" applyFont="1" applyBorder="1"/>
    <xf numFmtId="170" fontId="0" fillId="0" borderId="0" xfId="0" applyNumberFormat="1" applyAlignment="1">
      <alignment horizontal="right"/>
    </xf>
    <xf numFmtId="0" fontId="6" fillId="0" borderId="0" xfId="0" applyFont="1" applyAlignment="1">
      <alignment horizontal="center"/>
    </xf>
    <xf numFmtId="193" fontId="0" fillId="0" borderId="0" xfId="0" applyNumberFormat="1"/>
    <xf numFmtId="0" fontId="1" fillId="0" borderId="0" xfId="248" applyBorder="1"/>
    <xf numFmtId="0" fontId="0" fillId="0" borderId="0" xfId="0" applyFill="1" applyAlignment="1">
      <alignment horizontal="left"/>
    </xf>
    <xf numFmtId="185" fontId="40" fillId="0" borderId="0" xfId="86" applyNumberFormat="1" applyFont="1"/>
    <xf numFmtId="0" fontId="35" fillId="0" borderId="0" xfId="0" applyFont="1" applyFill="1" applyAlignment="1">
      <alignment horizontal="center"/>
    </xf>
    <xf numFmtId="0" fontId="0" fillId="0" borderId="0" xfId="0" applyAlignment="1">
      <alignment horizontal="centerContinuous"/>
    </xf>
    <xf numFmtId="0" fontId="35" fillId="0" borderId="0" xfId="0" applyFont="1" applyBorder="1" applyAlignment="1">
      <alignment horizontal="centerContinuous"/>
    </xf>
    <xf numFmtId="0" fontId="35" fillId="0" borderId="0" xfId="0" applyFont="1" applyAlignment="1">
      <alignment horizontal="centerContinuous"/>
    </xf>
    <xf numFmtId="0" fontId="0" fillId="0" borderId="0" xfId="0" applyBorder="1" applyAlignment="1"/>
    <xf numFmtId="0" fontId="0" fillId="0" borderId="23" xfId="0" applyBorder="1" applyAlignment="1">
      <alignment horizontal="center"/>
    </xf>
    <xf numFmtId="0" fontId="35" fillId="0" borderId="23" xfId="0" applyFont="1" applyBorder="1" applyAlignment="1">
      <alignment horizontal="center"/>
    </xf>
    <xf numFmtId="0" fontId="40" fillId="0" borderId="0" xfId="0" applyFont="1" applyAlignment="1"/>
    <xf numFmtId="0" fontId="35" fillId="0" borderId="23" xfId="0" applyFont="1" applyFill="1" applyBorder="1" applyAlignment="1">
      <alignment horizontal="center"/>
    </xf>
    <xf numFmtId="0" fontId="40" fillId="0" borderId="0" xfId="0" applyFont="1" applyAlignment="1">
      <alignment horizontal="centerContinuous"/>
    </xf>
    <xf numFmtId="0" fontId="35" fillId="0" borderId="0" xfId="0" applyFont="1" applyBorder="1" applyAlignment="1"/>
    <xf numFmtId="184" fontId="0" fillId="0" borderId="22" xfId="42" applyNumberFormat="1" applyFont="1" applyBorder="1"/>
    <xf numFmtId="200" fontId="0" fillId="21" borderId="12" xfId="0" applyNumberFormat="1" applyFill="1" applyBorder="1" applyAlignment="1">
      <alignment horizontal="center"/>
    </xf>
    <xf numFmtId="184" fontId="0" fillId="21" borderId="12" xfId="42" applyNumberFormat="1" applyFont="1" applyFill="1" applyBorder="1"/>
    <xf numFmtId="184" fontId="0" fillId="21" borderId="27" xfId="42" applyNumberFormat="1" applyFont="1" applyFill="1" applyBorder="1"/>
    <xf numFmtId="184" fontId="1" fillId="0" borderId="0" xfId="42" applyNumberFormat="1" applyFont="1" applyFill="1"/>
    <xf numFmtId="0" fontId="0" fillId="0" borderId="23" xfId="0" applyFill="1" applyBorder="1" applyAlignment="1">
      <alignment horizontal="center"/>
    </xf>
    <xf numFmtId="182" fontId="0" fillId="21" borderId="12" xfId="0" applyNumberFormat="1" applyFill="1" applyBorder="1"/>
    <xf numFmtId="0" fontId="1" fillId="0" borderId="0" xfId="0" applyFont="1" applyFill="1" applyBorder="1"/>
    <xf numFmtId="0" fontId="39" fillId="0" borderId="0" xfId="0" applyFont="1" applyFill="1" applyAlignment="1">
      <alignment horizontal="center"/>
    </xf>
    <xf numFmtId="0" fontId="36" fillId="0" borderId="0" xfId="246" applyNumberFormat="1" applyFont="1" applyAlignment="1" applyProtection="1">
      <alignment horizontal="left"/>
      <protection locked="0"/>
    </xf>
    <xf numFmtId="0" fontId="1" fillId="0" borderId="23" xfId="0" applyFont="1" applyBorder="1"/>
    <xf numFmtId="191" fontId="1" fillId="0" borderId="0" xfId="86" applyNumberFormat="1" applyFont="1" applyFill="1" applyAlignment="1">
      <alignment horizontal="center"/>
    </xf>
    <xf numFmtId="192" fontId="1" fillId="0" borderId="0" xfId="86" applyNumberFormat="1" applyFont="1" applyFill="1"/>
    <xf numFmtId="0" fontId="1" fillId="0" borderId="0" xfId="0" applyFont="1" applyFill="1" applyBorder="1" applyAlignment="1"/>
    <xf numFmtId="0" fontId="1" fillId="0" borderId="14" xfId="0" applyFont="1" applyFill="1" applyBorder="1" applyAlignment="1"/>
    <xf numFmtId="185" fontId="1" fillId="0" borderId="26" xfId="86" applyNumberFormat="1" applyBorder="1"/>
    <xf numFmtId="185" fontId="1" fillId="0" borderId="22" xfId="86" applyNumberFormat="1" applyBorder="1"/>
    <xf numFmtId="184" fontId="0" fillId="0" borderId="0" xfId="42" applyNumberFormat="1" applyFont="1" applyFill="1" applyBorder="1"/>
    <xf numFmtId="184" fontId="0" fillId="0" borderId="0" xfId="0" applyNumberFormat="1" applyFill="1" applyBorder="1"/>
    <xf numFmtId="184" fontId="0" fillId="21" borderId="28" xfId="42" applyNumberFormat="1" applyFont="1" applyFill="1" applyBorder="1"/>
    <xf numFmtId="184" fontId="0" fillId="21" borderId="16" xfId="42" applyNumberFormat="1" applyFont="1" applyFill="1" applyBorder="1"/>
    <xf numFmtId="184" fontId="0" fillId="0" borderId="26" xfId="42" applyNumberFormat="1" applyFont="1" applyFill="1" applyBorder="1"/>
    <xf numFmtId="0" fontId="35" fillId="0" borderId="0" xfId="244" applyFont="1" applyFill="1"/>
    <xf numFmtId="0" fontId="36" fillId="0" borderId="0" xfId="244" applyFont="1" applyFill="1" applyAlignment="1">
      <alignment horizontal="right"/>
    </xf>
    <xf numFmtId="0" fontId="35" fillId="0" borderId="0" xfId="244" applyFont="1" applyFill="1" applyAlignment="1">
      <alignment horizontal="center"/>
    </xf>
    <xf numFmtId="0" fontId="35" fillId="0" borderId="0" xfId="244" applyFont="1" applyFill="1" applyAlignment="1">
      <alignment horizontal="left"/>
    </xf>
    <xf numFmtId="184" fontId="39" fillId="0" borderId="0" xfId="42" applyNumberFormat="1" applyFont="1" applyBorder="1"/>
    <xf numFmtId="0" fontId="35" fillId="0" borderId="0" xfId="244" applyFont="1" applyFill="1" applyAlignment="1"/>
    <xf numFmtId="3" fontId="36" fillId="0" borderId="0" xfId="246" applyNumberFormat="1" applyFont="1" applyFill="1" applyAlignment="1" applyProtection="1">
      <alignment horizontal="center"/>
      <protection locked="0"/>
    </xf>
    <xf numFmtId="170" fontId="35" fillId="0" borderId="0" xfId="246" applyFont="1" applyFill="1" applyAlignment="1">
      <alignment horizontal="center"/>
    </xf>
    <xf numFmtId="41" fontId="35" fillId="0" borderId="0" xfId="246" applyNumberFormat="1" applyFont="1" applyFill="1" applyAlignment="1"/>
    <xf numFmtId="0" fontId="39" fillId="0" borderId="0" xfId="0" applyFont="1" applyBorder="1"/>
    <xf numFmtId="0" fontId="35" fillId="0" borderId="23" xfId="0" applyFont="1" applyBorder="1" applyAlignment="1">
      <alignment horizontal="centerContinuous"/>
    </xf>
    <xf numFmtId="182" fontId="1" fillId="0" borderId="0" xfId="0" applyNumberFormat="1" applyFont="1"/>
    <xf numFmtId="182" fontId="1" fillId="0" borderId="0" xfId="0" applyNumberFormat="1" applyFont="1" applyFill="1"/>
    <xf numFmtId="0" fontId="0" fillId="0" borderId="0" xfId="0" quotePrefix="1"/>
    <xf numFmtId="2" fontId="35" fillId="0" borderId="0" xfId="244" applyNumberFormat="1" applyFont="1" applyFill="1" applyAlignment="1">
      <alignment horizontal="center"/>
    </xf>
    <xf numFmtId="2" fontId="35" fillId="0" borderId="0" xfId="244" applyNumberFormat="1" applyFont="1" applyFill="1" applyAlignment="1">
      <alignment wrapText="1"/>
    </xf>
    <xf numFmtId="2" fontId="35" fillId="0" borderId="0" xfId="244" applyNumberFormat="1" applyFont="1" applyFill="1" applyAlignment="1">
      <alignment horizontal="center" wrapText="1"/>
    </xf>
    <xf numFmtId="0" fontId="0" fillId="0" borderId="0" xfId="0" applyFill="1" applyBorder="1" applyAlignment="1">
      <alignment horizontal="left" wrapText="1" indent="1"/>
    </xf>
    <xf numFmtId="10" fontId="1" fillId="0" borderId="0" xfId="260" applyNumberFormat="1" applyFont="1"/>
    <xf numFmtId="184" fontId="1" fillId="0" borderId="0" xfId="42" applyNumberFormat="1" applyFont="1"/>
    <xf numFmtId="43" fontId="1" fillId="0" borderId="0" xfId="0" applyNumberFormat="1" applyFont="1"/>
    <xf numFmtId="0" fontId="0" fillId="0" borderId="0" xfId="0" applyFill="1" applyAlignment="1">
      <alignment horizontal="centerContinuous"/>
    </xf>
    <xf numFmtId="10" fontId="35" fillId="0" borderId="0" xfId="260" applyNumberFormat="1" applyFont="1"/>
    <xf numFmtId="184" fontId="37" fillId="0" borderId="0" xfId="42" applyNumberFormat="1" applyFont="1"/>
    <xf numFmtId="0" fontId="35" fillId="21" borderId="12" xfId="245" applyNumberFormat="1" applyFont="1" applyFill="1" applyBorder="1"/>
    <xf numFmtId="42" fontId="35" fillId="21" borderId="12" xfId="245" applyNumberFormat="1" applyFont="1" applyFill="1" applyBorder="1"/>
    <xf numFmtId="42" fontId="35" fillId="21" borderId="12" xfId="86" applyNumberFormat="1" applyFont="1" applyFill="1" applyBorder="1"/>
    <xf numFmtId="37" fontId="35" fillId="21" borderId="12" xfId="245" applyNumberFormat="1" applyFont="1" applyFill="1" applyBorder="1"/>
    <xf numFmtId="17" fontId="35" fillId="21" borderId="12" xfId="245" quotePrefix="1" applyNumberFormat="1" applyFont="1" applyFill="1" applyBorder="1"/>
    <xf numFmtId="10" fontId="35" fillId="21" borderId="12" xfId="245" applyNumberFormat="1" applyFont="1" applyFill="1" applyBorder="1"/>
    <xf numFmtId="196" fontId="35" fillId="21" borderId="12" xfId="245" applyNumberFormat="1" applyFont="1" applyFill="1" applyBorder="1"/>
    <xf numFmtId="0" fontId="55" fillId="0" borderId="0" xfId="254" applyFont="1" applyFill="1"/>
    <xf numFmtId="0" fontId="55" fillId="0" borderId="0" xfId="254" applyFont="1" applyFill="1" applyBorder="1"/>
    <xf numFmtId="6" fontId="55" fillId="0" borderId="0" xfId="254" applyNumberFormat="1" applyFont="1" applyBorder="1"/>
    <xf numFmtId="3" fontId="62" fillId="0" borderId="0" xfId="254" applyNumberFormat="1" applyFont="1" applyFill="1" applyBorder="1" applyAlignment="1">
      <alignment horizontal="right"/>
    </xf>
    <xf numFmtId="3" fontId="62" fillId="0" borderId="0" xfId="254" applyNumberFormat="1" applyFont="1" applyFill="1" applyBorder="1" applyAlignment="1">
      <alignment horizontal="left"/>
    </xf>
    <xf numFmtId="180" fontId="55" fillId="21" borderId="12" xfId="254" applyNumberFormat="1" applyFont="1" applyFill="1" applyBorder="1" applyAlignment="1">
      <alignment horizontal="right"/>
    </xf>
    <xf numFmtId="184" fontId="55" fillId="0" borderId="23" xfId="42" applyNumberFormat="1" applyFont="1" applyBorder="1"/>
    <xf numFmtId="3" fontId="55" fillId="0" borderId="0" xfId="254" applyNumberFormat="1" applyFont="1" applyFill="1" applyBorder="1" applyAlignment="1">
      <alignment horizontal="right"/>
    </xf>
    <xf numFmtId="0" fontId="38" fillId="21" borderId="12" xfId="0" applyFont="1" applyFill="1" applyBorder="1"/>
    <xf numFmtId="185" fontId="0" fillId="0" borderId="0" xfId="86" applyNumberFormat="1" applyFont="1"/>
    <xf numFmtId="184" fontId="0" fillId="0" borderId="0" xfId="42" applyNumberFormat="1" applyFont="1" applyBorder="1"/>
    <xf numFmtId="184" fontId="0" fillId="0" borderId="0" xfId="42" applyNumberFormat="1" applyFont="1" applyAlignment="1">
      <alignment horizontal="center"/>
    </xf>
    <xf numFmtId="185" fontId="40" fillId="0" borderId="0" xfId="86" applyNumberFormat="1" applyFont="1" applyBorder="1"/>
    <xf numFmtId="0" fontId="0" fillId="21" borderId="12" xfId="0" applyNumberFormat="1" applyFill="1" applyBorder="1" applyAlignment="1">
      <alignment horizontal="center"/>
    </xf>
    <xf numFmtId="0" fontId="0" fillId="0" borderId="0" xfId="0" applyNumberFormat="1" applyFill="1" applyAlignment="1">
      <alignment horizontal="center"/>
    </xf>
    <xf numFmtId="37" fontId="35" fillId="21" borderId="12" xfId="0" applyNumberFormat="1" applyFont="1" applyFill="1" applyBorder="1"/>
    <xf numFmtId="37" fontId="35" fillId="0" borderId="0" xfId="0" applyNumberFormat="1" applyFont="1" applyFill="1"/>
    <xf numFmtId="37" fontId="35" fillId="0" borderId="26" xfId="0" applyNumberFormat="1" applyFont="1" applyFill="1" applyBorder="1"/>
    <xf numFmtId="37" fontId="35" fillId="0" borderId="0" xfId="0" applyNumberFormat="1" applyFont="1" applyFill="1" applyBorder="1"/>
    <xf numFmtId="37" fontId="35" fillId="0" borderId="23" xfId="0" applyNumberFormat="1" applyFont="1" applyFill="1" applyBorder="1"/>
    <xf numFmtId="37" fontId="35" fillId="0" borderId="0" xfId="0" applyNumberFormat="1" applyFont="1"/>
    <xf numFmtId="185" fontId="1" fillId="21" borderId="12" xfId="86" applyNumberFormat="1" applyFill="1" applyBorder="1" applyAlignment="1">
      <alignment horizontal="left" indent="2"/>
    </xf>
    <xf numFmtId="184" fontId="1" fillId="21" borderId="12" xfId="42" applyNumberFormat="1" applyFill="1" applyBorder="1" applyAlignment="1">
      <alignment horizontal="left" indent="2"/>
    </xf>
    <xf numFmtId="0" fontId="36" fillId="0" borderId="0" xfId="0" applyFont="1" applyFill="1" applyAlignment="1">
      <alignment horizontal="left" indent="1"/>
    </xf>
    <xf numFmtId="185" fontId="1" fillId="0" borderId="12" xfId="86" applyNumberFormat="1" applyFill="1" applyBorder="1" applyAlignment="1">
      <alignment horizontal="left" indent="2"/>
    </xf>
    <xf numFmtId="184" fontId="1" fillId="0" borderId="12" xfId="42" applyNumberFormat="1" applyFill="1" applyBorder="1" applyAlignment="1">
      <alignment horizontal="left" indent="2"/>
    </xf>
    <xf numFmtId="0" fontId="0" fillId="0" borderId="0" xfId="0" applyFill="1" applyAlignment="1">
      <alignment horizontal="left" indent="2"/>
    </xf>
    <xf numFmtId="0" fontId="35" fillId="0" borderId="0" xfId="0" applyFont="1" applyAlignment="1">
      <alignment horizontal="center" wrapText="1"/>
    </xf>
    <xf numFmtId="0" fontId="51" fillId="0" borderId="32" xfId="238" applyFont="1" applyFill="1" applyBorder="1" applyAlignment="1">
      <alignment horizontal="center"/>
    </xf>
    <xf numFmtId="0" fontId="51" fillId="0" borderId="31" xfId="238" applyFont="1" applyBorder="1" applyAlignment="1">
      <alignment horizontal="center"/>
    </xf>
    <xf numFmtId="185" fontId="0" fillId="0" borderId="0" xfId="0" applyNumberFormat="1"/>
    <xf numFmtId="176" fontId="0" fillId="0" borderId="0" xfId="260" applyNumberFormat="1" applyFont="1"/>
    <xf numFmtId="184" fontId="1" fillId="21" borderId="43" xfId="42" applyNumberFormat="1" applyFill="1" applyBorder="1" applyAlignment="1">
      <alignment horizontal="center"/>
    </xf>
    <xf numFmtId="0" fontId="37" fillId="0" borderId="0" xfId="0" applyFont="1" applyAlignment="1">
      <alignment horizontal="left"/>
    </xf>
    <xf numFmtId="0" fontId="49" fillId="0" borderId="0" xfId="0" applyFont="1" applyAlignment="1">
      <alignment horizontal="left"/>
    </xf>
    <xf numFmtId="0" fontId="36" fillId="0" borderId="40" xfId="0" applyFont="1" applyBorder="1" applyAlignment="1">
      <alignment horizontal="center"/>
    </xf>
    <xf numFmtId="0" fontId="36" fillId="0" borderId="36" xfId="0" applyFont="1" applyBorder="1" applyAlignment="1">
      <alignment horizontal="center"/>
    </xf>
    <xf numFmtId="0" fontId="0" fillId="21" borderId="12" xfId="42" applyNumberFormat="1" applyFont="1" applyFill="1" applyBorder="1" applyAlignment="1">
      <alignment horizontal="center"/>
    </xf>
    <xf numFmtId="0" fontId="36" fillId="0" borderId="35" xfId="0" applyFont="1" applyBorder="1"/>
    <xf numFmtId="185" fontId="0" fillId="0" borderId="0" xfId="86" applyNumberFormat="1" applyFont="1" applyFill="1" applyBorder="1"/>
    <xf numFmtId="185" fontId="0" fillId="0" borderId="26" xfId="86" applyNumberFormat="1" applyFont="1" applyFill="1" applyBorder="1"/>
    <xf numFmtId="0" fontId="36" fillId="0" borderId="0" xfId="0" applyFont="1" applyFill="1" applyAlignment="1">
      <alignment horizontal="left"/>
    </xf>
    <xf numFmtId="0" fontId="1" fillId="0" borderId="0" xfId="42" applyNumberFormat="1" applyFill="1" applyBorder="1" applyAlignment="1">
      <alignment horizontal="center"/>
    </xf>
    <xf numFmtId="0" fontId="36" fillId="0" borderId="34" xfId="0" applyFont="1" applyFill="1" applyBorder="1"/>
    <xf numFmtId="0" fontId="0" fillId="0" borderId="40" xfId="0" applyFill="1" applyBorder="1"/>
    <xf numFmtId="0" fontId="0" fillId="0" borderId="41" xfId="0" applyFill="1" applyBorder="1"/>
    <xf numFmtId="0" fontId="0" fillId="0" borderId="36" xfId="0" applyFill="1" applyBorder="1"/>
    <xf numFmtId="0" fontId="36" fillId="0" borderId="37" xfId="0" applyFont="1" applyFill="1" applyBorder="1" applyAlignment="1">
      <alignment horizontal="center"/>
    </xf>
    <xf numFmtId="0" fontId="36" fillId="0" borderId="35" xfId="0" applyFont="1" applyFill="1" applyBorder="1" applyAlignment="1">
      <alignment horizontal="center"/>
    </xf>
    <xf numFmtId="0" fontId="0" fillId="0" borderId="36" xfId="0" applyFill="1" applyBorder="1" applyAlignment="1">
      <alignment horizontal="center"/>
    </xf>
    <xf numFmtId="0" fontId="0" fillId="0" borderId="38" xfId="0" applyFill="1" applyBorder="1"/>
    <xf numFmtId="0" fontId="0" fillId="0" borderId="39" xfId="0" applyFill="1" applyBorder="1"/>
    <xf numFmtId="0" fontId="1" fillId="0" borderId="0" xfId="0" applyFont="1" applyFill="1" applyBorder="1" applyAlignment="1">
      <alignment horizontal="left"/>
    </xf>
    <xf numFmtId="0" fontId="0" fillId="0" borderId="0" xfId="0" applyFill="1" applyAlignment="1">
      <alignment horizontal="center" wrapText="1"/>
    </xf>
    <xf numFmtId="0" fontId="0" fillId="0" borderId="36" xfId="0" applyBorder="1" applyAlignment="1">
      <alignment horizontal="center" vertical="center"/>
    </xf>
    <xf numFmtId="0" fontId="36" fillId="0" borderId="0" xfId="0" applyFont="1" applyFill="1" applyAlignment="1">
      <alignment horizontal="right"/>
    </xf>
    <xf numFmtId="41" fontId="36" fillId="0" borderId="26" xfId="246" applyNumberFormat="1" applyFont="1" applyBorder="1" applyAlignment="1" applyProtection="1">
      <protection locked="0"/>
    </xf>
    <xf numFmtId="9" fontId="35" fillId="0" borderId="0" xfId="260" applyFont="1" applyAlignment="1" applyProtection="1">
      <protection locked="0"/>
    </xf>
    <xf numFmtId="10" fontId="35" fillId="0" borderId="0" xfId="260" applyNumberFormat="1" applyFont="1" applyAlignment="1" applyProtection="1">
      <alignment horizontal="right"/>
      <protection locked="0"/>
    </xf>
    <xf numFmtId="9" fontId="35" fillId="0" borderId="0" xfId="260" applyFont="1" applyBorder="1" applyAlignment="1" applyProtection="1">
      <protection locked="0"/>
    </xf>
    <xf numFmtId="184" fontId="35" fillId="0" borderId="0" xfId="42" applyNumberFormat="1" applyFont="1" applyAlignment="1" applyProtection="1">
      <protection locked="0"/>
    </xf>
    <xf numFmtId="43" fontId="35" fillId="0" borderId="0" xfId="42" applyFont="1" applyFill="1" applyAlignment="1" applyProtection="1">
      <protection locked="0"/>
    </xf>
    <xf numFmtId="0" fontId="0" fillId="0" borderId="0" xfId="42" applyNumberFormat="1" applyFont="1" applyFill="1" applyBorder="1" applyAlignment="1">
      <alignment horizontal="center"/>
    </xf>
    <xf numFmtId="49" fontId="36" fillId="0" borderId="23" xfId="247" applyNumberFormat="1" applyFont="1" applyBorder="1" applyAlignment="1">
      <alignment horizontal="center" wrapText="1"/>
    </xf>
    <xf numFmtId="202" fontId="36" fillId="0" borderId="42" xfId="247" applyNumberFormat="1" applyFont="1" applyFill="1" applyBorder="1" applyAlignment="1">
      <alignment horizontal="center" wrapText="1"/>
    </xf>
    <xf numFmtId="0" fontId="0" fillId="0" borderId="25" xfId="0" applyBorder="1"/>
    <xf numFmtId="49" fontId="36" fillId="0" borderId="23" xfId="247" applyNumberFormat="1" applyFont="1" applyFill="1" applyBorder="1" applyAlignment="1">
      <alignment horizontal="center" wrapText="1"/>
    </xf>
    <xf numFmtId="0" fontId="0" fillId="0" borderId="44" xfId="0" applyBorder="1"/>
    <xf numFmtId="0" fontId="0" fillId="0" borderId="41" xfId="0" applyBorder="1"/>
    <xf numFmtId="0" fontId="0" fillId="0" borderId="45" xfId="0" applyFill="1" applyBorder="1"/>
    <xf numFmtId="0" fontId="0" fillId="21" borderId="46" xfId="0" applyFill="1" applyBorder="1"/>
    <xf numFmtId="0" fontId="0" fillId="21" borderId="45" xfId="0" applyFill="1" applyBorder="1"/>
    <xf numFmtId="0" fontId="0" fillId="0" borderId="47" xfId="0" applyBorder="1"/>
    <xf numFmtId="0" fontId="35" fillId="0" borderId="0" xfId="246" applyNumberFormat="1" applyFont="1" applyFill="1" applyBorder="1" applyAlignment="1" applyProtection="1">
      <alignment vertical="top" wrapText="1"/>
      <protection locked="0"/>
    </xf>
    <xf numFmtId="0" fontId="35" fillId="21" borderId="12" xfId="241" applyFont="1" applyFill="1" applyBorder="1" applyAlignment="1">
      <alignment horizontal="center"/>
    </xf>
    <xf numFmtId="0" fontId="36" fillId="0" borderId="42" xfId="0" applyFont="1" applyBorder="1" applyAlignment="1">
      <alignment horizontal="center" wrapText="1"/>
    </xf>
    <xf numFmtId="184" fontId="0" fillId="0" borderId="37" xfId="0" applyNumberFormat="1" applyFill="1" applyBorder="1"/>
    <xf numFmtId="185" fontId="0" fillId="0" borderId="37" xfId="86" applyNumberFormat="1" applyFont="1" applyFill="1" applyBorder="1"/>
    <xf numFmtId="0" fontId="36" fillId="0" borderId="35" xfId="0" applyFont="1" applyBorder="1" applyAlignment="1">
      <alignment horizontal="center" wrapText="1"/>
    </xf>
    <xf numFmtId="0" fontId="36" fillId="0" borderId="42" xfId="0" applyFont="1" applyBorder="1" applyAlignment="1">
      <alignment horizontal="center"/>
    </xf>
    <xf numFmtId="185" fontId="1" fillId="0" borderId="37" xfId="86" applyNumberFormat="1" applyBorder="1"/>
    <xf numFmtId="0" fontId="0" fillId="0" borderId="38" xfId="0" applyBorder="1" applyAlignment="1">
      <alignment horizontal="center"/>
    </xf>
    <xf numFmtId="0" fontId="0" fillId="0" borderId="14" xfId="0" applyBorder="1" applyAlignment="1">
      <alignment horizontal="center"/>
    </xf>
    <xf numFmtId="0" fontId="0" fillId="0" borderId="14" xfId="0" applyBorder="1" applyAlignment="1">
      <alignment horizontal="left" indent="2"/>
    </xf>
    <xf numFmtId="185" fontId="1" fillId="0" borderId="14" xfId="86" applyNumberFormat="1" applyBorder="1"/>
    <xf numFmtId="185" fontId="1" fillId="0" borderId="39" xfId="86" applyNumberFormat="1" applyBorder="1"/>
    <xf numFmtId="0" fontId="36" fillId="0" borderId="42" xfId="0" applyFont="1" applyFill="1" applyBorder="1" applyAlignment="1">
      <alignment horizontal="center" wrapText="1"/>
    </xf>
    <xf numFmtId="184" fontId="0" fillId="0" borderId="37" xfId="0" applyNumberFormat="1" applyBorder="1"/>
    <xf numFmtId="184" fontId="0" fillId="0" borderId="42" xfId="0" applyNumberFormat="1" applyBorder="1"/>
    <xf numFmtId="37" fontId="1" fillId="21" borderId="12" xfId="0" applyNumberFormat="1" applyFont="1" applyFill="1" applyBorder="1"/>
    <xf numFmtId="37" fontId="1" fillId="21" borderId="27" xfId="0" applyNumberFormat="1" applyFont="1" applyFill="1" applyBorder="1"/>
    <xf numFmtId="9" fontId="35" fillId="0" borderId="0" xfId="260" applyNumberFormat="1" applyFont="1" applyFill="1" applyAlignment="1" applyProtection="1">
      <alignment horizontal="center" vertical="center"/>
      <protection locked="0"/>
    </xf>
    <xf numFmtId="0" fontId="64" fillId="0" borderId="0" xfId="0" applyFont="1" applyAlignment="1">
      <alignment horizontal="center"/>
    </xf>
    <xf numFmtId="0" fontId="65" fillId="0" borderId="0" xfId="0" applyFont="1" applyAlignment="1">
      <alignment horizontal="center"/>
    </xf>
    <xf numFmtId="3" fontId="0" fillId="0" borderId="0" xfId="0" applyNumberFormat="1" applyBorder="1" applyAlignment="1">
      <alignment horizontal="center"/>
    </xf>
    <xf numFmtId="3" fontId="40" fillId="0" borderId="0" xfId="0" applyNumberFormat="1" applyFont="1" applyBorder="1" applyAlignment="1">
      <alignment horizontal="center"/>
    </xf>
    <xf numFmtId="3" fontId="0" fillId="0" borderId="0" xfId="42" applyNumberFormat="1" applyFont="1" applyAlignment="1">
      <alignment horizontal="center"/>
    </xf>
    <xf numFmtId="3" fontId="0" fillId="0" borderId="0" xfId="42" applyNumberFormat="1" applyFont="1" applyBorder="1" applyAlignment="1">
      <alignment horizontal="center"/>
    </xf>
    <xf numFmtId="9" fontId="1" fillId="0" borderId="0" xfId="0" applyNumberFormat="1" applyFont="1" applyAlignment="1">
      <alignment horizontal="center"/>
    </xf>
    <xf numFmtId="178" fontId="35" fillId="0" borderId="0" xfId="42" applyNumberFormat="1" applyFont="1" applyFill="1" applyAlignment="1" applyProtection="1">
      <alignment horizontal="right"/>
      <protection locked="0"/>
    </xf>
    <xf numFmtId="0" fontId="35" fillId="0" borderId="0" xfId="0" applyFont="1" applyFill="1" applyAlignment="1">
      <alignment horizontal="left"/>
    </xf>
    <xf numFmtId="170" fontId="35" fillId="0" borderId="0" xfId="246" applyFont="1" applyFill="1" applyAlignment="1"/>
    <xf numFmtId="0" fontId="35" fillId="0" borderId="0" xfId="246" applyNumberFormat="1" applyFont="1" applyAlignment="1" applyProtection="1">
      <alignment horizontal="left"/>
      <protection locked="0"/>
    </xf>
    <xf numFmtId="0" fontId="0" fillId="0" borderId="0" xfId="0" applyFill="1" applyBorder="1" applyAlignment="1">
      <alignment horizontal="center" vertical="center"/>
    </xf>
    <xf numFmtId="0" fontId="53" fillId="0" borderId="0" xfId="238" applyFont="1" applyBorder="1" applyAlignment="1">
      <alignment horizontal="left" indent="2"/>
    </xf>
    <xf numFmtId="38" fontId="35" fillId="0" borderId="0" xfId="250" applyFont="1" applyFill="1"/>
    <xf numFmtId="38" fontId="35" fillId="0" borderId="0" xfId="250" applyFont="1" applyFill="1" applyAlignment="1">
      <alignment horizontal="center"/>
    </xf>
    <xf numFmtId="184" fontId="1" fillId="0" borderId="0" xfId="42" applyNumberFormat="1" applyFont="1" applyAlignment="1">
      <alignment horizontal="center"/>
    </xf>
    <xf numFmtId="0" fontId="1" fillId="0" borderId="0" xfId="248" applyBorder="1" applyAlignment="1">
      <alignment horizontal="center"/>
    </xf>
    <xf numFmtId="203" fontId="0" fillId="0" borderId="0" xfId="0" applyNumberFormat="1"/>
    <xf numFmtId="203" fontId="0" fillId="0" borderId="0" xfId="0" applyNumberFormat="1" applyBorder="1"/>
    <xf numFmtId="0" fontId="37" fillId="0" borderId="0" xfId="0" applyFont="1" applyAlignment="1">
      <alignment horizontal="left" indent="1"/>
    </xf>
    <xf numFmtId="182" fontId="1" fillId="0" borderId="48" xfId="0" applyNumberFormat="1" applyFont="1" applyFill="1" applyBorder="1"/>
    <xf numFmtId="184" fontId="55" fillId="0" borderId="0" xfId="42" applyNumberFormat="1" applyFont="1" applyBorder="1"/>
    <xf numFmtId="203" fontId="40" fillId="0" borderId="0" xfId="0" applyNumberFormat="1" applyFont="1"/>
    <xf numFmtId="204" fontId="40" fillId="0" borderId="0" xfId="0" applyNumberFormat="1" applyFont="1"/>
    <xf numFmtId="0" fontId="61" fillId="0" borderId="0" xfId="254" applyFont="1" applyAlignment="1">
      <alignment horizontal="right"/>
    </xf>
    <xf numFmtId="0" fontId="55" fillId="0" borderId="0" xfId="0" applyFont="1" applyBorder="1"/>
    <xf numFmtId="0" fontId="55" fillId="0" borderId="0" xfId="0" applyFont="1" applyBorder="1" applyAlignment="1">
      <alignment horizontal="left" indent="1"/>
    </xf>
    <xf numFmtId="0" fontId="55" fillId="0" borderId="0" xfId="0" applyFont="1" applyBorder="1" applyAlignment="1">
      <alignment horizontal="left"/>
    </xf>
    <xf numFmtId="0" fontId="55" fillId="0" borderId="0" xfId="0" applyFont="1" applyBorder="1" applyAlignment="1">
      <alignment horizontal="left" indent="2"/>
    </xf>
    <xf numFmtId="0" fontId="55" fillId="0" borderId="0" xfId="0" applyFont="1" applyFill="1" applyBorder="1"/>
    <xf numFmtId="0" fontId="55" fillId="0" borderId="0" xfId="0" applyFont="1" applyFill="1" applyBorder="1" applyAlignment="1">
      <alignment horizontal="center"/>
    </xf>
    <xf numFmtId="10" fontId="55" fillId="0" borderId="0" xfId="260" applyNumberFormat="1" applyFont="1" applyBorder="1"/>
    <xf numFmtId="176" fontId="55" fillId="0" borderId="0" xfId="260" applyNumberFormat="1" applyFont="1" applyBorder="1"/>
    <xf numFmtId="0" fontId="55" fillId="0" borderId="0" xfId="246" applyNumberFormat="1" applyFont="1" applyBorder="1" applyAlignment="1" applyProtection="1">
      <protection locked="0"/>
    </xf>
    <xf numFmtId="176" fontId="36" fillId="0" borderId="0" xfId="260" applyNumberFormat="1" applyFont="1" applyProtection="1">
      <protection locked="0"/>
    </xf>
    <xf numFmtId="184" fontId="35" fillId="0" borderId="26" xfId="42" applyNumberFormat="1" applyFont="1" applyFill="1" applyBorder="1"/>
    <xf numFmtId="0" fontId="0" fillId="0" borderId="0" xfId="0" applyBorder="1" applyAlignment="1">
      <alignment horizontal="right"/>
    </xf>
    <xf numFmtId="184" fontId="35" fillId="21" borderId="43" xfId="42" applyNumberFormat="1" applyFont="1" applyFill="1" applyBorder="1"/>
    <xf numFmtId="184" fontId="35" fillId="0" borderId="26" xfId="42" applyNumberFormat="1" applyFont="1" applyBorder="1"/>
    <xf numFmtId="184" fontId="53" fillId="0" borderId="26" xfId="42" applyNumberFormat="1" applyFont="1" applyBorder="1" applyAlignment="1">
      <alignment horizontal="left"/>
    </xf>
    <xf numFmtId="185" fontId="1" fillId="21" borderId="26" xfId="86" applyNumberFormat="1" applyFill="1" applyBorder="1"/>
    <xf numFmtId="0" fontId="0" fillId="21" borderId="26" xfId="0" applyFill="1" applyBorder="1"/>
    <xf numFmtId="184" fontId="1" fillId="0" borderId="49" xfId="42" applyNumberFormat="1" applyBorder="1"/>
    <xf numFmtId="0" fontId="0" fillId="21" borderId="43" xfId="0" applyFill="1" applyBorder="1"/>
    <xf numFmtId="37" fontId="0" fillId="0" borderId="26" xfId="0" applyNumberFormat="1" applyBorder="1"/>
    <xf numFmtId="10" fontId="1" fillId="0" borderId="26" xfId="260" applyNumberFormat="1" applyBorder="1"/>
    <xf numFmtId="182" fontId="0" fillId="0" borderId="48" xfId="0" applyNumberFormat="1" applyBorder="1"/>
    <xf numFmtId="184" fontId="0" fillId="0" borderId="48" xfId="42" applyNumberFormat="1" applyFont="1" applyBorder="1"/>
    <xf numFmtId="174" fontId="0" fillId="0" borderId="48" xfId="0" applyNumberFormat="1" applyBorder="1"/>
    <xf numFmtId="185" fontId="0" fillId="0" borderId="48" xfId="86" applyNumberFormat="1" applyFont="1" applyBorder="1"/>
    <xf numFmtId="38" fontId="35" fillId="0" borderId="0" xfId="250" applyFont="1" applyAlignment="1">
      <alignment horizontal="center" vertical="top"/>
    </xf>
    <xf numFmtId="3" fontId="0" fillId="0" borderId="0" xfId="0" applyNumberFormat="1"/>
    <xf numFmtId="3" fontId="0" fillId="0" borderId="0" xfId="0" applyNumberFormat="1" applyAlignment="1">
      <alignment horizontal="center"/>
    </xf>
    <xf numFmtId="3" fontId="0" fillId="21" borderId="12" xfId="0" applyNumberFormat="1" applyFill="1" applyBorder="1"/>
    <xf numFmtId="1" fontId="0" fillId="0" borderId="0" xfId="0" applyNumberFormat="1" applyBorder="1"/>
    <xf numFmtId="10" fontId="0" fillId="0" borderId="26" xfId="260" applyNumberFormat="1" applyFont="1" applyBorder="1"/>
    <xf numFmtId="0" fontId="1" fillId="0" borderId="0" xfId="0" applyFont="1" applyBorder="1" applyAlignment="1">
      <alignment horizontal="left"/>
    </xf>
    <xf numFmtId="0" fontId="1" fillId="0" borderId="0" xfId="0" applyFont="1" applyAlignment="1">
      <alignment wrapText="1"/>
    </xf>
    <xf numFmtId="178" fontId="1" fillId="0" borderId="0" xfId="0" applyNumberFormat="1" applyFont="1" applyAlignment="1">
      <alignment horizontal="center"/>
    </xf>
    <xf numFmtId="184" fontId="35" fillId="0" borderId="0" xfId="0" applyNumberFormat="1" applyFont="1" applyFill="1"/>
    <xf numFmtId="0" fontId="40" fillId="0" borderId="0" xfId="0" applyFont="1" applyFill="1" applyAlignment="1">
      <alignment horizontal="centerContinuous"/>
    </xf>
    <xf numFmtId="0" fontId="35" fillId="0" borderId="0" xfId="244" applyFont="1" applyFill="1" applyAlignment="1">
      <alignment horizontal="center" vertical="top"/>
    </xf>
    <xf numFmtId="201" fontId="0" fillId="0" borderId="0" xfId="42" applyNumberFormat="1" applyFont="1"/>
    <xf numFmtId="180" fontId="55" fillId="0" borderId="0" xfId="254" applyNumberFormat="1" applyFont="1" applyFill="1" applyBorder="1" applyAlignment="1">
      <alignment horizontal="right"/>
    </xf>
    <xf numFmtId="203" fontId="20" fillId="0" borderId="0" xfId="0" applyNumberFormat="1" applyFont="1"/>
    <xf numFmtId="181" fontId="0" fillId="0" borderId="0" xfId="0" applyNumberFormat="1" applyAlignment="1">
      <alignment horizontal="center"/>
    </xf>
    <xf numFmtId="3" fontId="55" fillId="0" borderId="27" xfId="254" applyNumberFormat="1" applyFont="1" applyFill="1" applyBorder="1" applyAlignment="1">
      <alignment horizontal="right"/>
    </xf>
    <xf numFmtId="185" fontId="1" fillId="0" borderId="0" xfId="86" applyNumberFormat="1" applyFont="1" applyFill="1"/>
    <xf numFmtId="192" fontId="0" fillId="0" borderId="0" xfId="86" applyNumberFormat="1" applyFont="1"/>
    <xf numFmtId="0" fontId="0" fillId="0" borderId="23" xfId="0" applyFill="1" applyBorder="1" applyAlignment="1">
      <alignment horizontal="left"/>
    </xf>
    <xf numFmtId="10" fontId="1" fillId="0" borderId="37" xfId="260" applyNumberFormat="1" applyFill="1" applyBorder="1"/>
    <xf numFmtId="0" fontId="0" fillId="0" borderId="14" xfId="0" applyFill="1" applyBorder="1" applyAlignment="1">
      <alignment horizontal="left"/>
    </xf>
    <xf numFmtId="0" fontId="36" fillId="0" borderId="34" xfId="0" applyFont="1" applyBorder="1" applyAlignment="1"/>
    <xf numFmtId="0" fontId="36" fillId="0" borderId="37" xfId="0" applyFont="1" applyBorder="1" applyAlignment="1">
      <alignment horizontal="center" wrapText="1"/>
    </xf>
    <xf numFmtId="0" fontId="0" fillId="21" borderId="12" xfId="0" applyFill="1" applyBorder="1" applyAlignment="1">
      <alignment horizontal="left"/>
    </xf>
    <xf numFmtId="0" fontId="36" fillId="0" borderId="0" xfId="0" applyFont="1" applyBorder="1" applyAlignment="1"/>
    <xf numFmtId="184" fontId="1" fillId="21" borderId="54" xfId="42" applyNumberFormat="1" applyFill="1" applyBorder="1" applyAlignment="1">
      <alignment horizontal="left" indent="2"/>
    </xf>
    <xf numFmtId="184" fontId="1" fillId="0" borderId="55" xfId="42" applyNumberFormat="1" applyFill="1" applyBorder="1"/>
    <xf numFmtId="176" fontId="0" fillId="0" borderId="0" xfId="260" applyNumberFormat="1" applyFont="1" applyBorder="1"/>
    <xf numFmtId="185" fontId="1" fillId="0" borderId="0" xfId="0" applyNumberFormat="1" applyFont="1"/>
    <xf numFmtId="0" fontId="0" fillId="21" borderId="12" xfId="0" applyFill="1" applyBorder="1" applyAlignment="1">
      <alignment horizontal="left" wrapText="1"/>
    </xf>
    <xf numFmtId="37" fontId="35" fillId="21" borderId="12" xfId="42" applyNumberFormat="1" applyFont="1" applyFill="1" applyBorder="1"/>
    <xf numFmtId="184" fontId="0" fillId="0" borderId="0" xfId="0" applyNumberFormat="1" applyFill="1" applyBorder="1" applyAlignment="1">
      <alignment horizontal="left" wrapText="1"/>
    </xf>
    <xf numFmtId="192" fontId="1" fillId="0" borderId="0" xfId="86" applyNumberFormat="1" applyFont="1" applyFill="1" applyAlignment="1">
      <alignment horizontal="center"/>
    </xf>
    <xf numFmtId="186" fontId="0" fillId="0" borderId="0" xfId="0" applyNumberFormat="1"/>
    <xf numFmtId="0" fontId="35" fillId="0" borderId="0" xfId="244" applyFont="1" applyFill="1" applyAlignment="1">
      <alignment wrapText="1"/>
    </xf>
    <xf numFmtId="185" fontId="0" fillId="21" borderId="12" xfId="86" applyNumberFormat="1" applyFont="1" applyFill="1" applyBorder="1" applyAlignment="1">
      <alignment horizontal="center"/>
    </xf>
    <xf numFmtId="192" fontId="0" fillId="0" borderId="0" xfId="86" applyNumberFormat="1" applyFont="1" applyBorder="1"/>
    <xf numFmtId="0" fontId="67" fillId="0" borderId="0" xfId="0" applyFont="1"/>
    <xf numFmtId="185" fontId="1" fillId="21" borderId="12" xfId="86" applyNumberFormat="1" applyFill="1" applyBorder="1" applyAlignment="1">
      <alignment horizontal="left"/>
    </xf>
    <xf numFmtId="184" fontId="1" fillId="21" borderId="12" xfId="42" applyNumberFormat="1" applyFill="1" applyBorder="1" applyAlignment="1">
      <alignment horizontal="left"/>
    </xf>
    <xf numFmtId="184" fontId="1" fillId="21" borderId="54" xfId="42" applyNumberFormat="1" applyFill="1" applyBorder="1" applyAlignment="1">
      <alignment horizontal="left"/>
    </xf>
    <xf numFmtId="37" fontId="0" fillId="0" borderId="0" xfId="0" applyNumberFormat="1" applyFill="1" applyAlignment="1">
      <alignment horizontal="left"/>
    </xf>
    <xf numFmtId="0" fontId="1" fillId="0" borderId="0" xfId="0" applyFont="1" applyFill="1" applyAlignment="1">
      <alignment horizontal="left" indent="1"/>
    </xf>
    <xf numFmtId="0" fontId="1" fillId="0" borderId="0" xfId="0" applyFont="1" applyFill="1"/>
    <xf numFmtId="0" fontId="1" fillId="0" borderId="0" xfId="0" applyFont="1" applyFill="1" applyAlignment="1">
      <alignment horizontal="left" wrapText="1" indent="1"/>
    </xf>
    <xf numFmtId="10" fontId="1" fillId="0" borderId="0" xfId="260" applyNumberFormat="1" applyFont="1" applyFill="1" applyAlignment="1">
      <alignment horizontal="center"/>
    </xf>
    <xf numFmtId="10" fontId="0" fillId="0" borderId="0" xfId="0" applyNumberFormat="1" applyFill="1"/>
    <xf numFmtId="0" fontId="36" fillId="0" borderId="23" xfId="246" applyNumberFormat="1" applyFont="1" applyFill="1" applyBorder="1" applyAlignment="1" applyProtection="1">
      <alignment horizontal="center"/>
      <protection locked="0"/>
    </xf>
    <xf numFmtId="170" fontId="36" fillId="0" borderId="23" xfId="246" applyFont="1" applyFill="1" applyBorder="1" applyAlignment="1" applyProtection="1">
      <alignment horizontal="center"/>
      <protection locked="0"/>
    </xf>
    <xf numFmtId="49" fontId="35" fillId="0" borderId="0" xfId="246" applyNumberFormat="1" applyFont="1" applyFill="1" applyAlignment="1" applyProtection="1">
      <alignment horizontal="center"/>
      <protection locked="0"/>
    </xf>
    <xf numFmtId="170" fontId="36" fillId="0" borderId="0" xfId="246" applyFont="1" applyFill="1" applyAlignment="1" applyProtection="1">
      <alignment horizontal="center"/>
      <protection locked="0"/>
    </xf>
    <xf numFmtId="3" fontId="36" fillId="0" borderId="23" xfId="246" applyNumberFormat="1" applyFont="1" applyFill="1" applyBorder="1" applyAlignment="1" applyProtection="1">
      <alignment horizontal="center"/>
      <protection locked="0"/>
    </xf>
    <xf numFmtId="9" fontId="35" fillId="0" borderId="0" xfId="260" applyFont="1" applyFill="1" applyAlignment="1">
      <alignment horizontal="center"/>
    </xf>
    <xf numFmtId="184" fontId="35" fillId="0" borderId="0" xfId="0" applyNumberFormat="1" applyFont="1" applyFill="1" applyBorder="1"/>
    <xf numFmtId="184" fontId="35" fillId="0" borderId="23" xfId="0" applyNumberFormat="1" applyFont="1" applyFill="1" applyBorder="1"/>
    <xf numFmtId="0" fontId="36" fillId="0" borderId="0" xfId="246" applyNumberFormat="1" applyFont="1" applyFill="1" applyAlignment="1" applyProtection="1">
      <alignment horizontal="center"/>
      <protection locked="0"/>
    </xf>
    <xf numFmtId="0" fontId="38" fillId="0" borderId="0" xfId="246" applyNumberFormat="1" applyFont="1" applyFill="1" applyAlignment="1" applyProtection="1">
      <alignment horizontal="center"/>
      <protection locked="0"/>
    </xf>
    <xf numFmtId="0" fontId="35" fillId="0" borderId="0" xfId="0" applyFont="1" applyFill="1" applyAlignment="1">
      <alignment horizontal="left" indent="1"/>
    </xf>
    <xf numFmtId="37" fontId="36" fillId="0" borderId="0" xfId="250" applyNumberFormat="1" applyFont="1" applyFill="1" applyBorder="1" applyAlignment="1">
      <alignment horizontal="center"/>
    </xf>
    <xf numFmtId="37" fontId="36" fillId="0" borderId="0" xfId="250" applyNumberFormat="1" applyFont="1" applyFill="1" applyAlignment="1">
      <alignment horizontal="center"/>
    </xf>
    <xf numFmtId="38" fontId="38" fillId="0" borderId="0" xfId="250" applyFont="1" applyFill="1"/>
    <xf numFmtId="38" fontId="35" fillId="0" borderId="0" xfId="250" applyFont="1" applyFill="1" applyAlignment="1">
      <alignment horizontal="left" wrapText="1"/>
    </xf>
    <xf numFmtId="37" fontId="35" fillId="0" borderId="0" xfId="250" applyNumberFormat="1" applyFont="1" applyFill="1"/>
    <xf numFmtId="0" fontId="36" fillId="0" borderId="0" xfId="0" applyFont="1" applyFill="1" applyAlignment="1">
      <alignment horizontal="center"/>
    </xf>
    <xf numFmtId="0" fontId="0" fillId="0" borderId="18" xfId="0" applyFill="1" applyBorder="1" applyAlignment="1">
      <alignment horizontal="center"/>
    </xf>
    <xf numFmtId="0" fontId="0" fillId="0" borderId="37" xfId="0" applyFill="1" applyBorder="1" applyAlignment="1">
      <alignment horizontal="center"/>
    </xf>
    <xf numFmtId="0" fontId="1" fillId="0" borderId="0" xfId="0" applyFont="1" applyFill="1" applyBorder="1" applyAlignment="1">
      <alignment horizontal="center"/>
    </xf>
    <xf numFmtId="0" fontId="1" fillId="0" borderId="37" xfId="0" applyFont="1" applyFill="1" applyBorder="1" applyAlignment="1">
      <alignment horizontal="center"/>
    </xf>
    <xf numFmtId="0" fontId="53" fillId="0" borderId="0" xfId="238" applyFont="1" applyFill="1" applyBorder="1" applyAlignment="1">
      <alignment horizontal="center"/>
    </xf>
    <xf numFmtId="184" fontId="53" fillId="0" borderId="26" xfId="42" applyNumberFormat="1" applyFont="1" applyFill="1" applyBorder="1" applyAlignment="1">
      <alignment horizontal="left"/>
    </xf>
    <xf numFmtId="184" fontId="1" fillId="0" borderId="24" xfId="42" applyNumberFormat="1" applyFill="1" applyBorder="1"/>
    <xf numFmtId="0" fontId="0" fillId="21" borderId="10" xfId="0" applyFill="1" applyBorder="1"/>
    <xf numFmtId="0" fontId="36" fillId="0" borderId="23" xfId="252" applyFont="1" applyFill="1" applyBorder="1" applyAlignment="1">
      <alignment horizontal="center"/>
    </xf>
    <xf numFmtId="0" fontId="35" fillId="21" borderId="12" xfId="252" applyFont="1" applyFill="1" applyBorder="1"/>
    <xf numFmtId="0" fontId="0" fillId="0" borderId="0" xfId="0" applyFill="1" applyBorder="1" applyAlignment="1">
      <alignment horizontal="left" indent="2"/>
    </xf>
    <xf numFmtId="0" fontId="1" fillId="0" borderId="0" xfId="0" applyFont="1" applyFill="1" applyBorder="1" applyAlignment="1">
      <alignment horizontal="left" wrapText="1" indent="1"/>
    </xf>
    <xf numFmtId="0" fontId="1" fillId="0" borderId="0" xfId="0" applyFont="1" applyFill="1" applyBorder="1" applyAlignment="1">
      <alignment horizontal="left" wrapText="1" indent="2"/>
    </xf>
    <xf numFmtId="0" fontId="1" fillId="0" borderId="0" xfId="0" applyFont="1" applyFill="1" applyBorder="1" applyAlignment="1">
      <alignment horizontal="left" indent="1"/>
    </xf>
    <xf numFmtId="0" fontId="35" fillId="0" borderId="0" xfId="244" applyFont="1" applyFill="1" applyAlignment="1">
      <alignment horizontal="left" indent="1"/>
    </xf>
    <xf numFmtId="2" fontId="35" fillId="0" borderId="0" xfId="244" applyNumberFormat="1" applyFont="1" applyFill="1"/>
    <xf numFmtId="0" fontId="35" fillId="0" borderId="0" xfId="244" applyFont="1" applyFill="1" applyAlignment="1">
      <alignment horizontal="center" wrapText="1"/>
    </xf>
    <xf numFmtId="0" fontId="38" fillId="0" borderId="0" xfId="0" applyFont="1" applyFill="1" applyAlignment="1">
      <alignment horizontal="left"/>
    </xf>
    <xf numFmtId="186" fontId="0" fillId="0" borderId="0" xfId="0" applyNumberFormat="1" applyFill="1"/>
    <xf numFmtId="194" fontId="1" fillId="0" borderId="0" xfId="0" applyNumberFormat="1" applyFont="1" applyFill="1"/>
    <xf numFmtId="0" fontId="1" fillId="0" borderId="0" xfId="248" applyFill="1" applyAlignment="1">
      <alignment horizontal="center"/>
    </xf>
    <xf numFmtId="194" fontId="0" fillId="0" borderId="0" xfId="0" applyNumberFormat="1" applyFill="1" applyAlignment="1">
      <alignment horizontal="right"/>
    </xf>
    <xf numFmtId="194" fontId="0" fillId="0" borderId="0" xfId="0" applyNumberFormat="1" applyFill="1"/>
    <xf numFmtId="0" fontId="0" fillId="0" borderId="23" xfId="0" quotePrefix="1" applyFill="1" applyBorder="1" applyAlignment="1">
      <alignment horizontal="center"/>
    </xf>
    <xf numFmtId="0" fontId="1" fillId="0" borderId="23" xfId="248" applyFill="1" applyBorder="1" applyAlignment="1">
      <alignment horizontal="center"/>
    </xf>
    <xf numFmtId="3" fontId="55" fillId="0" borderId="23" xfId="254" applyNumberFormat="1" applyFont="1" applyFill="1" applyBorder="1" applyAlignment="1">
      <alignment horizontal="right"/>
    </xf>
    <xf numFmtId="177" fontId="55" fillId="0" borderId="26" xfId="42" applyNumberFormat="1" applyFont="1" applyFill="1" applyBorder="1"/>
    <xf numFmtId="175" fontId="55" fillId="0" borderId="26" xfId="254" applyNumberFormat="1" applyFont="1" applyFill="1" applyBorder="1" applyAlignment="1">
      <alignment horizontal="right"/>
    </xf>
    <xf numFmtId="10" fontId="37" fillId="0" borderId="0" xfId="245" applyNumberFormat="1" applyFont="1"/>
    <xf numFmtId="37" fontId="1" fillId="21" borderId="43" xfId="0" applyNumberFormat="1" applyFont="1" applyFill="1" applyBorder="1"/>
    <xf numFmtId="37" fontId="1" fillId="21" borderId="33" xfId="0" applyNumberFormat="1" applyFont="1" applyFill="1" applyBorder="1"/>
    <xf numFmtId="0" fontId="55" fillId="0" borderId="0" xfId="254" applyFont="1" applyAlignment="1">
      <alignment horizontal="right"/>
    </xf>
    <xf numFmtId="184" fontId="35" fillId="0" borderId="26" xfId="0" applyNumberFormat="1" applyFont="1" applyFill="1" applyBorder="1"/>
    <xf numFmtId="185" fontId="1" fillId="0" borderId="16" xfId="86" applyNumberFormat="1" applyFill="1" applyBorder="1"/>
    <xf numFmtId="3" fontId="55" fillId="0" borderId="16" xfId="254" applyNumberFormat="1" applyFont="1" applyFill="1" applyBorder="1" applyAlignment="1">
      <alignment horizontal="right"/>
    </xf>
    <xf numFmtId="185" fontId="1" fillId="21" borderId="12" xfId="86" applyNumberFormat="1" applyFont="1" applyFill="1" applyBorder="1"/>
    <xf numFmtId="0" fontId="53" fillId="0" borderId="37" xfId="238" applyFont="1" applyFill="1" applyBorder="1" applyAlignment="1">
      <alignment horizontal="center"/>
    </xf>
    <xf numFmtId="196" fontId="35" fillId="0" borderId="0" xfId="245" applyNumberFormat="1" applyFont="1" applyFill="1" applyBorder="1"/>
    <xf numFmtId="5" fontId="1" fillId="0" borderId="0" xfId="0" applyNumberFormat="1" applyFont="1"/>
    <xf numFmtId="191" fontId="1" fillId="21" borderId="12" xfId="86" applyNumberFormat="1" applyFont="1" applyFill="1" applyBorder="1"/>
    <xf numFmtId="0" fontId="36" fillId="0" borderId="48" xfId="0" applyFont="1" applyBorder="1" applyAlignment="1">
      <alignment horizontal="center" wrapText="1"/>
    </xf>
    <xf numFmtId="184" fontId="0" fillId="0" borderId="37" xfId="42" applyNumberFormat="1" applyFont="1" applyBorder="1"/>
    <xf numFmtId="174" fontId="60" fillId="0" borderId="0" xfId="254" applyNumberFormat="1" applyFont="1" applyFill="1" applyBorder="1" applyAlignment="1">
      <alignment vertical="center" wrapText="1"/>
    </xf>
    <xf numFmtId="184" fontId="1" fillId="21" borderId="16" xfId="42" applyNumberFormat="1" applyFont="1" applyFill="1" applyBorder="1"/>
    <xf numFmtId="184" fontId="1" fillId="21" borderId="27" xfId="42" applyNumberFormat="1" applyFont="1" applyFill="1" applyBorder="1"/>
    <xf numFmtId="184" fontId="1" fillId="21" borderId="26" xfId="42" applyNumberFormat="1" applyFont="1" applyFill="1" applyBorder="1"/>
    <xf numFmtId="184" fontId="1" fillId="21" borderId="56" xfId="42" applyNumberFormat="1" applyFont="1" applyFill="1" applyBorder="1"/>
    <xf numFmtId="0" fontId="54" fillId="0" borderId="0" xfId="0" applyFont="1"/>
    <xf numFmtId="184" fontId="35" fillId="21" borderId="12" xfId="131" applyNumberFormat="1" applyFont="1" applyFill="1" applyBorder="1"/>
    <xf numFmtId="185" fontId="1" fillId="0" borderId="5" xfId="86" applyNumberFormat="1" applyBorder="1"/>
    <xf numFmtId="185" fontId="1" fillId="21" borderId="12" xfId="86" applyNumberFormat="1" applyFont="1" applyFill="1" applyBorder="1" applyAlignment="1">
      <alignment horizontal="right"/>
    </xf>
    <xf numFmtId="185" fontId="0" fillId="21" borderId="57" xfId="86" applyNumberFormat="1" applyFont="1" applyFill="1" applyBorder="1"/>
    <xf numFmtId="49" fontId="35" fillId="21" borderId="12" xfId="246" applyNumberFormat="1" applyFont="1" applyFill="1" applyBorder="1" applyAlignment="1" applyProtection="1">
      <alignment horizontal="center"/>
      <protection locked="0"/>
    </xf>
    <xf numFmtId="0" fontId="0" fillId="36" borderId="0" xfId="0" applyFill="1"/>
    <xf numFmtId="14" fontId="0" fillId="37" borderId="0" xfId="0" applyNumberFormat="1" applyFill="1"/>
    <xf numFmtId="0" fontId="0" fillId="37" borderId="0" xfId="0" applyFill="1"/>
    <xf numFmtId="38" fontId="0" fillId="37" borderId="0" xfId="0" applyNumberFormat="1" applyFill="1"/>
    <xf numFmtId="10" fontId="6" fillId="21" borderId="0" xfId="260" applyNumberFormat="1" applyFont="1" applyFill="1"/>
    <xf numFmtId="3" fontId="55" fillId="21" borderId="12" xfId="254" applyNumberFormat="1" applyFont="1" applyFill="1" applyBorder="1" applyAlignment="1">
      <alignment horizontal="right"/>
    </xf>
    <xf numFmtId="3" fontId="55" fillId="21" borderId="27" xfId="254" applyNumberFormat="1" applyFont="1" applyFill="1" applyBorder="1" applyAlignment="1">
      <alignment horizontal="right"/>
    </xf>
    <xf numFmtId="3" fontId="55" fillId="21" borderId="12" xfId="254" applyNumberFormat="1" applyFont="1" applyFill="1" applyBorder="1" applyAlignment="1">
      <alignment horizontal="right" vertical="top"/>
    </xf>
    <xf numFmtId="5" fontId="0" fillId="21" borderId="72" xfId="0" applyNumberFormat="1" applyFill="1" applyBorder="1"/>
    <xf numFmtId="0" fontId="0" fillId="0" borderId="72" xfId="0" applyFill="1" applyBorder="1"/>
    <xf numFmtId="1" fontId="0" fillId="21" borderId="72" xfId="0" applyNumberFormat="1" applyFill="1" applyBorder="1"/>
    <xf numFmtId="5" fontId="0" fillId="0" borderId="72" xfId="0" applyNumberFormat="1" applyBorder="1"/>
    <xf numFmtId="1" fontId="0" fillId="0" borderId="72" xfId="0" applyNumberFormat="1" applyBorder="1"/>
    <xf numFmtId="184" fontId="55" fillId="21" borderId="23" xfId="42" applyNumberFormat="1" applyFont="1" applyFill="1" applyBorder="1"/>
    <xf numFmtId="184" fontId="1" fillId="37" borderId="12" xfId="42" applyNumberFormat="1" applyFill="1" applyBorder="1"/>
    <xf numFmtId="184" fontId="1" fillId="21" borderId="58" xfId="42" applyNumberFormat="1" applyFill="1" applyBorder="1"/>
    <xf numFmtId="0" fontId="0" fillId="37" borderId="12" xfId="0" applyFill="1" applyBorder="1"/>
    <xf numFmtId="37" fontId="35" fillId="37" borderId="43" xfId="0" applyNumberFormat="1" applyFont="1" applyFill="1" applyBorder="1"/>
    <xf numFmtId="43" fontId="1" fillId="21" borderId="12" xfId="42" applyFill="1" applyBorder="1"/>
    <xf numFmtId="0" fontId="6" fillId="0" borderId="0" xfId="244" applyFont="1" applyFill="1" applyAlignment="1">
      <alignment horizontal="left"/>
    </xf>
    <xf numFmtId="0" fontId="35" fillId="0" borderId="0" xfId="244" quotePrefix="1" applyFont="1" applyFill="1" applyAlignment="1">
      <alignment horizontal="center"/>
    </xf>
    <xf numFmtId="0" fontId="6" fillId="0" borderId="0" xfId="244" applyFont="1" applyFill="1" applyAlignment="1">
      <alignment horizontal="left" indent="1"/>
    </xf>
    <xf numFmtId="0" fontId="35" fillId="0" borderId="0" xfId="244" applyFont="1" applyFill="1" applyAlignment="1">
      <alignment horizontal="left" vertical="center" wrapText="1"/>
    </xf>
    <xf numFmtId="0" fontId="35" fillId="0" borderId="0" xfId="244" applyFont="1" applyFill="1" applyAlignment="1">
      <alignment horizontal="left" vertical="center"/>
    </xf>
    <xf numFmtId="10" fontId="35" fillId="21" borderId="12" xfId="260" applyNumberFormat="1" applyFont="1" applyFill="1" applyBorder="1" applyAlignment="1">
      <alignment horizontal="right"/>
    </xf>
    <xf numFmtId="184" fontId="35" fillId="21" borderId="28" xfId="42" applyNumberFormat="1" applyFont="1" applyFill="1" applyBorder="1"/>
    <xf numFmtId="184" fontId="53" fillId="0" borderId="5" xfId="42" applyNumberFormat="1" applyFont="1" applyBorder="1" applyAlignment="1">
      <alignment horizontal="left"/>
    </xf>
    <xf numFmtId="185" fontId="1" fillId="21" borderId="56" xfId="42" applyNumberFormat="1" applyFont="1" applyFill="1" applyBorder="1"/>
    <xf numFmtId="184" fontId="0" fillId="0" borderId="12" xfId="42" applyNumberFormat="1" applyFont="1" applyFill="1" applyBorder="1"/>
    <xf numFmtId="184" fontId="0" fillId="0" borderId="27" xfId="42" applyNumberFormat="1" applyFont="1" applyFill="1" applyBorder="1"/>
    <xf numFmtId="5" fontId="6" fillId="0" borderId="34" xfId="245" applyNumberFormat="1" applyFont="1" applyBorder="1"/>
    <xf numFmtId="0" fontId="6" fillId="0" borderId="40" xfId="245" applyFont="1" applyBorder="1"/>
    <xf numFmtId="0" fontId="6" fillId="0" borderId="41" xfId="245" applyFont="1" applyBorder="1"/>
    <xf numFmtId="5" fontId="6" fillId="0" borderId="38" xfId="245" applyNumberFormat="1" applyFont="1" applyBorder="1"/>
    <xf numFmtId="0" fontId="6" fillId="0" borderId="14" xfId="245" applyFont="1" applyBorder="1"/>
    <xf numFmtId="0" fontId="6" fillId="0" borderId="39" xfId="245" applyFont="1" applyBorder="1"/>
    <xf numFmtId="0" fontId="6" fillId="0" borderId="0" xfId="245" applyFont="1" applyAlignment="1">
      <alignment horizontal="right"/>
    </xf>
    <xf numFmtId="0" fontId="6" fillId="0" borderId="0" xfId="0" applyFont="1" applyAlignment="1">
      <alignment horizontal="right"/>
    </xf>
    <xf numFmtId="0" fontId="6" fillId="0" borderId="0" xfId="0" applyFont="1" applyFill="1" applyAlignment="1">
      <alignment horizontal="left"/>
    </xf>
    <xf numFmtId="0" fontId="68" fillId="0" borderId="0" xfId="0" applyFont="1" applyFill="1" applyAlignment="1">
      <alignment horizontal="left" wrapText="1" indent="1"/>
    </xf>
    <xf numFmtId="0" fontId="68" fillId="0" borderId="0" xfId="0" applyFont="1" applyFill="1" applyAlignment="1">
      <alignment horizontal="center"/>
    </xf>
    <xf numFmtId="0" fontId="68" fillId="0" borderId="0" xfId="0" applyFont="1" applyFill="1" applyAlignment="1">
      <alignment horizontal="left" indent="1"/>
    </xf>
    <xf numFmtId="0" fontId="68" fillId="0" borderId="0" xfId="0" applyFont="1" applyFill="1"/>
    <xf numFmtId="192" fontId="68" fillId="0" borderId="0" xfId="86" applyNumberFormat="1" applyFont="1" applyFill="1" applyAlignment="1">
      <alignment horizontal="center"/>
    </xf>
    <xf numFmtId="0" fontId="35" fillId="0" borderId="0" xfId="0" applyFont="1" applyFill="1" applyAlignment="1">
      <alignment horizontal="left" wrapText="1" indent="1"/>
    </xf>
    <xf numFmtId="0" fontId="69" fillId="0" borderId="0" xfId="0" applyFont="1" applyFill="1"/>
    <xf numFmtId="0" fontId="41" fillId="0" borderId="0" xfId="0" applyFont="1"/>
    <xf numFmtId="184" fontId="41" fillId="0" borderId="23" xfId="62" applyNumberFormat="1" applyFont="1" applyFill="1" applyBorder="1" applyAlignment="1" applyProtection="1">
      <alignment horizontal="center" wrapText="1"/>
      <protection locked="0"/>
    </xf>
    <xf numFmtId="189" fontId="41" fillId="0" borderId="23" xfId="255" applyFont="1" applyFill="1" applyBorder="1" applyAlignment="1" applyProtection="1">
      <alignment horizontal="center" wrapText="1"/>
      <protection locked="0"/>
    </xf>
    <xf numFmtId="0" fontId="41" fillId="0" borderId="0" xfId="0" applyFont="1" applyFill="1"/>
    <xf numFmtId="37" fontId="41" fillId="0" borderId="10" xfId="94" applyNumberFormat="1" applyFont="1" applyFill="1" applyBorder="1" applyProtection="1">
      <protection locked="0"/>
    </xf>
    <xf numFmtId="0" fontId="51" fillId="0" borderId="0" xfId="0" applyFont="1"/>
    <xf numFmtId="189" fontId="6" fillId="0" borderId="0" xfId="255" applyFont="1" applyFill="1"/>
    <xf numFmtId="37" fontId="41" fillId="0" borderId="0" xfId="0" applyNumberFormat="1" applyFont="1" applyFill="1"/>
    <xf numFmtId="189" fontId="6" fillId="0" borderId="0" xfId="255" quotePrefix="1" applyFont="1" applyFill="1"/>
    <xf numFmtId="0" fontId="51" fillId="0" borderId="0" xfId="217" applyFont="1"/>
    <xf numFmtId="0" fontId="41" fillId="0" borderId="0" xfId="217" applyFont="1"/>
    <xf numFmtId="0" fontId="41" fillId="0" borderId="0" xfId="217" applyFont="1" applyFill="1"/>
    <xf numFmtId="189" fontId="20" fillId="0" borderId="0" xfId="255" applyFont="1" applyFill="1" applyProtection="1">
      <protection locked="0"/>
    </xf>
    <xf numFmtId="0" fontId="41" fillId="0" borderId="0" xfId="217" quotePrefix="1" applyFont="1"/>
    <xf numFmtId="0" fontId="41" fillId="0" borderId="0" xfId="217" quotePrefix="1" applyFont="1" applyFill="1"/>
    <xf numFmtId="0" fontId="51" fillId="0" borderId="0" xfId="218" applyFont="1"/>
    <xf numFmtId="0" fontId="41" fillId="0" borderId="0" xfId="218" applyFont="1" applyFill="1"/>
    <xf numFmtId="0" fontId="41" fillId="0" borderId="0" xfId="218" quotePrefix="1" applyFont="1"/>
    <xf numFmtId="41" fontId="41" fillId="0" borderId="23" xfId="253" applyFont="1" applyFill="1" applyBorder="1" applyAlignment="1" applyProtection="1">
      <alignment horizontal="center" wrapText="1"/>
      <protection locked="0"/>
    </xf>
    <xf numFmtId="0" fontId="51" fillId="0" borderId="0" xfId="225" applyFont="1"/>
    <xf numFmtId="0" fontId="41" fillId="0" borderId="0" xfId="226" applyFont="1" applyFill="1"/>
    <xf numFmtId="0" fontId="41" fillId="0" borderId="0" xfId="226" quotePrefix="1" applyFont="1"/>
    <xf numFmtId="10" fontId="68" fillId="0" borderId="0" xfId="260" applyNumberFormat="1" applyFont="1" applyFill="1" applyAlignment="1">
      <alignment horizontal="center"/>
    </xf>
    <xf numFmtId="10" fontId="35" fillId="0" borderId="0" xfId="0" applyNumberFormat="1" applyFont="1" applyFill="1" applyAlignment="1">
      <alignment horizontal="center"/>
    </xf>
    <xf numFmtId="44" fontId="1" fillId="0" borderId="26" xfId="86" applyNumberFormat="1" applyFill="1" applyBorder="1"/>
    <xf numFmtId="185" fontId="1" fillId="0" borderId="5" xfId="86" applyNumberFormat="1" applyFill="1" applyBorder="1"/>
    <xf numFmtId="184" fontId="68" fillId="37" borderId="12" xfId="42" applyNumberFormat="1" applyFont="1" applyFill="1" applyBorder="1"/>
    <xf numFmtId="38" fontId="0" fillId="0" borderId="0" xfId="0" applyNumberFormat="1"/>
    <xf numFmtId="0" fontId="6" fillId="0" borderId="0" xfId="254" applyFont="1"/>
    <xf numFmtId="3" fontId="0" fillId="0" borderId="0" xfId="0" applyNumberFormat="1" applyFill="1" applyAlignment="1">
      <alignment horizontal="center"/>
    </xf>
    <xf numFmtId="3" fontId="0" fillId="0" borderId="0" xfId="0" applyNumberFormat="1" applyFill="1"/>
    <xf numFmtId="0" fontId="6" fillId="0" borderId="0" xfId="0" applyFont="1" applyAlignment="1">
      <alignment horizontal="left"/>
    </xf>
    <xf numFmtId="0" fontId="6" fillId="0" borderId="0" xfId="0" applyFont="1" applyFill="1" applyAlignment="1">
      <alignment horizontal="center"/>
    </xf>
    <xf numFmtId="0" fontId="6" fillId="0" borderId="23" xfId="0" applyFont="1" applyBorder="1" applyAlignment="1">
      <alignment horizontal="center"/>
    </xf>
    <xf numFmtId="0" fontId="6" fillId="0" borderId="23" xfId="0" applyFont="1" applyBorder="1" applyAlignment="1">
      <alignment horizontal="center" wrapText="1"/>
    </xf>
    <xf numFmtId="0" fontId="6" fillId="0" borderId="0" xfId="0" applyFont="1" applyFill="1" applyBorder="1"/>
    <xf numFmtId="0" fontId="35" fillId="21" borderId="43" xfId="0" applyFont="1" applyFill="1" applyBorder="1" applyAlignment="1">
      <alignment horizontal="left" indent="1"/>
    </xf>
    <xf numFmtId="0" fontId="35" fillId="0" borderId="0" xfId="0" applyFont="1" applyFill="1" applyBorder="1" applyAlignment="1">
      <alignment horizontal="left" indent="1"/>
    </xf>
    <xf numFmtId="0" fontId="35" fillId="21" borderId="12" xfId="0" applyFont="1" applyFill="1" applyBorder="1" applyAlignment="1">
      <alignment horizontal="left" indent="1"/>
    </xf>
    <xf numFmtId="184" fontId="35" fillId="0" borderId="59" xfId="42" applyNumberFormat="1" applyFont="1" applyBorder="1"/>
    <xf numFmtId="184" fontId="35" fillId="0" borderId="5" xfId="42" applyNumberFormat="1" applyFont="1" applyFill="1" applyBorder="1"/>
    <xf numFmtId="10" fontId="35" fillId="0" borderId="23" xfId="260" applyNumberFormat="1" applyFont="1" applyFill="1" applyBorder="1"/>
    <xf numFmtId="184" fontId="35" fillId="0" borderId="55" xfId="42" applyNumberFormat="1" applyFont="1" applyBorder="1"/>
    <xf numFmtId="184" fontId="35" fillId="0" borderId="5" xfId="42" applyNumberFormat="1" applyFont="1" applyBorder="1"/>
    <xf numFmtId="10" fontId="35" fillId="0" borderId="23" xfId="260" applyNumberFormat="1" applyFont="1" applyBorder="1"/>
    <xf numFmtId="0" fontId="35" fillId="0" borderId="0" xfId="0" applyFont="1" applyAlignment="1">
      <alignment horizontal="left" indent="2"/>
    </xf>
    <xf numFmtId="184" fontId="35" fillId="21" borderId="16" xfId="42" applyNumberFormat="1" applyFont="1" applyFill="1" applyBorder="1"/>
    <xf numFmtId="184" fontId="35" fillId="0" borderId="23" xfId="0" applyNumberFormat="1" applyFont="1" applyBorder="1"/>
    <xf numFmtId="184" fontId="35" fillId="0" borderId="26" xfId="0" applyNumberFormat="1" applyFont="1" applyBorder="1"/>
    <xf numFmtId="0" fontId="35" fillId="0" borderId="0" xfId="0" applyFont="1" applyAlignment="1">
      <alignment horizontal="center" vertical="top"/>
    </xf>
    <xf numFmtId="0" fontId="6" fillId="0" borderId="0" xfId="0" applyFont="1" applyFill="1" applyBorder="1" applyAlignment="1">
      <alignment horizontal="left"/>
    </xf>
    <xf numFmtId="0" fontId="6" fillId="0" borderId="0" xfId="0" applyFont="1" applyFill="1" applyBorder="1" applyAlignment="1">
      <alignment horizontal="right"/>
    </xf>
    <xf numFmtId="184" fontId="35" fillId="0" borderId="60" xfId="42" applyNumberFormat="1" applyFont="1" applyBorder="1"/>
    <xf numFmtId="0" fontId="6" fillId="0" borderId="0" xfId="0" applyFont="1" applyFill="1"/>
    <xf numFmtId="184" fontId="35" fillId="0" borderId="22" xfId="0" applyNumberFormat="1" applyFont="1" applyBorder="1"/>
    <xf numFmtId="184" fontId="35" fillId="21" borderId="54" xfId="42" applyNumberFormat="1" applyFont="1" applyFill="1" applyBorder="1"/>
    <xf numFmtId="184" fontId="6" fillId="0" borderId="0" xfId="0" applyNumberFormat="1" applyFont="1"/>
    <xf numFmtId="0" fontId="6" fillId="0" borderId="0" xfId="0" applyFont="1"/>
    <xf numFmtId="0" fontId="6" fillId="0" borderId="10" xfId="0" applyFont="1" applyBorder="1" applyAlignment="1">
      <alignment horizontal="center" wrapText="1"/>
    </xf>
    <xf numFmtId="9" fontId="6" fillId="0" borderId="10" xfId="260" applyFont="1" applyBorder="1" applyAlignment="1">
      <alignment horizontal="center" wrapText="1"/>
    </xf>
    <xf numFmtId="0" fontId="35" fillId="0" borderId="0" xfId="0" applyFont="1" applyFill="1" applyAlignment="1">
      <alignment horizontal="center" wrapText="1"/>
    </xf>
    <xf numFmtId="183" fontId="35" fillId="21" borderId="27" xfId="42" applyNumberFormat="1" applyFont="1" applyFill="1" applyBorder="1"/>
    <xf numFmtId="43" fontId="35" fillId="21" borderId="27" xfId="42" applyFont="1" applyFill="1" applyBorder="1"/>
    <xf numFmtId="0" fontId="6" fillId="0" borderId="23" xfId="0" applyFont="1" applyBorder="1" applyAlignment="1">
      <alignment wrapText="1"/>
    </xf>
    <xf numFmtId="184" fontId="35" fillId="21" borderId="26" xfId="42" applyNumberFormat="1" applyFont="1" applyFill="1" applyBorder="1"/>
    <xf numFmtId="0" fontId="6" fillId="0" borderId="0" xfId="0" applyFont="1" applyAlignment="1">
      <alignment horizontal="left" indent="1"/>
    </xf>
    <xf numFmtId="0" fontId="6" fillId="0" borderId="10" xfId="0" applyFont="1" applyFill="1" applyBorder="1" applyAlignment="1">
      <alignment horizontal="center"/>
    </xf>
    <xf numFmtId="0" fontId="6" fillId="0" borderId="10" xfId="0" applyFont="1" applyFill="1" applyBorder="1" applyAlignment="1">
      <alignment horizontal="center" wrapText="1"/>
    </xf>
    <xf numFmtId="184" fontId="6" fillId="0" borderId="10" xfId="42" applyNumberFormat="1" applyFont="1" applyFill="1" applyBorder="1" applyAlignment="1">
      <alignment horizontal="center"/>
    </xf>
    <xf numFmtId="184" fontId="35" fillId="0" borderId="52" xfId="42" applyNumberFormat="1" applyFont="1" applyFill="1" applyBorder="1"/>
    <xf numFmtId="0" fontId="6" fillId="0" borderId="61" xfId="0" applyFont="1" applyFill="1" applyBorder="1" applyAlignment="1">
      <alignment horizontal="center"/>
    </xf>
    <xf numFmtId="0" fontId="6" fillId="0" borderId="61" xfId="0" applyFont="1" applyFill="1" applyBorder="1" applyAlignment="1">
      <alignment horizontal="center" wrapText="1"/>
    </xf>
    <xf numFmtId="184" fontId="6" fillId="0" borderId="61" xfId="42" applyNumberFormat="1" applyFont="1" applyFill="1" applyBorder="1" applyAlignment="1">
      <alignment horizontal="center"/>
    </xf>
    <xf numFmtId="0" fontId="35" fillId="0" borderId="0" xfId="0" applyFont="1" applyFill="1" applyBorder="1" applyAlignment="1">
      <alignment horizontal="left" wrapText="1"/>
    </xf>
    <xf numFmtId="0" fontId="6" fillId="0" borderId="31" xfId="0" applyFont="1" applyBorder="1" applyAlignment="1">
      <alignment horizontal="center" wrapText="1"/>
    </xf>
    <xf numFmtId="0" fontId="6" fillId="0" borderId="32" xfId="0" applyFont="1" applyBorder="1"/>
    <xf numFmtId="184" fontId="35" fillId="21" borderId="26" xfId="0" applyNumberFormat="1" applyFont="1" applyFill="1" applyBorder="1"/>
    <xf numFmtId="0" fontId="6" fillId="0" borderId="0" xfId="239" applyFont="1" applyFill="1" applyAlignment="1">
      <alignment horizontal="center"/>
    </xf>
    <xf numFmtId="0" fontId="6" fillId="0" borderId="23" xfId="239" applyFont="1" applyFill="1" applyBorder="1" applyAlignment="1">
      <alignment horizontal="center"/>
    </xf>
    <xf numFmtId="0" fontId="35" fillId="21" borderId="27" xfId="0" applyFont="1" applyFill="1" applyBorder="1"/>
    <xf numFmtId="0" fontId="35" fillId="21" borderId="28" xfId="0" applyFont="1" applyFill="1" applyBorder="1"/>
    <xf numFmtId="0" fontId="35" fillId="0" borderId="0" xfId="0" applyFont="1" applyAlignment="1">
      <alignment horizontal="right"/>
    </xf>
    <xf numFmtId="184" fontId="35" fillId="21" borderId="12" xfId="42" applyNumberFormat="1" applyFont="1" applyFill="1" applyBorder="1" applyAlignment="1">
      <alignment horizontal="left" indent="1"/>
    </xf>
    <xf numFmtId="185" fontId="0" fillId="21" borderId="12" xfId="0" applyNumberFormat="1" applyFill="1" applyBorder="1"/>
    <xf numFmtId="0" fontId="91" fillId="0" borderId="0" xfId="0" applyFont="1"/>
    <xf numFmtId="0" fontId="55" fillId="0" borderId="0" xfId="254" applyFont="1" applyFill="1" applyAlignment="1">
      <alignment horizontal="left"/>
    </xf>
    <xf numFmtId="184" fontId="86" fillId="37" borderId="27" xfId="42" applyNumberFormat="1" applyFont="1" applyFill="1" applyBorder="1"/>
    <xf numFmtId="0" fontId="35" fillId="0" borderId="0" xfId="0" applyFont="1" applyFill="1" applyBorder="1" applyAlignment="1"/>
    <xf numFmtId="0" fontId="55" fillId="0" borderId="0" xfId="254" applyFont="1" applyAlignment="1">
      <alignment horizontal="left" indent="1"/>
    </xf>
    <xf numFmtId="0" fontId="6" fillId="0" borderId="23" xfId="244" applyFont="1" applyFill="1" applyBorder="1" applyAlignment="1">
      <alignment horizontal="center"/>
    </xf>
    <xf numFmtId="0" fontId="6" fillId="0" borderId="0" xfId="244" applyFont="1" applyFill="1" applyAlignment="1">
      <alignment horizontal="right"/>
    </xf>
    <xf numFmtId="0" fontId="6" fillId="0" borderId="0" xfId="244" applyFont="1" applyFill="1" applyAlignment="1">
      <alignment horizontal="center"/>
    </xf>
    <xf numFmtId="0" fontId="6" fillId="0" borderId="23" xfId="244" applyFont="1" applyFill="1" applyBorder="1" applyAlignment="1"/>
    <xf numFmtId="0" fontId="35" fillId="0" borderId="0" xfId="244" applyFont="1" applyFill="1" applyAlignment="1">
      <alignment horizontal="left" wrapText="1" indent="1"/>
    </xf>
    <xf numFmtId="0" fontId="37" fillId="0" borderId="0" xfId="244" applyFont="1" applyFill="1"/>
    <xf numFmtId="0" fontId="35" fillId="0" borderId="0" xfId="244" applyFont="1" applyFill="1" applyAlignment="1">
      <alignment horizontal="center" vertical="center" wrapText="1"/>
    </xf>
    <xf numFmtId="0" fontId="35" fillId="0" borderId="0" xfId="244" applyFont="1" applyFill="1" applyAlignment="1">
      <alignment vertical="top"/>
    </xf>
    <xf numFmtId="0" fontId="59" fillId="0" borderId="23" xfId="254" applyFont="1" applyFill="1" applyBorder="1" applyAlignment="1">
      <alignment horizontal="center"/>
    </xf>
    <xf numFmtId="0" fontId="6" fillId="0" borderId="0" xfId="227" applyFont="1" applyAlignment="1">
      <alignment horizontal="center"/>
    </xf>
    <xf numFmtId="0" fontId="92" fillId="0" borderId="0" xfId="227" applyFont="1" applyBorder="1" applyAlignment="1">
      <alignment vertical="center"/>
    </xf>
    <xf numFmtId="0" fontId="6" fillId="0" borderId="0" xfId="227" applyFont="1"/>
    <xf numFmtId="0" fontId="44" fillId="0" borderId="0" xfId="227" applyFont="1" applyAlignment="1">
      <alignment horizontal="center"/>
    </xf>
    <xf numFmtId="0" fontId="93" fillId="0" borderId="0" xfId="227" applyFont="1" applyAlignment="1">
      <alignment horizontal="right"/>
    </xf>
    <xf numFmtId="0" fontId="94" fillId="37" borderId="0" xfId="227" applyFont="1" applyFill="1"/>
    <xf numFmtId="0" fontId="44" fillId="0" borderId="0" xfId="227" applyFont="1"/>
    <xf numFmtId="0" fontId="93" fillId="0" borderId="0" xfId="227" applyFont="1" applyAlignment="1">
      <alignment horizontal="center"/>
    </xf>
    <xf numFmtId="0" fontId="93" fillId="0" borderId="0" xfId="227" applyFont="1"/>
    <xf numFmtId="0" fontId="95" fillId="0" borderId="0" xfId="227" applyFont="1"/>
    <xf numFmtId="0" fontId="93" fillId="0" borderId="0" xfId="227" applyFont="1" applyFill="1" applyBorder="1" applyAlignment="1">
      <alignment horizontal="center"/>
    </xf>
    <xf numFmtId="0" fontId="96" fillId="0" borderId="0" xfId="227" applyFont="1" applyFill="1" applyBorder="1"/>
    <xf numFmtId="0" fontId="93" fillId="0" borderId="0" xfId="227" applyFont="1" applyFill="1" applyBorder="1"/>
    <xf numFmtId="0" fontId="95" fillId="0" borderId="0" xfId="227" applyFont="1" applyFill="1"/>
    <xf numFmtId="0" fontId="96" fillId="0" borderId="0" xfId="227" applyFont="1" applyBorder="1" applyAlignment="1">
      <alignment horizontal="center" vertical="center" wrapText="1"/>
    </xf>
    <xf numFmtId="0" fontId="96" fillId="0" borderId="61" xfId="227" applyFont="1" applyBorder="1" applyAlignment="1">
      <alignment horizontal="center" vertical="center"/>
    </xf>
    <xf numFmtId="0" fontId="96" fillId="0" borderId="61" xfId="227" applyFont="1" applyFill="1" applyBorder="1" applyAlignment="1">
      <alignment horizontal="center" vertical="center"/>
    </xf>
    <xf numFmtId="0" fontId="93" fillId="0" borderId="62" xfId="227" applyFont="1" applyBorder="1" applyAlignment="1">
      <alignment horizontal="center" vertical="center" wrapText="1"/>
    </xf>
    <xf numFmtId="0" fontId="93" fillId="0" borderId="0" xfId="227" applyFont="1" applyBorder="1" applyAlignment="1">
      <alignment horizontal="center" vertical="center" wrapText="1"/>
    </xf>
    <xf numFmtId="0" fontId="93" fillId="0" borderId="62" xfId="227" applyFont="1" applyFill="1" applyBorder="1" applyAlignment="1">
      <alignment horizontal="center" vertical="center" wrapText="1"/>
    </xf>
    <xf numFmtId="0" fontId="93" fillId="0" borderId="0" xfId="227" applyFont="1" applyFill="1"/>
    <xf numFmtId="184" fontId="93" fillId="0" borderId="0" xfId="59" applyNumberFormat="1" applyFont="1" applyBorder="1" applyAlignment="1">
      <alignment horizontal="right" vertical="center" wrapText="1"/>
    </xf>
    <xf numFmtId="184" fontId="93" fillId="0" borderId="0" xfId="59" applyNumberFormat="1" applyFont="1" applyBorder="1" applyAlignment="1">
      <alignment vertical="center" wrapText="1"/>
    </xf>
    <xf numFmtId="184" fontId="97" fillId="0" borderId="0" xfId="59" applyNumberFormat="1" applyFont="1" applyFill="1" applyBorder="1" applyAlignment="1">
      <alignment vertical="center" wrapText="1"/>
    </xf>
    <xf numFmtId="184" fontId="96" fillId="0" borderId="0" xfId="59" applyNumberFormat="1" applyFont="1" applyFill="1" applyBorder="1" applyAlignment="1">
      <alignment vertical="center" wrapText="1"/>
    </xf>
    <xf numFmtId="184" fontId="93" fillId="0" borderId="0" xfId="59" applyNumberFormat="1" applyFont="1" applyFill="1" applyBorder="1" applyAlignment="1">
      <alignment vertical="center" wrapText="1"/>
    </xf>
    <xf numFmtId="15" fontId="93" fillId="0" borderId="0" xfId="227" applyNumberFormat="1" applyFont="1" applyBorder="1" applyAlignment="1">
      <alignment vertical="center" wrapText="1"/>
    </xf>
    <xf numFmtId="184" fontId="93" fillId="0" borderId="0" xfId="59" applyNumberFormat="1" applyFont="1" applyFill="1" applyBorder="1" applyAlignment="1">
      <alignment horizontal="right" vertical="center" wrapText="1"/>
    </xf>
    <xf numFmtId="10" fontId="93" fillId="0" borderId="0" xfId="329" applyNumberFormat="1" applyFont="1"/>
    <xf numFmtId="184" fontId="93" fillId="37" borderId="0" xfId="59" applyNumberFormat="1" applyFont="1" applyFill="1" applyBorder="1" applyAlignment="1">
      <alignment vertical="center" wrapText="1"/>
    </xf>
    <xf numFmtId="0" fontId="93" fillId="0" borderId="5" xfId="227" applyFont="1" applyBorder="1" applyAlignment="1">
      <alignment vertical="center" wrapText="1"/>
    </xf>
    <xf numFmtId="184" fontId="93" fillId="0" borderId="5" xfId="227" applyNumberFormat="1" applyFont="1" applyBorder="1" applyAlignment="1">
      <alignment vertical="center" wrapText="1"/>
    </xf>
    <xf numFmtId="0" fontId="93" fillId="0" borderId="5" xfId="227" applyFont="1" applyBorder="1" applyAlignment="1">
      <alignment horizontal="right" vertical="center" wrapText="1"/>
    </xf>
    <xf numFmtId="184" fontId="93" fillId="0" borderId="5" xfId="59" applyNumberFormat="1" applyFont="1" applyBorder="1" applyAlignment="1">
      <alignment vertical="center" wrapText="1"/>
    </xf>
    <xf numFmtId="184" fontId="93" fillId="0" borderId="5" xfId="227" applyNumberFormat="1" applyFont="1" applyBorder="1"/>
    <xf numFmtId="184" fontId="93" fillId="0" borderId="5" xfId="227" applyNumberFormat="1" applyFont="1" applyFill="1" applyBorder="1"/>
    <xf numFmtId="0" fontId="93" fillId="0" borderId="0" xfId="227" applyFont="1" applyBorder="1" applyAlignment="1">
      <alignment vertical="center" wrapText="1"/>
    </xf>
    <xf numFmtId="184" fontId="93" fillId="0" borderId="0" xfId="227" applyNumberFormat="1" applyFont="1" applyBorder="1" applyAlignment="1">
      <alignment vertical="center" wrapText="1"/>
    </xf>
    <xf numFmtId="0" fontId="93" fillId="0" borderId="0" xfId="227" applyFont="1" applyBorder="1" applyAlignment="1">
      <alignment horizontal="right" vertical="center" wrapText="1"/>
    </xf>
    <xf numFmtId="184" fontId="93" fillId="0" borderId="0" xfId="227" applyNumberFormat="1" applyFont="1" applyBorder="1" applyAlignment="1">
      <alignment horizontal="right" vertical="center" wrapText="1"/>
    </xf>
    <xf numFmtId="184" fontId="93" fillId="0" borderId="0" xfId="227" applyNumberFormat="1" applyFont="1" applyBorder="1"/>
    <xf numFmtId="10" fontId="93" fillId="0" borderId="0" xfId="265" applyNumberFormat="1" applyFont="1" applyBorder="1" applyAlignment="1">
      <alignment vertical="center" wrapText="1"/>
    </xf>
    <xf numFmtId="0" fontId="93" fillId="0" borderId="0" xfId="227" applyFont="1" applyBorder="1" applyAlignment="1">
      <alignment vertical="center"/>
    </xf>
    <xf numFmtId="0" fontId="93" fillId="0" borderId="0" xfId="227" applyFont="1" applyBorder="1"/>
    <xf numFmtId="0" fontId="93" fillId="0" borderId="0" xfId="227" applyFont="1" applyBorder="1" applyAlignment="1">
      <alignment horizontal="justify" vertical="center" wrapText="1"/>
    </xf>
    <xf numFmtId="0" fontId="93" fillId="0" borderId="0" xfId="228" applyFont="1"/>
    <xf numFmtId="0" fontId="93" fillId="0" borderId="0" xfId="228" applyFont="1" applyFill="1"/>
    <xf numFmtId="0" fontId="93" fillId="0" borderId="0" xfId="228" applyFont="1" applyBorder="1" applyAlignment="1">
      <alignment horizontal="right" vertical="center" wrapText="1"/>
    </xf>
    <xf numFmtId="184" fontId="93" fillId="0" borderId="0" xfId="228" applyNumberFormat="1" applyFont="1"/>
    <xf numFmtId="0" fontId="93" fillId="0" borderId="0" xfId="228" applyFont="1" applyBorder="1" applyAlignment="1">
      <alignment horizontal="center" vertical="center" wrapText="1"/>
    </xf>
    <xf numFmtId="184" fontId="93" fillId="0" borderId="5" xfId="59" applyNumberFormat="1" applyFont="1" applyFill="1" applyBorder="1" applyAlignment="1">
      <alignment vertical="center" wrapText="1"/>
    </xf>
    <xf numFmtId="43" fontId="93" fillId="0" borderId="0" xfId="228" applyNumberFormat="1" applyFont="1"/>
    <xf numFmtId="184" fontId="93" fillId="0" borderId="23" xfId="228" applyNumberFormat="1" applyFont="1" applyBorder="1"/>
    <xf numFmtId="0" fontId="2" fillId="0" borderId="0" xfId="0" applyFont="1"/>
    <xf numFmtId="0" fontId="96" fillId="0" borderId="0" xfId="227" applyFont="1" applyBorder="1" applyAlignment="1">
      <alignment vertical="center"/>
    </xf>
    <xf numFmtId="0" fontId="98" fillId="0" borderId="0" xfId="227" applyFont="1" applyFill="1"/>
    <xf numFmtId="0" fontId="99" fillId="0" borderId="0" xfId="227" applyFont="1" applyFill="1"/>
    <xf numFmtId="0" fontId="93" fillId="0" borderId="0" xfId="227" applyFont="1" applyFill="1" applyAlignment="1">
      <alignment horizontal="center"/>
    </xf>
    <xf numFmtId="184" fontId="93" fillId="0" borderId="0" xfId="227" applyNumberFormat="1" applyFont="1" applyFill="1"/>
    <xf numFmtId="0" fontId="93" fillId="0" borderId="0" xfId="227" applyFont="1" applyFill="1" applyBorder="1" applyAlignment="1">
      <alignment vertical="center" wrapText="1"/>
    </xf>
    <xf numFmtId="0" fontId="93" fillId="0" borderId="0" xfId="227" applyFont="1" applyFill="1" applyBorder="1" applyAlignment="1">
      <alignment horizontal="right" vertical="center" wrapText="1"/>
    </xf>
    <xf numFmtId="0" fontId="93" fillId="0" borderId="0" xfId="227" applyFont="1" applyFill="1" applyBorder="1" applyAlignment="1">
      <alignment horizontal="justify" vertical="center" wrapText="1"/>
    </xf>
    <xf numFmtId="0" fontId="93" fillId="0" borderId="0" xfId="227" applyFont="1" applyFill="1" applyBorder="1" applyAlignment="1">
      <alignment vertical="center"/>
    </xf>
    <xf numFmtId="184" fontId="93" fillId="0" borderId="0" xfId="227" applyNumberFormat="1" applyFont="1" applyFill="1" applyBorder="1" applyAlignment="1">
      <alignment vertical="center" wrapText="1"/>
    </xf>
    <xf numFmtId="0" fontId="93" fillId="0" borderId="0" xfId="228" applyFont="1" applyFill="1" applyBorder="1" applyAlignment="1">
      <alignment horizontal="right" vertical="center" wrapText="1"/>
    </xf>
    <xf numFmtId="184" fontId="93" fillId="0" borderId="0" xfId="228" applyNumberFormat="1" applyFont="1" applyFill="1"/>
    <xf numFmtId="0" fontId="93" fillId="0" borderId="0" xfId="228" applyFont="1" applyFill="1" applyBorder="1" applyAlignment="1">
      <alignment horizontal="center" vertical="center" wrapText="1"/>
    </xf>
    <xf numFmtId="43" fontId="93" fillId="0" borderId="0" xfId="228" applyNumberFormat="1" applyFont="1" applyFill="1"/>
    <xf numFmtId="184" fontId="93" fillId="0" borderId="23" xfId="228" applyNumberFormat="1" applyFont="1" applyFill="1" applyBorder="1"/>
    <xf numFmtId="0" fontId="2" fillId="0" borderId="0" xfId="0" applyFont="1" applyFill="1"/>
    <xf numFmtId="0" fontId="95" fillId="0" borderId="0" xfId="227" applyFont="1" applyAlignment="1">
      <alignment horizontal="center"/>
    </xf>
    <xf numFmtId="0" fontId="6" fillId="0" borderId="0" xfId="227" applyFont="1" applyAlignment="1"/>
    <xf numFmtId="0" fontId="6" fillId="0" borderId="0" xfId="227" applyFont="1" applyFill="1" applyAlignment="1"/>
    <xf numFmtId="0" fontId="35" fillId="0" borderId="0" xfId="246" applyNumberFormat="1" applyFont="1" applyFill="1" applyAlignment="1" applyProtection="1">
      <alignment horizontal="center" vertical="top"/>
      <protection locked="0"/>
    </xf>
    <xf numFmtId="0" fontId="40" fillId="0" borderId="0" xfId="0" applyFont="1" applyFill="1" applyBorder="1" applyAlignment="1">
      <alignment horizontal="left" wrapText="1"/>
    </xf>
    <xf numFmtId="0" fontId="40" fillId="0" borderId="0" xfId="0" applyFont="1" applyAlignment="1">
      <alignment horizontal="left"/>
    </xf>
    <xf numFmtId="0" fontId="35" fillId="0" borderId="0" xfId="238" applyFont="1" applyFill="1" applyBorder="1" applyAlignment="1">
      <alignment horizontal="center"/>
    </xf>
    <xf numFmtId="185" fontId="35" fillId="21" borderId="56" xfId="42" applyNumberFormat="1" applyFont="1" applyFill="1" applyBorder="1"/>
    <xf numFmtId="0" fontId="6" fillId="0" borderId="23" xfId="0" applyFont="1" applyFill="1" applyBorder="1" applyAlignment="1">
      <alignment horizontal="center"/>
    </xf>
    <xf numFmtId="184" fontId="35" fillId="21" borderId="12" xfId="45" applyNumberFormat="1" applyFont="1" applyFill="1" applyBorder="1"/>
    <xf numFmtId="49" fontId="6" fillId="21" borderId="12" xfId="246" applyNumberFormat="1" applyFont="1" applyFill="1" applyBorder="1" applyAlignment="1" applyProtection="1">
      <alignment horizontal="center"/>
      <protection locked="0"/>
    </xf>
    <xf numFmtId="184" fontId="35" fillId="0" borderId="37" xfId="42" applyNumberFormat="1" applyFont="1" applyBorder="1"/>
    <xf numFmtId="9" fontId="35" fillId="0" borderId="0" xfId="260" applyFont="1"/>
    <xf numFmtId="0" fontId="35" fillId="0" borderId="0" xfId="0" applyFont="1" applyFill="1" applyAlignment="1">
      <alignment horizontal="left" wrapText="1"/>
    </xf>
    <xf numFmtId="0" fontId="21" fillId="0" borderId="0" xfId="131" applyFill="1"/>
    <xf numFmtId="10" fontId="35" fillId="0" borderId="0" xfId="245" applyNumberFormat="1" applyFont="1" applyFill="1"/>
    <xf numFmtId="14" fontId="6" fillId="21" borderId="27" xfId="0" applyNumberFormat="1" applyFont="1" applyFill="1" applyBorder="1" applyAlignment="1">
      <alignment horizontal="center"/>
    </xf>
    <xf numFmtId="184" fontId="35" fillId="0" borderId="0" xfId="45" applyNumberFormat="1" applyFont="1" applyAlignment="1">
      <alignment horizontal="left"/>
    </xf>
    <xf numFmtId="184" fontId="35" fillId="0" borderId="0" xfId="45" applyNumberFormat="1" applyFont="1"/>
    <xf numFmtId="0" fontId="35" fillId="0" borderId="0" xfId="0" applyFont="1" applyAlignment="1">
      <alignment horizontal="left" wrapText="1"/>
    </xf>
    <xf numFmtId="185" fontId="1" fillId="37" borderId="45" xfId="86" applyNumberFormat="1" applyFill="1" applyBorder="1"/>
    <xf numFmtId="184" fontId="1" fillId="37" borderId="45" xfId="42" applyNumberFormat="1" applyFill="1" applyBorder="1"/>
    <xf numFmtId="184" fontId="1" fillId="37" borderId="65" xfId="42" applyNumberFormat="1" applyFill="1" applyBorder="1"/>
    <xf numFmtId="3" fontId="0" fillId="21" borderId="28" xfId="0" applyNumberFormat="1" applyFill="1" applyBorder="1"/>
    <xf numFmtId="184" fontId="35" fillId="21" borderId="12" xfId="45" applyNumberFormat="1" applyFill="1" applyBorder="1"/>
    <xf numFmtId="0" fontId="6" fillId="0" borderId="0" xfId="0" applyFont="1" applyBorder="1" applyAlignment="1">
      <alignment horizontal="center"/>
    </xf>
    <xf numFmtId="182" fontId="6" fillId="0" borderId="0" xfId="0" applyNumberFormat="1" applyFont="1"/>
    <xf numFmtId="0" fontId="0" fillId="0" borderId="0" xfId="0" applyAlignment="1">
      <alignment horizontal="left" wrapText="1"/>
    </xf>
    <xf numFmtId="0" fontId="6" fillId="0" borderId="0" xfId="0" applyFont="1" applyAlignment="1">
      <alignment horizontal="center"/>
    </xf>
    <xf numFmtId="195" fontId="0" fillId="0" borderId="0" xfId="260" applyNumberFormat="1" applyFont="1"/>
    <xf numFmtId="182" fontId="102" fillId="0" borderId="0" xfId="0" applyNumberFormat="1" applyFont="1"/>
    <xf numFmtId="0" fontId="6" fillId="0" borderId="23" xfId="0" applyFont="1" applyBorder="1"/>
    <xf numFmtId="182" fontId="6" fillId="0" borderId="23" xfId="0" applyNumberFormat="1" applyFont="1" applyBorder="1" applyAlignment="1">
      <alignment horizontal="center"/>
    </xf>
    <xf numFmtId="3" fontId="102" fillId="21" borderId="12" xfId="254" applyNumberFormat="1" applyFont="1" applyFill="1" applyBorder="1" applyAlignment="1">
      <alignment horizontal="right"/>
    </xf>
    <xf numFmtId="182" fontId="102" fillId="0" borderId="0" xfId="0" applyNumberFormat="1" applyFont="1" applyFill="1"/>
    <xf numFmtId="9" fontId="6" fillId="21" borderId="0" xfId="260" applyFont="1" applyFill="1" applyAlignment="1">
      <alignment horizontal="right"/>
    </xf>
    <xf numFmtId="182" fontId="102" fillId="21" borderId="12" xfId="0" applyNumberFormat="1" applyFont="1" applyFill="1" applyBorder="1"/>
    <xf numFmtId="182" fontId="102" fillId="0" borderId="26" xfId="0" applyNumberFormat="1" applyFont="1" applyFill="1" applyBorder="1"/>
    <xf numFmtId="0" fontId="37" fillId="0" borderId="0" xfId="0" applyFont="1" applyFill="1"/>
    <xf numFmtId="181" fontId="102" fillId="0" borderId="0" xfId="0" applyNumberFormat="1" applyFont="1" applyFill="1"/>
    <xf numFmtId="182" fontId="1" fillId="0" borderId="0" xfId="0" applyNumberFormat="1" applyFont="1" applyFill="1" applyBorder="1"/>
    <xf numFmtId="178" fontId="1" fillId="0" borderId="0" xfId="42" applyNumberFormat="1" applyFont="1"/>
    <xf numFmtId="182" fontId="102" fillId="0" borderId="48" xfId="0" applyNumberFormat="1" applyFont="1" applyFill="1" applyBorder="1"/>
    <xf numFmtId="182" fontId="102" fillId="0" borderId="24" xfId="0" applyNumberFormat="1" applyFont="1" applyFill="1" applyBorder="1"/>
    <xf numFmtId="184" fontId="102" fillId="21" borderId="12" xfId="42" applyNumberFormat="1" applyFont="1" applyFill="1" applyBorder="1"/>
    <xf numFmtId="10" fontId="37" fillId="0" borderId="0" xfId="260" applyNumberFormat="1" applyFont="1"/>
    <xf numFmtId="194" fontId="102" fillId="0" borderId="0" xfId="0" applyNumberFormat="1" applyFont="1" applyFill="1"/>
    <xf numFmtId="0" fontId="102" fillId="0" borderId="0" xfId="0" applyFont="1" applyAlignment="1">
      <alignment horizontal="left" indent="1"/>
    </xf>
    <xf numFmtId="0" fontId="102" fillId="0" borderId="0" xfId="0" applyFont="1" applyFill="1" applyAlignment="1">
      <alignment horizontal="left" indent="1"/>
    </xf>
    <xf numFmtId="183" fontId="1" fillId="0" borderId="0" xfId="42" applyNumberFormat="1" applyFont="1" applyFill="1"/>
    <xf numFmtId="195" fontId="1" fillId="0" borderId="0" xfId="260" applyNumberFormat="1" applyFont="1" applyFill="1"/>
    <xf numFmtId="177" fontId="1" fillId="0" borderId="0" xfId="42" applyNumberFormat="1" applyFont="1"/>
    <xf numFmtId="182" fontId="6" fillId="0" borderId="0" xfId="0" applyNumberFormat="1" applyFont="1" applyAlignment="1">
      <alignment horizontal="right"/>
    </xf>
    <xf numFmtId="189" fontId="1" fillId="0" borderId="0" xfId="255" applyFont="1" applyFill="1"/>
    <xf numFmtId="189" fontId="1" fillId="0" borderId="0" xfId="255" applyFont="1" applyFill="1" applyProtection="1">
      <protection locked="0"/>
    </xf>
    <xf numFmtId="184" fontId="1" fillId="0" borderId="0" xfId="62" applyNumberFormat="1" applyFont="1" applyFill="1" applyProtection="1">
      <protection locked="0"/>
    </xf>
    <xf numFmtId="189" fontId="1" fillId="0" borderId="23" xfId="255" applyFont="1" applyFill="1" applyBorder="1" applyAlignment="1" applyProtection="1">
      <alignment horizontal="center" wrapText="1"/>
      <protection locked="0"/>
    </xf>
    <xf numFmtId="41" fontId="1" fillId="0" borderId="23" xfId="253" applyFont="1" applyFill="1" applyBorder="1" applyAlignment="1" applyProtection="1">
      <alignment horizontal="center" wrapText="1"/>
      <protection locked="0"/>
    </xf>
    <xf numFmtId="184" fontId="1" fillId="0" borderId="23" xfId="62" applyNumberFormat="1" applyFont="1" applyFill="1" applyBorder="1" applyAlignment="1" applyProtection="1">
      <alignment horizontal="center" wrapText="1"/>
      <protection locked="0"/>
    </xf>
    <xf numFmtId="206" fontId="1" fillId="0" borderId="0" xfId="255" applyNumberFormat="1" applyFont="1" applyFill="1" applyAlignment="1" applyProtection="1">
      <alignment horizontal="center"/>
      <protection locked="0"/>
    </xf>
    <xf numFmtId="0" fontId="1" fillId="0" borderId="0" xfId="255" applyNumberFormat="1" applyFont="1" applyFill="1" applyAlignment="1" applyProtection="1">
      <alignment horizontal="center"/>
      <protection locked="0"/>
    </xf>
    <xf numFmtId="189" fontId="1" fillId="0" borderId="0" xfId="255" applyFont="1" applyFill="1" applyAlignment="1" applyProtection="1">
      <alignment horizontal="center"/>
      <protection locked="0"/>
    </xf>
    <xf numFmtId="207" fontId="1" fillId="0" borderId="0" xfId="94" applyNumberFormat="1" applyFont="1" applyFill="1" applyProtection="1">
      <protection locked="0"/>
    </xf>
    <xf numFmtId="37" fontId="1" fillId="0" borderId="0" xfId="255" applyNumberFormat="1" applyFont="1" applyFill="1" applyProtection="1">
      <protection locked="0"/>
    </xf>
    <xf numFmtId="193" fontId="1" fillId="0" borderId="0" xfId="260" applyNumberFormat="1" applyFont="1" applyFill="1" applyAlignment="1" applyProtection="1">
      <alignment horizontal="center"/>
      <protection locked="0"/>
    </xf>
    <xf numFmtId="39" fontId="1" fillId="0" borderId="0" xfId="94" applyNumberFormat="1" applyFont="1" applyFill="1" applyProtection="1">
      <protection locked="0"/>
    </xf>
    <xf numFmtId="39" fontId="1" fillId="0" borderId="0" xfId="94" applyNumberFormat="1" applyFont="1" applyFill="1" applyAlignment="1" applyProtection="1">
      <alignment horizontal="right"/>
      <protection locked="0"/>
    </xf>
    <xf numFmtId="39" fontId="1" fillId="0" borderId="0" xfId="255" applyNumberFormat="1" applyFont="1" applyFill="1" applyProtection="1">
      <protection locked="0"/>
    </xf>
    <xf numFmtId="0" fontId="1" fillId="0" borderId="0" xfId="255" applyNumberFormat="1" applyFont="1" applyFill="1" applyAlignment="1" applyProtection="1">
      <alignment horizontal="right"/>
      <protection locked="0"/>
    </xf>
    <xf numFmtId="39" fontId="1" fillId="0" borderId="5" xfId="94" applyNumberFormat="1" applyFont="1" applyFill="1" applyBorder="1" applyProtection="1">
      <protection locked="0"/>
    </xf>
    <xf numFmtId="0" fontId="1" fillId="0" borderId="0" xfId="255" applyNumberFormat="1" applyFont="1" applyFill="1" applyAlignment="1">
      <alignment horizontal="right"/>
    </xf>
    <xf numFmtId="10" fontId="1" fillId="0" borderId="0" xfId="255" applyNumberFormat="1" applyFont="1" applyFill="1" applyProtection="1">
      <protection locked="0"/>
    </xf>
    <xf numFmtId="0" fontId="1" fillId="0" borderId="0" xfId="62" applyNumberFormat="1" applyFont="1" applyFill="1" applyAlignment="1" applyProtection="1">
      <alignment horizontal="right"/>
      <protection locked="0"/>
    </xf>
    <xf numFmtId="189" fontId="1" fillId="0" borderId="23" xfId="255" applyFont="1" applyFill="1" applyBorder="1" applyAlignment="1" applyProtection="1">
      <alignment horizontal="center"/>
      <protection locked="0"/>
    </xf>
    <xf numFmtId="184" fontId="1" fillId="0" borderId="0" xfId="42" applyNumberFormat="1" applyFont="1" applyFill="1" applyProtection="1">
      <protection locked="0"/>
    </xf>
    <xf numFmtId="10" fontId="1" fillId="0" borderId="0" xfId="260" applyNumberFormat="1" applyFont="1" applyFill="1" applyProtection="1">
      <protection locked="0"/>
    </xf>
    <xf numFmtId="44" fontId="1" fillId="0" borderId="0" xfId="86" applyNumberFormat="1" applyFont="1" applyFill="1" applyProtection="1">
      <protection locked="0"/>
    </xf>
    <xf numFmtId="192" fontId="1" fillId="0" borderId="0" xfId="86" applyNumberFormat="1" applyFont="1" applyFill="1" applyProtection="1">
      <protection locked="0"/>
    </xf>
    <xf numFmtId="0" fontId="1" fillId="0" borderId="0" xfId="0" quotePrefix="1" applyFont="1" applyFill="1"/>
    <xf numFmtId="189" fontId="1" fillId="0" borderId="0" xfId="255" quotePrefix="1" applyFont="1" applyFill="1"/>
    <xf numFmtId="189" fontId="1" fillId="0" borderId="0" xfId="255" quotePrefix="1" applyFont="1" applyFill="1" applyProtection="1">
      <protection locked="0"/>
    </xf>
    <xf numFmtId="0" fontId="102" fillId="0" borderId="0" xfId="248" applyFont="1" applyAlignment="1">
      <alignment horizontal="center"/>
    </xf>
    <xf numFmtId="0" fontId="102" fillId="0" borderId="23" xfId="248" applyFont="1" applyFill="1" applyBorder="1" applyAlignment="1">
      <alignment horizontal="center"/>
    </xf>
    <xf numFmtId="185" fontId="0" fillId="0" borderId="0" xfId="86" applyNumberFormat="1" applyFont="1" applyFill="1"/>
    <xf numFmtId="184" fontId="0" fillId="0" borderId="0" xfId="42" applyNumberFormat="1" applyFont="1" applyFill="1"/>
    <xf numFmtId="0" fontId="102" fillId="0" borderId="0" xfId="0" applyFont="1" applyAlignment="1">
      <alignment horizontal="right" indent="1"/>
    </xf>
    <xf numFmtId="0" fontId="55" fillId="0" borderId="0" xfId="0" applyFont="1"/>
    <xf numFmtId="0" fontId="102" fillId="0" borderId="0" xfId="0" applyFont="1" applyFill="1" applyAlignment="1">
      <alignment horizontal="right" indent="1"/>
    </xf>
    <xf numFmtId="0" fontId="55" fillId="0" borderId="0" xfId="0" applyFont="1" applyFill="1"/>
    <xf numFmtId="0" fontId="102" fillId="0" borderId="0" xfId="248" applyFont="1"/>
    <xf numFmtId="182" fontId="40" fillId="0" borderId="0" xfId="0" applyNumberFormat="1" applyFont="1"/>
    <xf numFmtId="184" fontId="40" fillId="0" borderId="0" xfId="42" applyNumberFormat="1" applyFont="1"/>
    <xf numFmtId="0" fontId="6" fillId="0" borderId="0" xfId="254" applyFont="1" applyAlignment="1">
      <alignment horizontal="right"/>
    </xf>
    <xf numFmtId="3" fontId="55" fillId="0" borderId="0" xfId="254" applyNumberFormat="1" applyFont="1" applyAlignment="1">
      <alignment horizontal="right"/>
    </xf>
    <xf numFmtId="0" fontId="55" fillId="0" borderId="0" xfId="254" applyFont="1" applyBorder="1"/>
    <xf numFmtId="0" fontId="55" fillId="0" borderId="23" xfId="254" applyFont="1" applyBorder="1" applyAlignment="1">
      <alignment horizontal="center"/>
    </xf>
    <xf numFmtId="0" fontId="55" fillId="0" borderId="0" xfId="254" applyFont="1" applyAlignment="1">
      <alignment horizontal="center"/>
    </xf>
    <xf numFmtId="174" fontId="1" fillId="0" borderId="0" xfId="254" applyNumberFormat="1" applyFont="1" applyAlignment="1">
      <alignment horizontal="center"/>
    </xf>
    <xf numFmtId="181" fontId="55" fillId="0" borderId="0" xfId="254" applyNumberFormat="1" applyFont="1"/>
    <xf numFmtId="0" fontId="1" fillId="0" borderId="0" xfId="254" applyFont="1" applyAlignment="1">
      <alignment horizontal="center"/>
    </xf>
    <xf numFmtId="174" fontId="1" fillId="0" borderId="0" xfId="254" applyNumberFormat="1" applyFont="1" applyFill="1" applyAlignment="1">
      <alignment horizontal="center"/>
    </xf>
    <xf numFmtId="0" fontId="1" fillId="0" borderId="0" xfId="254" applyFont="1" applyFill="1" applyAlignment="1">
      <alignment horizontal="center"/>
    </xf>
    <xf numFmtId="181" fontId="1" fillId="0" borderId="0" xfId="254" applyNumberFormat="1" applyFont="1" applyAlignment="1">
      <alignment horizontal="center"/>
    </xf>
    <xf numFmtId="174" fontId="55" fillId="0" borderId="0" xfId="254" applyNumberFormat="1" applyFont="1"/>
    <xf numFmtId="0" fontId="55" fillId="0" borderId="0" xfId="254" quotePrefix="1" applyFont="1"/>
    <xf numFmtId="174" fontId="1" fillId="0" borderId="14" xfId="254" applyNumberFormat="1" applyFont="1" applyBorder="1" applyAlignment="1">
      <alignment horizontal="center"/>
    </xf>
    <xf numFmtId="0" fontId="102" fillId="0" borderId="0" xfId="254" applyFont="1" applyBorder="1" applyAlignment="1">
      <alignment horizontal="center"/>
    </xf>
    <xf numFmtId="174" fontId="1" fillId="0" borderId="26" xfId="254" applyNumberFormat="1" applyFont="1" applyBorder="1" applyAlignment="1">
      <alignment horizontal="center"/>
    </xf>
    <xf numFmtId="7" fontId="55" fillId="0" borderId="0" xfId="254" applyNumberFormat="1" applyFont="1" applyBorder="1" applyAlignment="1">
      <alignment horizontal="center"/>
    </xf>
    <xf numFmtId="0" fontId="59" fillId="0" borderId="0" xfId="254" quotePrefix="1" applyFont="1"/>
    <xf numFmtId="0" fontId="59" fillId="0" borderId="23" xfId="254" applyFont="1" applyBorder="1" applyAlignment="1">
      <alignment horizontal="center"/>
    </xf>
    <xf numFmtId="3" fontId="59" fillId="0" borderId="0" xfId="254" applyNumberFormat="1" applyFont="1" applyFill="1" applyBorder="1" applyAlignment="1">
      <alignment horizontal="right"/>
    </xf>
    <xf numFmtId="0" fontId="55" fillId="0" borderId="0" xfId="254" applyFont="1" applyAlignment="1">
      <alignment horizontal="left"/>
    </xf>
    <xf numFmtId="3" fontId="55" fillId="0" borderId="0" xfId="254" applyNumberFormat="1" applyFont="1" applyAlignment="1">
      <alignment horizontal="left"/>
    </xf>
    <xf numFmtId="0" fontId="61" fillId="0" borderId="0" xfId="254" applyFont="1" applyFill="1" applyAlignment="1">
      <alignment horizontal="center"/>
    </xf>
    <xf numFmtId="6" fontId="55" fillId="0" borderId="0" xfId="254" applyNumberFormat="1" applyFont="1" applyFill="1" applyBorder="1"/>
    <xf numFmtId="0" fontId="55" fillId="0" borderId="0" xfId="254" applyFont="1" applyAlignment="1">
      <alignment horizontal="left" indent="2"/>
    </xf>
    <xf numFmtId="0" fontId="55" fillId="0" borderId="0" xfId="254" applyFont="1" applyFill="1" applyAlignment="1">
      <alignment horizontal="left" indent="2"/>
    </xf>
    <xf numFmtId="0" fontId="55" fillId="0" borderId="0" xfId="254" applyFont="1" applyFill="1" applyAlignment="1">
      <alignment horizontal="center"/>
    </xf>
    <xf numFmtId="0" fontId="55" fillId="0" borderId="0" xfId="0" applyFont="1" applyFill="1" applyAlignment="1">
      <alignment horizontal="left" indent="1"/>
    </xf>
    <xf numFmtId="3" fontId="55" fillId="0" borderId="0" xfId="254" applyNumberFormat="1" applyFont="1" applyFill="1" applyAlignment="1">
      <alignment horizontal="left"/>
    </xf>
    <xf numFmtId="0" fontId="55" fillId="0" borderId="23" xfId="254" applyFont="1" applyBorder="1"/>
    <xf numFmtId="3" fontId="55" fillId="0" borderId="0" xfId="254" applyNumberFormat="1" applyFont="1" applyFill="1" applyAlignment="1">
      <alignment horizontal="right"/>
    </xf>
    <xf numFmtId="0" fontId="55" fillId="0" borderId="0" xfId="254" applyFont="1" applyFill="1" applyAlignment="1">
      <alignment horizontal="left" indent="1"/>
    </xf>
    <xf numFmtId="0" fontId="58" fillId="0" borderId="0" xfId="254" applyFont="1" applyFill="1" applyBorder="1"/>
    <xf numFmtId="0" fontId="55" fillId="0" borderId="0" xfId="254" applyFont="1" applyAlignment="1">
      <alignment horizontal="center" vertical="top"/>
    </xf>
    <xf numFmtId="0" fontId="55" fillId="0" borderId="0" xfId="254" applyFont="1" applyAlignment="1">
      <alignment vertical="top"/>
    </xf>
    <xf numFmtId="0" fontId="55" fillId="0" borderId="0" xfId="254" applyFont="1" applyFill="1" applyAlignment="1">
      <alignment horizontal="left" vertical="top"/>
    </xf>
    <xf numFmtId="3" fontId="55" fillId="0" borderId="0" xfId="254" applyNumberFormat="1" applyFont="1" applyFill="1" applyBorder="1"/>
    <xf numFmtId="3" fontId="55" fillId="0" borderId="31" xfId="254" applyNumberFormat="1" applyFont="1" applyFill="1" applyBorder="1" applyAlignment="1">
      <alignment horizontal="right"/>
    </xf>
    <xf numFmtId="0" fontId="55" fillId="0" borderId="32" xfId="254" applyFont="1" applyBorder="1"/>
    <xf numFmtId="10" fontId="55" fillId="0" borderId="0" xfId="260" applyNumberFormat="1" applyFont="1" applyFill="1" applyAlignment="1">
      <alignment horizontal="right"/>
    </xf>
    <xf numFmtId="10" fontId="55" fillId="0" borderId="0" xfId="260" applyNumberFormat="1" applyFont="1" applyAlignment="1">
      <alignment horizontal="center"/>
    </xf>
    <xf numFmtId="10" fontId="55" fillId="0" borderId="0" xfId="260" applyNumberFormat="1" applyFont="1" applyFill="1" applyAlignment="1">
      <alignment horizontal="center"/>
    </xf>
    <xf numFmtId="10" fontId="55" fillId="0" borderId="0" xfId="260" applyNumberFormat="1" applyFont="1" applyBorder="1" applyAlignment="1">
      <alignment horizontal="center"/>
    </xf>
    <xf numFmtId="10" fontId="55" fillId="0" borderId="23" xfId="260" applyNumberFormat="1" applyFont="1" applyBorder="1" applyAlignment="1">
      <alignment horizontal="center"/>
    </xf>
    <xf numFmtId="10" fontId="55" fillId="0" borderId="23" xfId="260" applyNumberFormat="1" applyFont="1" applyFill="1" applyBorder="1" applyAlignment="1">
      <alignment horizontal="center"/>
    </xf>
    <xf numFmtId="9" fontId="55" fillId="0" borderId="0" xfId="260" applyFont="1" applyBorder="1" applyAlignment="1">
      <alignment horizontal="center"/>
    </xf>
    <xf numFmtId="0" fontId="55" fillId="0" borderId="0" xfId="254" applyFont="1" applyFill="1" applyBorder="1" applyAlignment="1">
      <alignment horizontal="right"/>
    </xf>
    <xf numFmtId="10" fontId="55" fillId="0" borderId="10" xfId="260" applyNumberFormat="1" applyFont="1" applyBorder="1" applyAlignment="1">
      <alignment horizontal="center"/>
    </xf>
    <xf numFmtId="9" fontId="55" fillId="0" borderId="0" xfId="260" applyFont="1" applyBorder="1"/>
    <xf numFmtId="0" fontId="55" fillId="0" borderId="23" xfId="254" applyFont="1" applyBorder="1" applyAlignment="1">
      <alignment horizontal="right"/>
    </xf>
    <xf numFmtId="6" fontId="55" fillId="0" borderId="23" xfId="254" applyNumberFormat="1" applyFont="1" applyBorder="1"/>
    <xf numFmtId="9" fontId="55" fillId="0" borderId="23" xfId="260" applyFont="1" applyBorder="1"/>
    <xf numFmtId="0" fontId="55" fillId="0" borderId="23" xfId="254" applyFont="1" applyFill="1" applyBorder="1" applyAlignment="1">
      <alignment horizontal="right"/>
    </xf>
    <xf numFmtId="10" fontId="55" fillId="0" borderId="23" xfId="260" applyNumberFormat="1" applyFont="1" applyBorder="1"/>
    <xf numFmtId="0" fontId="55" fillId="0" borderId="0" xfId="254" applyFont="1" applyBorder="1" applyAlignment="1">
      <alignment horizontal="right"/>
    </xf>
    <xf numFmtId="3" fontId="55" fillId="0" borderId="0" xfId="254" applyNumberFormat="1" applyFont="1" applyBorder="1" applyAlignment="1">
      <alignment horizontal="right"/>
    </xf>
    <xf numFmtId="0" fontId="55" fillId="0" borderId="23" xfId="254" applyFont="1" applyFill="1" applyBorder="1"/>
    <xf numFmtId="3" fontId="55" fillId="0" borderId="23" xfId="254" applyNumberFormat="1" applyFont="1" applyBorder="1" applyAlignment="1">
      <alignment horizontal="right"/>
    </xf>
    <xf numFmtId="176" fontId="55" fillId="0" borderId="0" xfId="260" applyNumberFormat="1" applyFont="1" applyBorder="1" applyAlignment="1">
      <alignment horizontal="right"/>
    </xf>
    <xf numFmtId="184" fontId="55" fillId="0" borderId="0" xfId="42" applyNumberFormat="1" applyFont="1"/>
    <xf numFmtId="43" fontId="55" fillId="0" borderId="0" xfId="254" applyNumberFormat="1" applyFont="1" applyBorder="1"/>
    <xf numFmtId="174" fontId="55" fillId="0" borderId="0" xfId="254" applyNumberFormat="1" applyFont="1" applyFill="1" applyBorder="1"/>
    <xf numFmtId="0" fontId="1" fillId="0" borderId="0" xfId="246" applyNumberFormat="1" applyFont="1" applyFill="1" applyAlignment="1" applyProtection="1">
      <protection locked="0"/>
    </xf>
    <xf numFmtId="3" fontId="55" fillId="0" borderId="0" xfId="254" applyNumberFormat="1" applyFont="1" applyFill="1"/>
    <xf numFmtId="0" fontId="55" fillId="0" borderId="0" xfId="254" applyFont="1" applyFill="1" applyAlignment="1">
      <alignment horizontal="right"/>
    </xf>
    <xf numFmtId="3" fontId="55" fillId="0" borderId="0" xfId="254" applyNumberFormat="1" applyFont="1" applyBorder="1" applyAlignment="1">
      <alignment horizontal="center"/>
    </xf>
    <xf numFmtId="10" fontId="55" fillId="0" borderId="25" xfId="260" applyNumberFormat="1" applyFont="1" applyFill="1" applyBorder="1" applyAlignment="1">
      <alignment horizontal="right"/>
    </xf>
    <xf numFmtId="10" fontId="55" fillId="0" borderId="0" xfId="254" applyNumberFormat="1" applyFont="1"/>
    <xf numFmtId="0" fontId="0" fillId="0" borderId="0" xfId="0" applyFill="1" applyAlignment="1">
      <alignment horizontal="right"/>
    </xf>
    <xf numFmtId="0" fontId="6" fillId="0" borderId="0" xfId="0" applyFont="1" applyFill="1" applyAlignment="1">
      <alignment horizontal="right"/>
    </xf>
    <xf numFmtId="0" fontId="6" fillId="0" borderId="53" xfId="0" applyFont="1" applyBorder="1" applyAlignment="1">
      <alignment horizontal="center" wrapText="1"/>
    </xf>
    <xf numFmtId="0" fontId="6" fillId="0" borderId="51" xfId="0" applyFont="1" applyBorder="1" applyAlignment="1">
      <alignment horizontal="center"/>
    </xf>
    <xf numFmtId="0" fontId="6" fillId="0" borderId="51" xfId="0" applyFont="1" applyBorder="1" applyAlignment="1">
      <alignment horizontal="center" wrapText="1"/>
    </xf>
    <xf numFmtId="0" fontId="6" fillId="0" borderId="51" xfId="0" quotePrefix="1" applyNumberFormat="1" applyFont="1" applyBorder="1" applyAlignment="1">
      <alignment horizontal="center"/>
    </xf>
    <xf numFmtId="205" fontId="6" fillId="0" borderId="51" xfId="0" quotePrefix="1" applyNumberFormat="1" applyFont="1" applyBorder="1" applyAlignment="1">
      <alignment horizontal="center"/>
    </xf>
    <xf numFmtId="205" fontId="6" fillId="0" borderId="52" xfId="0" quotePrefix="1" applyNumberFormat="1" applyFont="1" applyBorder="1" applyAlignment="1">
      <alignment horizontal="center"/>
    </xf>
    <xf numFmtId="3" fontId="6" fillId="0" borderId="26" xfId="0" applyNumberFormat="1" applyFont="1" applyBorder="1" applyAlignment="1">
      <alignment horizontal="center"/>
    </xf>
    <xf numFmtId="0" fontId="6" fillId="0" borderId="50" xfId="0" quotePrefix="1" applyNumberFormat="1" applyFont="1" applyBorder="1" applyAlignment="1">
      <alignment horizontal="center"/>
    </xf>
    <xf numFmtId="205" fontId="6" fillId="0" borderId="50" xfId="0" quotePrefix="1" applyNumberFormat="1" applyFont="1" applyBorder="1" applyAlignment="1">
      <alignment horizontal="center"/>
    </xf>
    <xf numFmtId="0" fontId="6" fillId="0" borderId="0" xfId="0" applyFont="1" applyBorder="1" applyAlignment="1">
      <alignment horizontal="center" wrapText="1"/>
    </xf>
    <xf numFmtId="37" fontId="6" fillId="0" borderId="0" xfId="0" quotePrefix="1" applyNumberFormat="1" applyFont="1" applyBorder="1" applyAlignment="1">
      <alignment horizontal="center"/>
    </xf>
    <xf numFmtId="38" fontId="1" fillId="37" borderId="0" xfId="0" applyNumberFormat="1" applyFont="1" applyFill="1"/>
    <xf numFmtId="10" fontId="1" fillId="0" borderId="0" xfId="260" applyNumberFormat="1" applyFont="1" applyFill="1" applyAlignment="1" applyProtection="1">
      <alignment horizontal="center"/>
      <protection locked="0"/>
    </xf>
    <xf numFmtId="0" fontId="89" fillId="0" borderId="0" xfId="217"/>
    <xf numFmtId="37" fontId="85" fillId="21" borderId="0" xfId="255" quotePrefix="1" applyNumberFormat="1" applyFont="1" applyFill="1" applyProtection="1">
      <protection locked="0"/>
    </xf>
    <xf numFmtId="188" fontId="85" fillId="0" borderId="0" xfId="255" applyNumberFormat="1" applyFont="1" applyFill="1" applyProtection="1">
      <protection locked="0"/>
    </xf>
    <xf numFmtId="184" fontId="85" fillId="0" borderId="0" xfId="62" applyNumberFormat="1" applyFont="1" applyFill="1" applyProtection="1">
      <protection locked="0"/>
    </xf>
    <xf numFmtId="37" fontId="85" fillId="21" borderId="0" xfId="255" applyNumberFormat="1" applyFont="1" applyFill="1" applyProtection="1">
      <protection locked="0"/>
    </xf>
    <xf numFmtId="208" fontId="85" fillId="0" borderId="0" xfId="255" applyNumberFormat="1" applyFont="1" applyFill="1" applyAlignment="1" applyProtection="1">
      <alignment horizontal="right"/>
      <protection locked="0"/>
    </xf>
    <xf numFmtId="0" fontId="1" fillId="0" borderId="0" xfId="217" applyFont="1"/>
    <xf numFmtId="0" fontId="89" fillId="0" borderId="0" xfId="218"/>
    <xf numFmtId="37" fontId="1" fillId="21" borderId="0" xfId="255" applyNumberFormat="1" applyFont="1" applyFill="1" applyProtection="1">
      <protection locked="0"/>
    </xf>
    <xf numFmtId="37" fontId="1" fillId="0" borderId="0" xfId="94" applyNumberFormat="1" applyFont="1" applyFill="1" applyProtection="1">
      <protection locked="0"/>
    </xf>
    <xf numFmtId="0" fontId="1" fillId="0" borderId="0" xfId="218" applyFont="1"/>
    <xf numFmtId="0" fontId="89" fillId="0" borderId="0" xfId="226"/>
    <xf numFmtId="188" fontId="1" fillId="0" borderId="0" xfId="94" applyNumberFormat="1" applyFont="1" applyFill="1" applyProtection="1">
      <protection locked="0"/>
    </xf>
    <xf numFmtId="230" fontId="1" fillId="0" borderId="0" xfId="94" applyNumberFormat="1" applyFont="1" applyFill="1" applyProtection="1">
      <protection locked="0"/>
    </xf>
    <xf numFmtId="184" fontId="95" fillId="21" borderId="10" xfId="60" applyNumberFormat="1" applyFont="1" applyFill="1" applyBorder="1"/>
    <xf numFmtId="184" fontId="95" fillId="21" borderId="63" xfId="60" applyNumberFormat="1" applyFont="1" applyFill="1" applyBorder="1"/>
    <xf numFmtId="0" fontId="35" fillId="0" borderId="0" xfId="0" applyFont="1" applyFill="1" applyAlignment="1">
      <alignment horizontal="center"/>
    </xf>
    <xf numFmtId="0" fontId="35" fillId="21" borderId="0" xfId="0" applyFont="1" applyFill="1" applyBorder="1" applyAlignment="1">
      <alignment horizontal="left" indent="1"/>
    </xf>
    <xf numFmtId="0" fontId="6" fillId="0" borderId="10" xfId="0" applyFont="1" applyFill="1" applyBorder="1" applyAlignment="1">
      <alignment horizontal="center"/>
    </xf>
    <xf numFmtId="0" fontId="35" fillId="0" borderId="0" xfId="0" applyFont="1" applyFill="1" applyAlignment="1">
      <alignment horizontal="center" vertical="top"/>
    </xf>
    <xf numFmtId="184" fontId="35" fillId="0" borderId="36" xfId="42" applyNumberFormat="1" applyFont="1" applyFill="1" applyBorder="1"/>
    <xf numFmtId="184" fontId="0" fillId="21" borderId="10" xfId="42" applyNumberFormat="1" applyFont="1" applyFill="1" applyBorder="1"/>
    <xf numFmtId="184" fontId="0" fillId="21" borderId="63" xfId="42" applyNumberFormat="1" applyFont="1" applyFill="1" applyBorder="1"/>
    <xf numFmtId="184" fontId="95" fillId="21" borderId="64" xfId="60" applyNumberFormat="1" applyFont="1" applyFill="1" applyBorder="1"/>
    <xf numFmtId="184" fontId="0" fillId="21" borderId="64" xfId="42" applyNumberFormat="1" applyFont="1" applyFill="1" applyBorder="1"/>
    <xf numFmtId="184" fontId="0" fillId="0" borderId="26" xfId="0" applyNumberFormat="1" applyFill="1" applyBorder="1"/>
    <xf numFmtId="184" fontId="0" fillId="0" borderId="55" xfId="0" applyNumberFormat="1" applyBorder="1"/>
    <xf numFmtId="0" fontId="6" fillId="38" borderId="10" xfId="0" applyFont="1" applyFill="1" applyBorder="1" applyAlignment="1">
      <alignment horizontal="center"/>
    </xf>
    <xf numFmtId="0" fontId="6" fillId="38" borderId="61" xfId="0" applyFont="1" applyFill="1" applyBorder="1" applyAlignment="1">
      <alignment horizontal="center"/>
    </xf>
    <xf numFmtId="0" fontId="6" fillId="0" borderId="10" xfId="0" applyFont="1" applyFill="1" applyBorder="1" applyAlignment="1">
      <alignment horizontal="center"/>
    </xf>
    <xf numFmtId="184" fontId="97" fillId="38" borderId="0" xfId="59" applyNumberFormat="1" applyFont="1" applyFill="1" applyBorder="1" applyAlignment="1">
      <alignment vertical="center" wrapText="1"/>
    </xf>
    <xf numFmtId="184" fontId="93" fillId="38" borderId="0" xfId="59" applyNumberFormat="1" applyFont="1" applyFill="1" applyBorder="1" applyAlignment="1">
      <alignment vertical="center" wrapText="1"/>
    </xf>
    <xf numFmtId="0" fontId="6" fillId="0" borderId="63" xfId="0" applyFont="1" applyFill="1" applyBorder="1" applyAlignment="1">
      <alignment wrapText="1"/>
    </xf>
    <xf numFmtId="0" fontId="6" fillId="0" borderId="48" xfId="0" applyFont="1" applyFill="1" applyBorder="1" applyAlignment="1">
      <alignment wrapText="1"/>
    </xf>
    <xf numFmtId="0" fontId="6" fillId="0" borderId="64" xfId="0" applyFont="1" applyFill="1" applyBorder="1" applyAlignment="1">
      <alignment wrapText="1"/>
    </xf>
    <xf numFmtId="184" fontId="35" fillId="0" borderId="52" xfId="0" applyNumberFormat="1" applyFont="1" applyBorder="1"/>
    <xf numFmtId="184" fontId="35" fillId="37" borderId="10" xfId="42" applyNumberFormat="1" applyFont="1" applyFill="1" applyBorder="1"/>
    <xf numFmtId="184" fontId="35" fillId="0" borderId="51" xfId="42" applyNumberFormat="1" applyFont="1" applyFill="1" applyBorder="1"/>
    <xf numFmtId="184" fontId="35" fillId="21" borderId="10" xfId="42" applyNumberFormat="1" applyFont="1" applyFill="1" applyBorder="1"/>
    <xf numFmtId="184" fontId="35" fillId="0" borderId="60" xfId="0" applyNumberFormat="1" applyFont="1" applyBorder="1"/>
    <xf numFmtId="184" fontId="1" fillId="37" borderId="0" xfId="42" applyNumberFormat="1" applyFont="1" applyFill="1" applyBorder="1"/>
    <xf numFmtId="0" fontId="41" fillId="0" borderId="0" xfId="238" quotePrefix="1" applyFont="1" applyBorder="1" applyAlignment="1">
      <alignment horizontal="center"/>
    </xf>
    <xf numFmtId="188" fontId="1" fillId="0" borderId="0" xfId="255" applyNumberFormat="1" applyFont="1" applyFill="1" applyProtection="1">
      <protection locked="0"/>
    </xf>
    <xf numFmtId="43" fontId="1" fillId="0" borderId="0" xfId="42" applyFont="1" applyFill="1" applyAlignment="1" applyProtection="1">
      <alignment horizontal="right"/>
      <protection locked="0"/>
    </xf>
    <xf numFmtId="0" fontId="35" fillId="0" borderId="0" xfId="0" applyFont="1" applyFill="1" applyAlignment="1">
      <alignment horizontal="center"/>
    </xf>
    <xf numFmtId="0" fontId="1" fillId="21" borderId="12" xfId="0" applyFont="1" applyFill="1" applyBorder="1" applyAlignment="1">
      <alignment horizontal="left" indent="1"/>
    </xf>
    <xf numFmtId="37" fontId="35" fillId="0" borderId="23" xfId="250" applyNumberFormat="1" applyFont="1" applyFill="1" applyBorder="1"/>
    <xf numFmtId="184" fontId="35" fillId="0" borderId="0" xfId="45" applyNumberFormat="1" applyFont="1" applyFill="1"/>
    <xf numFmtId="184" fontId="35" fillId="37" borderId="12" xfId="42" applyNumberFormat="1" applyFont="1" applyFill="1" applyBorder="1"/>
    <xf numFmtId="0" fontId="41" fillId="37" borderId="43" xfId="190" applyFont="1" applyFill="1" applyBorder="1" applyAlignment="1">
      <alignment horizontal="left" indent="1"/>
    </xf>
    <xf numFmtId="184" fontId="35" fillId="0" borderId="73" xfId="0" applyNumberFormat="1" applyFont="1" applyFill="1" applyBorder="1"/>
    <xf numFmtId="184" fontId="91" fillId="37" borderId="0" xfId="42" applyNumberFormat="1" applyFont="1" applyFill="1" applyBorder="1"/>
    <xf numFmtId="184" fontId="91" fillId="37" borderId="5" xfId="42" applyNumberFormat="1" applyFont="1" applyFill="1" applyBorder="1"/>
    <xf numFmtId="3" fontId="55" fillId="37" borderId="27" xfId="254" applyNumberFormat="1" applyFont="1" applyFill="1" applyBorder="1" applyAlignment="1">
      <alignment horizontal="right"/>
    </xf>
    <xf numFmtId="0" fontId="0" fillId="38" borderId="0" xfId="0" applyFill="1" applyAlignment="1">
      <alignment horizontal="center"/>
    </xf>
    <xf numFmtId="14" fontId="0" fillId="38" borderId="0" xfId="0" applyNumberFormat="1" applyFill="1"/>
    <xf numFmtId="0" fontId="0" fillId="38" borderId="0" xfId="0" applyFill="1"/>
    <xf numFmtId="38" fontId="0" fillId="38" borderId="0" xfId="0" applyNumberFormat="1" applyFill="1"/>
    <xf numFmtId="0" fontId="6" fillId="0" borderId="23" xfId="0" applyFont="1" applyBorder="1" applyAlignment="1">
      <alignment horizontal="center"/>
    </xf>
    <xf numFmtId="197" fontId="0" fillId="0" borderId="0" xfId="0" applyNumberFormat="1"/>
    <xf numFmtId="10" fontId="0" fillId="0" borderId="0" xfId="260" applyNumberFormat="1" applyFont="1"/>
    <xf numFmtId="191" fontId="1" fillId="0" borderId="0" xfId="0" applyNumberFormat="1" applyFont="1"/>
    <xf numFmtId="0" fontId="6" fillId="0" borderId="23" xfId="0" applyFont="1" applyFill="1" applyBorder="1" applyAlignment="1">
      <alignment horizontal="center"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182" fontId="1" fillId="21" borderId="12" xfId="0" applyNumberFormat="1" applyFont="1" applyFill="1" applyBorder="1"/>
    <xf numFmtId="192" fontId="1" fillId="0" borderId="0" xfId="0" applyNumberFormat="1" applyFont="1" applyFill="1"/>
    <xf numFmtId="43" fontId="0" fillId="0" borderId="0" xfId="42" applyFont="1"/>
    <xf numFmtId="43" fontId="0" fillId="0" borderId="0" xfId="0" applyNumberFormat="1"/>
    <xf numFmtId="0" fontId="36" fillId="0" borderId="23" xfId="0" applyFont="1" applyBorder="1" applyAlignment="1">
      <alignment horizontal="center"/>
    </xf>
    <xf numFmtId="0" fontId="1" fillId="0" borderId="0" xfId="0" applyFont="1" applyFill="1" applyAlignment="1">
      <alignment horizontal="left" wrapText="1"/>
    </xf>
    <xf numFmtId="0" fontId="0" fillId="0" borderId="0" xfId="0" applyAlignment="1">
      <alignment horizontal="left" wrapText="1"/>
    </xf>
    <xf numFmtId="0" fontId="36" fillId="0" borderId="23" xfId="246" applyNumberFormat="1" applyFont="1" applyFill="1" applyBorder="1" applyAlignment="1" applyProtection="1">
      <alignment horizontal="center"/>
      <protection locked="0"/>
    </xf>
    <xf numFmtId="0" fontId="35" fillId="0" borderId="23" xfId="0" applyFont="1" applyFill="1" applyBorder="1" applyAlignment="1"/>
    <xf numFmtId="49" fontId="35" fillId="0" borderId="0" xfId="246" applyNumberFormat="1" applyFont="1" applyFill="1" applyAlignment="1" applyProtection="1">
      <alignment horizontal="center"/>
      <protection locked="0"/>
    </xf>
    <xf numFmtId="0" fontId="35" fillId="0" borderId="0" xfId="0" applyFont="1" applyFill="1" applyAlignment="1">
      <alignment horizontal="center"/>
    </xf>
    <xf numFmtId="0" fontId="35" fillId="0" borderId="0" xfId="246" applyNumberFormat="1" applyFont="1" applyFill="1" applyAlignment="1" applyProtection="1">
      <alignment horizontal="left" wrapText="1"/>
      <protection locked="0"/>
    </xf>
    <xf numFmtId="0" fontId="35" fillId="21" borderId="66" xfId="245" applyFont="1" applyFill="1" applyBorder="1" applyAlignment="1">
      <alignment horizontal="left" vertical="top" wrapText="1"/>
    </xf>
    <xf numFmtId="0" fontId="35" fillId="21" borderId="44" xfId="245" applyFont="1" applyFill="1" applyBorder="1" applyAlignment="1">
      <alignment horizontal="left" vertical="top" wrapText="1"/>
    </xf>
    <xf numFmtId="0" fontId="35" fillId="21" borderId="67" xfId="245" applyFont="1" applyFill="1" applyBorder="1" applyAlignment="1">
      <alignment horizontal="left" vertical="top" wrapText="1"/>
    </xf>
    <xf numFmtId="0" fontId="35" fillId="21" borderId="57" xfId="245" applyFont="1" applyFill="1" applyBorder="1" applyAlignment="1">
      <alignment horizontal="left" vertical="top" wrapText="1"/>
    </xf>
    <xf numFmtId="0" fontId="35" fillId="21" borderId="68" xfId="245" applyFont="1" applyFill="1" applyBorder="1" applyAlignment="1">
      <alignment horizontal="left" vertical="top" wrapText="1"/>
    </xf>
    <xf numFmtId="0" fontId="35" fillId="21" borderId="69" xfId="245" applyFont="1" applyFill="1" applyBorder="1" applyAlignment="1">
      <alignment horizontal="left" vertical="top" wrapText="1"/>
    </xf>
    <xf numFmtId="0" fontId="6" fillId="0" borderId="0" xfId="0" applyFont="1" applyAlignment="1">
      <alignment horizontal="center"/>
    </xf>
    <xf numFmtId="0" fontId="35" fillId="0" borderId="0" xfId="0" applyFont="1" applyAlignment="1">
      <alignment horizontal="left" wrapText="1"/>
    </xf>
    <xf numFmtId="0" fontId="35" fillId="0" borderId="2" xfId="0" applyFont="1" applyFill="1" applyBorder="1" applyAlignment="1">
      <alignment horizontal="left" wrapText="1"/>
    </xf>
    <xf numFmtId="0" fontId="1" fillId="0" borderId="0" xfId="0" applyFont="1" applyFill="1" applyBorder="1" applyAlignment="1">
      <alignment horizontal="left" wrapText="1"/>
    </xf>
    <xf numFmtId="0" fontId="1" fillId="0" borderId="18" xfId="0" applyFont="1" applyFill="1" applyBorder="1" applyAlignment="1">
      <alignment horizontal="left" wrapText="1"/>
    </xf>
    <xf numFmtId="0" fontId="36" fillId="0" borderId="63" xfId="0" applyFont="1" applyBorder="1" applyAlignment="1">
      <alignment horizontal="center" wrapText="1"/>
    </xf>
    <xf numFmtId="0" fontId="36" fillId="0" borderId="48" xfId="0" applyFont="1" applyBorder="1" applyAlignment="1">
      <alignment horizontal="center" wrapText="1"/>
    </xf>
    <xf numFmtId="0" fontId="36" fillId="0" borderId="64" xfId="0" applyFont="1" applyBorder="1" applyAlignment="1">
      <alignment horizontal="center" wrapText="1"/>
    </xf>
    <xf numFmtId="0" fontId="36" fillId="0" borderId="40" xfId="0" applyFont="1" applyBorder="1" applyAlignment="1">
      <alignment horizontal="center"/>
    </xf>
    <xf numFmtId="0" fontId="36" fillId="0" borderId="41" xfId="0" applyFont="1" applyBorder="1" applyAlignment="1">
      <alignment horizontal="center"/>
    </xf>
    <xf numFmtId="0" fontId="36" fillId="0" borderId="63" xfId="0" applyFont="1" applyBorder="1" applyAlignment="1">
      <alignment horizontal="center"/>
    </xf>
    <xf numFmtId="0" fontId="36" fillId="0" borderId="48" xfId="0" applyFont="1" applyBorder="1" applyAlignment="1">
      <alignment horizontal="center"/>
    </xf>
    <xf numFmtId="0" fontId="36" fillId="0" borderId="70" xfId="0" applyFont="1" applyBorder="1" applyAlignment="1">
      <alignment horizontal="center"/>
    </xf>
    <xf numFmtId="0" fontId="6" fillId="0" borderId="63" xfId="0" applyFont="1" applyFill="1" applyBorder="1" applyAlignment="1">
      <alignment horizontal="center" wrapText="1"/>
    </xf>
    <xf numFmtId="0" fontId="6" fillId="0" borderId="48" xfId="0" applyFont="1" applyFill="1" applyBorder="1" applyAlignment="1">
      <alignment horizontal="center" wrapText="1"/>
    </xf>
    <xf numFmtId="0" fontId="6" fillId="0" borderId="64" xfId="0" applyFont="1" applyFill="1" applyBorder="1" applyAlignment="1">
      <alignment horizontal="center" wrapText="1"/>
    </xf>
    <xf numFmtId="0" fontId="6" fillId="0" borderId="63" xfId="0" applyFont="1" applyFill="1" applyBorder="1" applyAlignment="1">
      <alignment horizontal="center"/>
    </xf>
    <xf numFmtId="0" fontId="6" fillId="0" borderId="48" xfId="0" applyFont="1" applyFill="1" applyBorder="1" applyAlignment="1">
      <alignment horizontal="center"/>
    </xf>
    <xf numFmtId="0" fontId="6" fillId="0" borderId="64" xfId="0" applyFont="1" applyFill="1" applyBorder="1" applyAlignment="1">
      <alignment horizontal="center"/>
    </xf>
    <xf numFmtId="0" fontId="35" fillId="0" borderId="0" xfId="0" applyFont="1" applyAlignment="1">
      <alignment horizontal="center" vertical="top" wrapText="1"/>
    </xf>
    <xf numFmtId="0" fontId="35" fillId="0" borderId="0" xfId="0" applyFont="1" applyAlignment="1">
      <alignment horizontal="center" wrapText="1"/>
    </xf>
    <xf numFmtId="0" fontId="6" fillId="0" borderId="63" xfId="0" applyFont="1" applyBorder="1" applyAlignment="1">
      <alignment horizontal="center"/>
    </xf>
    <xf numFmtId="0" fontId="6" fillId="0" borderId="48" xfId="0" applyFont="1" applyBorder="1" applyAlignment="1">
      <alignment horizontal="center"/>
    </xf>
    <xf numFmtId="0" fontId="6" fillId="0" borderId="64" xfId="0" applyFont="1" applyBorder="1" applyAlignment="1">
      <alignment horizontal="center"/>
    </xf>
    <xf numFmtId="0" fontId="36" fillId="0" borderId="64" xfId="0" applyFont="1" applyBorder="1" applyAlignment="1">
      <alignment horizontal="center"/>
    </xf>
    <xf numFmtId="0" fontId="35" fillId="0" borderId="0" xfId="0" applyFont="1" applyFill="1" applyAlignment="1">
      <alignment horizontal="left" wrapText="1"/>
    </xf>
    <xf numFmtId="0" fontId="35" fillId="0" borderId="0" xfId="0" applyFont="1" applyBorder="1" applyAlignment="1">
      <alignment horizontal="left" wrapText="1"/>
    </xf>
    <xf numFmtId="0" fontId="35" fillId="0" borderId="37" xfId="0" applyFont="1" applyBorder="1" applyAlignment="1">
      <alignment horizontal="left" wrapText="1"/>
    </xf>
    <xf numFmtId="0" fontId="0" fillId="0" borderId="0" xfId="0" applyBorder="1" applyAlignment="1">
      <alignment horizontal="left" wrapText="1"/>
    </xf>
    <xf numFmtId="0" fontId="35" fillId="0" borderId="0" xfId="244" applyFont="1" applyFill="1" applyAlignment="1">
      <alignment horizontal="left" wrapText="1"/>
    </xf>
    <xf numFmtId="0" fontId="36" fillId="0" borderId="14" xfId="0" applyFont="1" applyBorder="1" applyAlignment="1">
      <alignment horizontal="center"/>
    </xf>
    <xf numFmtId="0" fontId="6" fillId="0" borderId="23" xfId="0" applyFont="1" applyBorder="1" applyAlignment="1">
      <alignment horizontal="center"/>
    </xf>
    <xf numFmtId="0" fontId="55" fillId="0" borderId="0" xfId="254" applyFont="1" applyFill="1" applyBorder="1" applyAlignment="1">
      <alignment horizontal="left" wrapText="1"/>
    </xf>
    <xf numFmtId="0" fontId="0" fillId="0" borderId="71" xfId="0" applyFill="1" applyBorder="1" applyAlignment="1">
      <alignment wrapText="1"/>
    </xf>
    <xf numFmtId="0" fontId="96" fillId="0" borderId="0" xfId="227" applyFont="1" applyAlignment="1">
      <alignment horizontal="left"/>
    </xf>
    <xf numFmtId="0" fontId="100" fillId="0" borderId="23" xfId="227" applyFont="1" applyBorder="1" applyAlignment="1">
      <alignment horizontal="left"/>
    </xf>
    <xf numFmtId="0" fontId="96" fillId="0" borderId="29" xfId="227" applyFont="1" applyBorder="1" applyAlignment="1">
      <alignment horizontal="center" vertical="center"/>
    </xf>
    <xf numFmtId="0" fontId="96" fillId="0" borderId="5" xfId="227" applyFont="1" applyBorder="1" applyAlignment="1">
      <alignment horizontal="center" vertical="center"/>
    </xf>
    <xf numFmtId="0" fontId="96" fillId="0" borderId="30" xfId="227" applyFont="1" applyBorder="1" applyAlignment="1">
      <alignment horizontal="center" vertical="center"/>
    </xf>
    <xf numFmtId="0" fontId="96" fillId="0" borderId="63" xfId="227" applyFont="1" applyBorder="1" applyAlignment="1">
      <alignment horizontal="center" vertical="center"/>
    </xf>
    <xf numFmtId="0" fontId="96" fillId="0" borderId="48" xfId="227" applyFont="1" applyBorder="1" applyAlignment="1">
      <alignment horizontal="center" vertical="center"/>
    </xf>
    <xf numFmtId="0" fontId="96" fillId="0" borderId="64" xfId="227" applyFont="1" applyBorder="1" applyAlignment="1">
      <alignment horizontal="center" vertical="center"/>
    </xf>
    <xf numFmtId="0" fontId="93" fillId="0" borderId="0" xfId="227" applyFont="1" applyBorder="1" applyAlignment="1">
      <alignment horizontal="left" vertical="center"/>
    </xf>
    <xf numFmtId="0" fontId="96" fillId="0" borderId="23" xfId="227" applyFont="1" applyBorder="1" applyAlignment="1">
      <alignment horizontal="left"/>
    </xf>
  </cellXfs>
  <cellStyles count="424">
    <cellStyle name=" 1" xfId="1"/>
    <cellStyle name="_Book200 Acq Adj by Plant Acct (w Alloc %)" xfId="2"/>
    <cellStyle name="_x0010_“+ˆÉ•?pý¤" xfId="3"/>
    <cellStyle name="_x0010_“+ˆÉ•?pý¤ 2" xfId="4"/>
    <cellStyle name="_x0010_“+ˆÉ•?pý¤ 3" xfId="411"/>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5 2" xfId="10"/>
    <cellStyle name="20% - Accent6" xfId="11" builtinId="50" customBuiltin="1"/>
    <cellStyle name="40% - Accent1" xfId="12" builtinId="31" customBuiltin="1"/>
    <cellStyle name="40% - Accent2" xfId="13" builtinId="35" customBuiltin="1"/>
    <cellStyle name="40% - Accent3" xfId="14" builtinId="39" customBuiltin="1"/>
    <cellStyle name="40% - Accent4" xfId="15" builtinId="43" customBuiltin="1"/>
    <cellStyle name="40% - Accent5" xfId="16" builtinId="47" customBuiltin="1"/>
    <cellStyle name="40% - Accent6" xfId="17" builtinId="51" customBuiltin="1"/>
    <cellStyle name="40% - Accent6 2" xfId="18"/>
    <cellStyle name="60% - Accent1" xfId="19" builtinId="32" customBuiltin="1"/>
    <cellStyle name="60% - Accent2" xfId="20" builtinId="36" customBuiltin="1"/>
    <cellStyle name="60% - Accent3" xfId="21" builtinId="40" customBuiltin="1"/>
    <cellStyle name="60% - Accent4" xfId="22" builtinId="44" customBuiltin="1"/>
    <cellStyle name="60% - Accent5" xfId="23" builtinId="48" customBuiltin="1"/>
    <cellStyle name="60% - Accent6" xfId="24" builtinId="52" customBuiltin="1"/>
    <cellStyle name="Accent1" xfId="25" builtinId="29" customBuiltin="1"/>
    <cellStyle name="Accent2" xfId="26" builtinId="33" customBuiltin="1"/>
    <cellStyle name="Accent3" xfId="27" builtinId="37" customBuiltin="1"/>
    <cellStyle name="Accent4" xfId="28" builtinId="41" customBuiltin="1"/>
    <cellStyle name="Accent5" xfId="29" builtinId="45" customBuiltin="1"/>
    <cellStyle name="Accent6" xfId="30" builtinId="49" customBuiltin="1"/>
    <cellStyle name="Actual Date" xfId="31"/>
    <cellStyle name="Actual Date 2" xfId="32"/>
    <cellStyle name="Align-top" xfId="33"/>
    <cellStyle name="Alternate Rows" xfId="34"/>
    <cellStyle name="Alternate Yellow" xfId="35"/>
    <cellStyle name="Bad" xfId="36" builtinId="27" customBuiltin="1"/>
    <cellStyle name="Bold Red" xfId="37"/>
    <cellStyle name="Calculation" xfId="38" builtinId="22" customBuiltin="1"/>
    <cellStyle name="Cancel" xfId="39"/>
    <cellStyle name="Check Cell" xfId="40" builtinId="23" customBuiltin="1"/>
    <cellStyle name="Column.Head" xfId="41"/>
    <cellStyle name="Comma" xfId="42" builtinId="3"/>
    <cellStyle name="Comma [1]" xfId="43"/>
    <cellStyle name="Comma [2]" xfId="44"/>
    <cellStyle name="Comma 10" xfId="45"/>
    <cellStyle name="Comma 11" xfId="46"/>
    <cellStyle name="Comma 12" xfId="47"/>
    <cellStyle name="Comma 13" xfId="48"/>
    <cellStyle name="Comma 14" xfId="49"/>
    <cellStyle name="Comma 15" xfId="50"/>
    <cellStyle name="Comma 16" xfId="51"/>
    <cellStyle name="Comma 17" xfId="52"/>
    <cellStyle name="Comma 18" xfId="53"/>
    <cellStyle name="Comma 19" xfId="54"/>
    <cellStyle name="Comma 2" xfId="55"/>
    <cellStyle name="Comma 2 2" xfId="56"/>
    <cellStyle name="Comma 2 3" xfId="57"/>
    <cellStyle name="Comma 20" xfId="58"/>
    <cellStyle name="Comma 21" xfId="412"/>
    <cellStyle name="Comma 27" xfId="59"/>
    <cellStyle name="Comma 3" xfId="60"/>
    <cellStyle name="Comma 3 2" xfId="61"/>
    <cellStyle name="Comma 4" xfId="62"/>
    <cellStyle name="Comma 4 2" xfId="63"/>
    <cellStyle name="Comma 5" xfId="64"/>
    <cellStyle name="Comma 5 2" xfId="65"/>
    <cellStyle name="Comma 6" xfId="66"/>
    <cellStyle name="Comma 6 2" xfId="67"/>
    <cellStyle name="Comma 6 3" xfId="68"/>
    <cellStyle name="Comma 7" xfId="69"/>
    <cellStyle name="Comma 7 2" xfId="70"/>
    <cellStyle name="Comma 8" xfId="71"/>
    <cellStyle name="Comma 8 2" xfId="72"/>
    <cellStyle name="Comma 9" xfId="73"/>
    <cellStyle name="Comma(0)" xfId="74"/>
    <cellStyle name="Comma, No spaces" xfId="75"/>
    <cellStyle name="Comma0" xfId="76"/>
    <cellStyle name="Comma0 - Style1" xfId="77"/>
    <cellStyle name="Comma0 - Style2" xfId="78"/>
    <cellStyle name="Comma0_currency data update to Oct" xfId="79"/>
    <cellStyle name="Comma1" xfId="80"/>
    <cellStyle name="Comma1 2" xfId="81"/>
    <cellStyle name="Comma2" xfId="82"/>
    <cellStyle name="Comma2 2" xfId="83"/>
    <cellStyle name="ConvVer" xfId="84"/>
    <cellStyle name="cost_per_kw" xfId="85"/>
    <cellStyle name="Currency" xfId="86" builtinId="4"/>
    <cellStyle name="Currency [2]" xfId="87"/>
    <cellStyle name="Currency [4]" xfId="88"/>
    <cellStyle name="Currency 10" xfId="89"/>
    <cellStyle name="Currency 11" xfId="90"/>
    <cellStyle name="Currency 12" xfId="91"/>
    <cellStyle name="Currency 13" xfId="413"/>
    <cellStyle name="Currency 2" xfId="92"/>
    <cellStyle name="Currency 2 2" xfId="93"/>
    <cellStyle name="Currency 3" xfId="94"/>
    <cellStyle name="Currency 4" xfId="95"/>
    <cellStyle name="Currency 5" xfId="96"/>
    <cellStyle name="Currency 6" xfId="97"/>
    <cellStyle name="Currency 7" xfId="98"/>
    <cellStyle name="Currency 8" xfId="99"/>
    <cellStyle name="Currency 9" xfId="100"/>
    <cellStyle name="Currency0" xfId="101"/>
    <cellStyle name="Date" xfId="102"/>
    <cellStyle name="DateTime" xfId="103"/>
    <cellStyle name="DateTime 2" xfId="104"/>
    <cellStyle name="d-mmm" xfId="105"/>
    <cellStyle name="d-mmm-yy" xfId="106"/>
    <cellStyle name="Dot" xfId="107"/>
    <cellStyle name="Explanatory Text" xfId="108" builtinId="53" customBuiltin="1"/>
    <cellStyle name="Fixed" xfId="109"/>
    <cellStyle name="Fixed 2" xfId="110"/>
    <cellStyle name="Fixed 3" xfId="111"/>
    <cellStyle name="Fixed 4" xfId="414"/>
    <cellStyle name="Fixed1 - Style1" xfId="112"/>
    <cellStyle name="General" xfId="113"/>
    <cellStyle name="Geneva 9" xfId="114"/>
    <cellStyle name="Good" xfId="115" builtinId="26" customBuiltin="1"/>
    <cellStyle name="Good 2" xfId="116"/>
    <cellStyle name="Grey" xfId="117"/>
    <cellStyle name="Grey 2" xfId="118"/>
    <cellStyle name="HEADER" xfId="119"/>
    <cellStyle name="Heading 1" xfId="120" builtinId="16" customBuiltin="1"/>
    <cellStyle name="Heading 2" xfId="121" builtinId="17" customBuiltin="1"/>
    <cellStyle name="Heading 3" xfId="122" builtinId="18" customBuiltin="1"/>
    <cellStyle name="Heading 4" xfId="123" builtinId="19" customBuiltin="1"/>
    <cellStyle name="Heading1" xfId="124"/>
    <cellStyle name="Heading1 2" xfId="125"/>
    <cellStyle name="Heading1 3" xfId="126"/>
    <cellStyle name="Heading1 4" xfId="415"/>
    <cellStyle name="Heading2" xfId="127"/>
    <cellStyle name="Heading2 2" xfId="128"/>
    <cellStyle name="Heading2 3" xfId="129"/>
    <cellStyle name="Heading2 4" xfId="416"/>
    <cellStyle name="HIGHLIGHT" xfId="130"/>
    <cellStyle name="Hyperlink" xfId="131" builtinId="8"/>
    <cellStyle name="Input" xfId="132" builtinId="20" customBuiltin="1"/>
    <cellStyle name="Input [yellow]" xfId="133"/>
    <cellStyle name="Input [yellow] 2" xfId="134"/>
    <cellStyle name="kwh_centered" xfId="135"/>
    <cellStyle name="Linked Cell" xfId="136" builtinId="24" customBuiltin="1"/>
    <cellStyle name="Moneda [0]_Mex-Braz-Arg" xfId="137"/>
    <cellStyle name="Moneda_Mex-Braz-Arg" xfId="138"/>
    <cellStyle name="Neutral" xfId="139" builtinId="28" customBuiltin="1"/>
    <cellStyle name="no dec" xfId="140"/>
    <cellStyle name="Normal" xfId="0" builtinId="0"/>
    <cellStyle name="Normal - Style1" xfId="141"/>
    <cellStyle name="Normal - Style1 2" xfId="142"/>
    <cellStyle name="Normal - Style2" xfId="143"/>
    <cellStyle name="Normal 10" xfId="144"/>
    <cellStyle name="Normal 10 2" xfId="145"/>
    <cellStyle name="Normal 10 7" xfId="146"/>
    <cellStyle name="Normal 11" xfId="147"/>
    <cellStyle name="Normal 11 2" xfId="148"/>
    <cellStyle name="Normal 12" xfId="149"/>
    <cellStyle name="Normal 12 2" xfId="150"/>
    <cellStyle name="Normal 13" xfId="151"/>
    <cellStyle name="Normal 13 2" xfId="152"/>
    <cellStyle name="Normal 13 3" xfId="153"/>
    <cellStyle name="Normal 14" xfId="154"/>
    <cellStyle name="Normal 14 2" xfId="155"/>
    <cellStyle name="Normal 15" xfId="156"/>
    <cellStyle name="Normal 16" xfId="157"/>
    <cellStyle name="Normal 17" xfId="158"/>
    <cellStyle name="Normal 18" xfId="159"/>
    <cellStyle name="Normal 19" xfId="160"/>
    <cellStyle name="Normal 2" xfId="161"/>
    <cellStyle name="Normal 2 10" xfId="162"/>
    <cellStyle name="Normal 2 2" xfId="163"/>
    <cellStyle name="Normal 2 20" xfId="164"/>
    <cellStyle name="Normal 2 3" xfId="165"/>
    <cellStyle name="Normal 2 4" xfId="166"/>
    <cellStyle name="Normal 2 5" xfId="167"/>
    <cellStyle name="Normal 20" xfId="168"/>
    <cellStyle name="Normal 21" xfId="169"/>
    <cellStyle name="Normal 22" xfId="170"/>
    <cellStyle name="Normal 23" xfId="171"/>
    <cellStyle name="Normal 24" xfId="172"/>
    <cellStyle name="Normal 25" xfId="173"/>
    <cellStyle name="Normal 26" xfId="174"/>
    <cellStyle name="Normal 27" xfId="175"/>
    <cellStyle name="Normal 28" xfId="176"/>
    <cellStyle name="Normal 29" xfId="177"/>
    <cellStyle name="Normal 3" xfId="178"/>
    <cellStyle name="Normal 3 2" xfId="179"/>
    <cellStyle name="Normal 3 3" xfId="180"/>
    <cellStyle name="Normal 30" xfId="181"/>
    <cellStyle name="Normal 31" xfId="182"/>
    <cellStyle name="Normal 32" xfId="183"/>
    <cellStyle name="Normal 33" xfId="184"/>
    <cellStyle name="Normal 34" xfId="185"/>
    <cellStyle name="Normal 35" xfId="186"/>
    <cellStyle name="Normal 36" xfId="187"/>
    <cellStyle name="Normal 37" xfId="188"/>
    <cellStyle name="Normal 38" xfId="189"/>
    <cellStyle name="Normal 39" xfId="190"/>
    <cellStyle name="Normal 4" xfId="191"/>
    <cellStyle name="Normal 4 2" xfId="192"/>
    <cellStyle name="Normal 4 3" xfId="193"/>
    <cellStyle name="Normal 4_gen_exist" xfId="194"/>
    <cellStyle name="Normal 40" xfId="195"/>
    <cellStyle name="Normal 41" xfId="196"/>
    <cellStyle name="Normal 42" xfId="197"/>
    <cellStyle name="Normal 43" xfId="198"/>
    <cellStyle name="Normal 44" xfId="199"/>
    <cellStyle name="Normal 45" xfId="200"/>
    <cellStyle name="Normal 46" xfId="201"/>
    <cellStyle name="Normal 47" xfId="202"/>
    <cellStyle name="Normal 48" xfId="203"/>
    <cellStyle name="Normal 49" xfId="204"/>
    <cellStyle name="Normal 5" xfId="205"/>
    <cellStyle name="Normal 5 2" xfId="206"/>
    <cellStyle name="Normal 50" xfId="207"/>
    <cellStyle name="Normal 51" xfId="208"/>
    <cellStyle name="Normal 52" xfId="209"/>
    <cellStyle name="Normal 53" xfId="210"/>
    <cellStyle name="Normal 54" xfId="211"/>
    <cellStyle name="Normal 54 2" xfId="212"/>
    <cellStyle name="Normal 55" xfId="213"/>
    <cellStyle name="Normal 55 2" xfId="214"/>
    <cellStyle name="Normal 56" xfId="215"/>
    <cellStyle name="Normal 57" xfId="216"/>
    <cellStyle name="Normal 58" xfId="217"/>
    <cellStyle name="Normal 59" xfId="218"/>
    <cellStyle name="Normal 6" xfId="219"/>
    <cellStyle name="Normal 6 2" xfId="220"/>
    <cellStyle name="Normal 6 3" xfId="221"/>
    <cellStyle name="Normal 60" xfId="222"/>
    <cellStyle name="Normal 61" xfId="223"/>
    <cellStyle name="Normal 62" xfId="224"/>
    <cellStyle name="Normal 63" xfId="225"/>
    <cellStyle name="Normal 64" xfId="226"/>
    <cellStyle name="Normal 69" xfId="227"/>
    <cellStyle name="Normal 69 3" xfId="228"/>
    <cellStyle name="Normal 7" xfId="229"/>
    <cellStyle name="Normal 7 2" xfId="230"/>
    <cellStyle name="Normal 72" xfId="231"/>
    <cellStyle name="Normal 8" xfId="232"/>
    <cellStyle name="Normal 8 2" xfId="233"/>
    <cellStyle name="Normal 8 3" xfId="234"/>
    <cellStyle name="Normal 9" xfId="235"/>
    <cellStyle name="Normal 9 2" xfId="236"/>
    <cellStyle name="Normal 9 3" xfId="237"/>
    <cellStyle name="Normal_0112 No Link Exp" xfId="238"/>
    <cellStyle name="Normal_ADITAnalysisID090805" xfId="239"/>
    <cellStyle name="Normal_Book2" xfId="240"/>
    <cellStyle name="Normal_Book2_SPS_Attachment O 2011 Transmission Formula Rate Annual Update Rev1 (3)" xfId="241"/>
    <cellStyle name="Normal_Book3_1" xfId="242"/>
    <cellStyle name="Normal_Book4_1" xfId="243"/>
    <cellStyle name="Normal_Copy of PSCo Depreciation Rates w CACJA" xfId="244"/>
    <cellStyle name="Normal_Final Joint Term Sheet Worksheet A 1 6-30-09 (0010403) (2)" xfId="245"/>
    <cellStyle name="Normal_FN1 Ratebase Draft SPP template (6-11-04) v2" xfId="246"/>
    <cellStyle name="Normal_Historical AFUDC" xfId="247"/>
    <cellStyle name="Normal_KCPL TopSheet Type Ancillaries Worksheet(9-17-03)" xfId="248"/>
    <cellStyle name="Normal_nonlevelized-Form 1 (v3)" xfId="249"/>
    <cellStyle name="Normal_PSCo Attachment O Transmission Formula-2010(Revision No. 1- Final)" xfId="250"/>
    <cellStyle name="Normal_PSCo Production Formula" xfId="251"/>
    <cellStyle name="Normal_Revised Table 8 &amp; 22" xfId="252"/>
    <cellStyle name="Normal_Sensitivity Anals AmerenUE Ancil 11-1-06 (Attach A&amp;B) v1" xfId="253"/>
    <cellStyle name="Normal_SIERRA &amp; NEVADA-FCR EXHIBIT 3 PG 5-14" xfId="254"/>
    <cellStyle name="Normal_SP ANCILLARIES_9-10(clean 9-19)(a)" xfId="255"/>
    <cellStyle name="Note" xfId="256" builtinId="10" customBuiltin="1"/>
    <cellStyle name="nozero" xfId="257"/>
    <cellStyle name="nozero 2" xfId="258"/>
    <cellStyle name="nozero 3" xfId="417"/>
    <cellStyle name="Output" xfId="259" builtinId="21" customBuiltin="1"/>
    <cellStyle name="Percent" xfId="260" builtinId="5"/>
    <cellStyle name="Percent [0]" xfId="261"/>
    <cellStyle name="Percent [2]" xfId="262"/>
    <cellStyle name="Percent [2] 2" xfId="263"/>
    <cellStyle name="Percent [2] 3" xfId="264"/>
    <cellStyle name="Percent [2] 4" xfId="419"/>
    <cellStyle name="Percent 10" xfId="265"/>
    <cellStyle name="Percent 11" xfId="266"/>
    <cellStyle name="Percent 12" xfId="267"/>
    <cellStyle name="Percent 13" xfId="268"/>
    <cellStyle name="Percent 14" xfId="269"/>
    <cellStyle name="Percent 15" xfId="270"/>
    <cellStyle name="Percent 16" xfId="271"/>
    <cellStyle name="Percent 17" xfId="272"/>
    <cellStyle name="Percent 18" xfId="273"/>
    <cellStyle name="Percent 19" xfId="274"/>
    <cellStyle name="Percent 2" xfId="275"/>
    <cellStyle name="Percent 2 2" xfId="276"/>
    <cellStyle name="Percent 20" xfId="277"/>
    <cellStyle name="Percent 21" xfId="278"/>
    <cellStyle name="Percent 22" xfId="279"/>
    <cellStyle name="Percent 23" xfId="280"/>
    <cellStyle name="Percent 24" xfId="281"/>
    <cellStyle name="Percent 25" xfId="282"/>
    <cellStyle name="Percent 26" xfId="283"/>
    <cellStyle name="Percent 27" xfId="284"/>
    <cellStyle name="Percent 28" xfId="285"/>
    <cellStyle name="Percent 29" xfId="286"/>
    <cellStyle name="Percent 3" xfId="287"/>
    <cellStyle name="Percent 3 2" xfId="288"/>
    <cellStyle name="Percent 30" xfId="289"/>
    <cellStyle name="Percent 31" xfId="290"/>
    <cellStyle name="Percent 32" xfId="291"/>
    <cellStyle name="Percent 33" xfId="292"/>
    <cellStyle name="Percent 34" xfId="293"/>
    <cellStyle name="Percent 35" xfId="294"/>
    <cellStyle name="Percent 36" xfId="295"/>
    <cellStyle name="Percent 37" xfId="296"/>
    <cellStyle name="Percent 38" xfId="297"/>
    <cellStyle name="Percent 39" xfId="298"/>
    <cellStyle name="Percent 4" xfId="299"/>
    <cellStyle name="Percent 4 2" xfId="300"/>
    <cellStyle name="Percent 40" xfId="301"/>
    <cellStyle name="Percent 41" xfId="302"/>
    <cellStyle name="Percent 42" xfId="303"/>
    <cellStyle name="Percent 43" xfId="304"/>
    <cellStyle name="Percent 44" xfId="305"/>
    <cellStyle name="Percent 45" xfId="306"/>
    <cellStyle name="Percent 46" xfId="307"/>
    <cellStyle name="Percent 47" xfId="308"/>
    <cellStyle name="Percent 48" xfId="309"/>
    <cellStyle name="Percent 49" xfId="310"/>
    <cellStyle name="Percent 5" xfId="311"/>
    <cellStyle name="Percent 50" xfId="312"/>
    <cellStyle name="Percent 50 2" xfId="313"/>
    <cellStyle name="Percent 51" xfId="314"/>
    <cellStyle name="Percent 51 2" xfId="315"/>
    <cellStyle name="Percent 52" xfId="316"/>
    <cellStyle name="Percent 53" xfId="317"/>
    <cellStyle name="Percent 54" xfId="318"/>
    <cellStyle name="Percent 55" xfId="319"/>
    <cellStyle name="Percent 56" xfId="320"/>
    <cellStyle name="Percent 57" xfId="321"/>
    <cellStyle name="Percent 58" xfId="322"/>
    <cellStyle name="Percent 59" xfId="323"/>
    <cellStyle name="Percent 6" xfId="324"/>
    <cellStyle name="Percent 60" xfId="325"/>
    <cellStyle name="Percent 61" xfId="326"/>
    <cellStyle name="Percent 62" xfId="327"/>
    <cellStyle name="Percent 63" xfId="418"/>
    <cellStyle name="Percent 7" xfId="328"/>
    <cellStyle name="Percent 70" xfId="329"/>
    <cellStyle name="Percent 8" xfId="330"/>
    <cellStyle name="Percent 9" xfId="331"/>
    <cellStyle name="Percent0" xfId="332"/>
    <cellStyle name="PSChar" xfId="333"/>
    <cellStyle name="PSDate" xfId="334"/>
    <cellStyle name="PSDec" xfId="335"/>
    <cellStyle name="PSHeading" xfId="336"/>
    <cellStyle name="PSInt" xfId="337"/>
    <cellStyle name="PSSpacer" xfId="338"/>
    <cellStyle name="RangeBelow" xfId="339"/>
    <cellStyle name="Reports" xfId="340"/>
    <cellStyle name="Reports-0" xfId="341"/>
    <cellStyle name="Reports-2" xfId="342"/>
    <cellStyle name="SAPBEXchaText" xfId="343"/>
    <cellStyle name="SAPBEXstdData" xfId="344"/>
    <cellStyle name="SAPBEXstdItem" xfId="345"/>
    <cellStyle name="SAPBEXstdItemX" xfId="346"/>
    <cellStyle name="Shading - Heavy" xfId="347"/>
    <cellStyle name="Shading - Light" xfId="348"/>
    <cellStyle name="Shading - Medium" xfId="349"/>
    <cellStyle name="Spaces-2" xfId="350"/>
    <cellStyle name="Spaces-4" xfId="351"/>
    <cellStyle name="Spaces-6" xfId="352"/>
    <cellStyle name="Style 1" xfId="353"/>
    <cellStyle name="Style 1 2" xfId="354"/>
    <cellStyle name="Style 1 3" xfId="355"/>
    <cellStyle name="Style 1 4" xfId="356"/>
    <cellStyle name="Style 1 5" xfId="357"/>
    <cellStyle name="Style 21" xfId="358"/>
    <cellStyle name="Style 21 2" xfId="359"/>
    <cellStyle name="Style 22" xfId="360"/>
    <cellStyle name="Style 22 2" xfId="361"/>
    <cellStyle name="Style 23" xfId="362"/>
    <cellStyle name="Style 23 2" xfId="363"/>
    <cellStyle name="Style 24" xfId="364"/>
    <cellStyle name="Style 24 2" xfId="365"/>
    <cellStyle name="Style 25" xfId="366"/>
    <cellStyle name="Style 25 2" xfId="367"/>
    <cellStyle name="Style 26" xfId="368"/>
    <cellStyle name="Style 26 2" xfId="369"/>
    <cellStyle name="Style 27" xfId="370"/>
    <cellStyle name="Style 27 2" xfId="371"/>
    <cellStyle name="Style 28" xfId="372"/>
    <cellStyle name="Style 28 2" xfId="373"/>
    <cellStyle name="Style 29" xfId="374"/>
    <cellStyle name="Style 29 2" xfId="375"/>
    <cellStyle name="Style 30" xfId="376"/>
    <cellStyle name="Style 30 2" xfId="377"/>
    <cellStyle name="Style 31" xfId="378"/>
    <cellStyle name="Style 31 2" xfId="379"/>
    <cellStyle name="Style 32" xfId="380"/>
    <cellStyle name="Style 32 2" xfId="381"/>
    <cellStyle name="Style 33" xfId="382"/>
    <cellStyle name="Style 33 2" xfId="383"/>
    <cellStyle name="Style 34" xfId="384"/>
    <cellStyle name="Style 34 2" xfId="385"/>
    <cellStyle name="Style 35" xfId="386"/>
    <cellStyle name="Style 35 2" xfId="387"/>
    <cellStyle name="SubRoutine" xfId="388"/>
    <cellStyle name="Tabs" xfId="389"/>
    <cellStyle name="Text Wrap" xfId="390"/>
    <cellStyle name="Text Wrap Across Cells" xfId="391"/>
    <cellStyle name="þ(Î'_x000c_ïþ÷_x000c_âþÖ_x0006__x0002_Þ”_x0013__x0007__x0001__x0001_" xfId="392"/>
    <cellStyle name="þ(Î'_x000c_ïþ÷_x000c_âþÖ_x0006__x0002_Þ”_x0013__x0007__x0001__x0001_ 2" xfId="393"/>
    <cellStyle name="þ(Î'_x000c_ïþ÷_x000c_âþÖ_x0006__x0002_Þ”_x0013__x0007__x0001__x0001_ 3" xfId="420"/>
    <cellStyle name="Thousands" xfId="394"/>
    <cellStyle name="Thousands 2" xfId="395"/>
    <cellStyle name="Thousands 3" xfId="421"/>
    <cellStyle name="Thousands1" xfId="396"/>
    <cellStyle name="Thousands1 2" xfId="397"/>
    <cellStyle name="Thousands1 3" xfId="422"/>
    <cellStyle name="Title" xfId="398" builtinId="15" customBuiltin="1"/>
    <cellStyle name="Total" xfId="399" builtinId="25" customBuiltin="1"/>
    <cellStyle name="Total 2" xfId="423"/>
    <cellStyle name="Unprot" xfId="400"/>
    <cellStyle name="Unprot 2" xfId="401"/>
    <cellStyle name="Unprot$" xfId="402"/>
    <cellStyle name="Unprot$ 2" xfId="403"/>
    <cellStyle name="Unprotect" xfId="404"/>
    <cellStyle name="User_Defined_A" xfId="405"/>
    <cellStyle name="Valign-bottom" xfId="406"/>
    <cellStyle name="Valign-centre" xfId="407"/>
    <cellStyle name="Valign-top" xfId="408"/>
    <cellStyle name="Warning Text" xfId="409" builtinId="11" customBuiltin="1"/>
    <cellStyle name="Wrap Text" xfId="41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0</xdr:row>
      <xdr:rowOff>0</xdr:rowOff>
    </xdr:from>
    <xdr:to>
      <xdr:col>18</xdr:col>
      <xdr:colOff>0</xdr:colOff>
      <xdr:row>0</xdr:row>
      <xdr:rowOff>0</xdr:rowOff>
    </xdr:to>
    <xdr:sp macro="" textlink="">
      <xdr:nvSpPr>
        <xdr:cNvPr id="1025" name="WordArt 1"/>
        <xdr:cNvSpPr>
          <a:spLocks noChangeArrowheads="1" noChangeShapeType="1" noTextEdit="1"/>
        </xdr:cNvSpPr>
      </xdr:nvSpPr>
      <xdr:spPr bwMode="auto">
        <a:xfrm rot="-16056844">
          <a:off x="15420975" y="0"/>
          <a:ext cx="0" cy="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400" kern="10" spc="0">
              <a:ln w="9525">
                <a:solidFill>
                  <a:srgbClr val="000000"/>
                </a:solidFill>
                <a:round/>
                <a:headEnd/>
                <a:tailEnd/>
              </a:ln>
              <a:solidFill>
                <a:srgbClr val="000000"/>
              </a:solidFill>
              <a:effectLst/>
              <a:latin typeface="Arial"/>
              <a:cs typeface="Arial"/>
            </a:rPr>
            <a:t>Worksheet B</a:t>
          </a:r>
        </a:p>
        <a:p>
          <a:pPr algn="ctr" rtl="0">
            <a:buNone/>
          </a:pPr>
          <a:r>
            <a:rPr lang="en-US" sz="1400" kern="10" spc="0">
              <a:ln w="9525">
                <a:solidFill>
                  <a:srgbClr val="000000"/>
                </a:solidFill>
                <a:round/>
                <a:headEnd/>
                <a:tailEnd/>
              </a:ln>
              <a:solidFill>
                <a:srgbClr val="000000"/>
              </a:solidFill>
              <a:effectLst/>
              <a:latin typeface="Arial"/>
              <a:cs typeface="Arial"/>
            </a:rPr>
            <a:t>Page 16 of 55</a:t>
          </a:r>
        </a:p>
      </xdr:txBody>
    </xdr:sp>
    <xdr:clientData/>
  </xdr:twoCellAnchor>
  <xdr:twoCellAnchor>
    <xdr:from>
      <xdr:col>18</xdr:col>
      <xdr:colOff>0</xdr:colOff>
      <xdr:row>64</xdr:row>
      <xdr:rowOff>0</xdr:rowOff>
    </xdr:from>
    <xdr:to>
      <xdr:col>18</xdr:col>
      <xdr:colOff>0</xdr:colOff>
      <xdr:row>64</xdr:row>
      <xdr:rowOff>0</xdr:rowOff>
    </xdr:to>
    <xdr:sp macro="" textlink="">
      <xdr:nvSpPr>
        <xdr:cNvPr id="1027" name="WordArt 3"/>
        <xdr:cNvSpPr>
          <a:spLocks noChangeArrowheads="1" noChangeShapeType="1" noTextEdit="1"/>
        </xdr:cNvSpPr>
      </xdr:nvSpPr>
      <xdr:spPr bwMode="auto">
        <a:xfrm rot="-16056844">
          <a:off x="15420975" y="9915525"/>
          <a:ext cx="0" cy="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400" kern="10" spc="0">
              <a:ln w="9525">
                <a:solidFill>
                  <a:srgbClr val="000000"/>
                </a:solidFill>
                <a:round/>
                <a:headEnd/>
                <a:tailEnd/>
              </a:ln>
              <a:solidFill>
                <a:srgbClr val="000000"/>
              </a:solidFill>
              <a:effectLst/>
              <a:latin typeface="Arial"/>
              <a:cs typeface="Arial"/>
            </a:rPr>
            <a:t>Worksheet B</a:t>
          </a:r>
        </a:p>
        <a:p>
          <a:pPr algn="ctr" rtl="0">
            <a:buNone/>
          </a:pPr>
          <a:r>
            <a:rPr lang="en-US" sz="1400" kern="10" spc="0">
              <a:ln w="9525">
                <a:solidFill>
                  <a:srgbClr val="000000"/>
                </a:solidFill>
                <a:round/>
                <a:headEnd/>
                <a:tailEnd/>
              </a:ln>
              <a:solidFill>
                <a:srgbClr val="000000"/>
              </a:solidFill>
              <a:effectLst/>
              <a:latin typeface="Arial"/>
              <a:cs typeface="Arial"/>
            </a:rPr>
            <a:t>Page 18 of 55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657225</xdr:colOff>
      <xdr:row>419</xdr:row>
      <xdr:rowOff>0</xdr:rowOff>
    </xdr:from>
    <xdr:to>
      <xdr:col>2</xdr:col>
      <xdr:colOff>714375</xdr:colOff>
      <xdr:row>419</xdr:row>
      <xdr:rowOff>0</xdr:rowOff>
    </xdr:to>
    <xdr:sp macro="" textlink="">
      <xdr:nvSpPr>
        <xdr:cNvPr id="29397" name="AutoShape 4"/>
        <xdr:cNvSpPr>
          <a:spLocks/>
        </xdr:cNvSpPr>
      </xdr:nvSpPr>
      <xdr:spPr bwMode="auto">
        <a:xfrm flipV="1">
          <a:off x="5048250" y="70265925"/>
          <a:ext cx="5715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657225</xdr:colOff>
      <xdr:row>419</xdr:row>
      <xdr:rowOff>0</xdr:rowOff>
    </xdr:from>
    <xdr:to>
      <xdr:col>2</xdr:col>
      <xdr:colOff>714375</xdr:colOff>
      <xdr:row>419</xdr:row>
      <xdr:rowOff>0</xdr:rowOff>
    </xdr:to>
    <xdr:sp macro="" textlink="">
      <xdr:nvSpPr>
        <xdr:cNvPr id="29398" name="AutoShape 4"/>
        <xdr:cNvSpPr>
          <a:spLocks/>
        </xdr:cNvSpPr>
      </xdr:nvSpPr>
      <xdr:spPr bwMode="auto">
        <a:xfrm flipV="1">
          <a:off x="5048250" y="70265925"/>
          <a:ext cx="5715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FERC/PSCo%20Transmission%20Formula/2016%20Estimate/Annual%20Update%20Docs/Section%202a%20(i)%20PSCo%20Transmission%20Formula/Data%20Sources/WP%20B-7/TSB-2015%20Amortization.xls'!M58"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ferc.gov/enforcement/acct-matts/interest-rates.as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C17" sqref="C17"/>
    </sheetView>
  </sheetViews>
  <sheetFormatPr defaultRowHeight="12.75"/>
  <cols>
    <col min="1" max="1" width="9.7109375" customWidth="1"/>
    <col min="2" max="2" width="9.7109375" bestFit="1" customWidth="1"/>
    <col min="3" max="3" width="18.28515625" customWidth="1"/>
    <col min="4" max="4" width="24.5703125" customWidth="1"/>
    <col min="5" max="5" width="59.28515625" customWidth="1"/>
    <col min="6" max="6" width="27.28515625" customWidth="1"/>
    <col min="7" max="7" width="15.85546875" customWidth="1"/>
  </cols>
  <sheetData>
    <row r="1" spans="1:7">
      <c r="A1" s="821" t="s">
        <v>779</v>
      </c>
    </row>
    <row r="2" spans="1:7">
      <c r="A2" s="821" t="s">
        <v>1813</v>
      </c>
    </row>
    <row r="3" spans="1:7">
      <c r="A3" s="821" t="s">
        <v>1804</v>
      </c>
    </row>
    <row r="5" spans="1:7" ht="25.5">
      <c r="A5" s="1191" t="s">
        <v>1805</v>
      </c>
      <c r="B5" s="1191" t="s">
        <v>133</v>
      </c>
      <c r="C5" s="824" t="s">
        <v>1806</v>
      </c>
      <c r="D5" s="1191" t="s">
        <v>1807</v>
      </c>
      <c r="E5" s="966" t="s">
        <v>1808</v>
      </c>
      <c r="F5" s="966" t="s">
        <v>1809</v>
      </c>
      <c r="G5" s="1195" t="s">
        <v>1810</v>
      </c>
    </row>
    <row r="6" spans="1:7" s="1199" customFormat="1" ht="25.5">
      <c r="A6" s="1196">
        <v>1</v>
      </c>
      <c r="B6" s="1197" t="s">
        <v>1060</v>
      </c>
      <c r="C6" s="1197" t="s">
        <v>1814</v>
      </c>
      <c r="D6" s="1198" t="s">
        <v>1815</v>
      </c>
      <c r="E6" s="1198" t="s">
        <v>1816</v>
      </c>
      <c r="F6" s="1198" t="s">
        <v>1811</v>
      </c>
      <c r="G6" s="1197" t="s">
        <v>1812</v>
      </c>
    </row>
    <row r="7" spans="1:7" s="1199" customFormat="1">
      <c r="A7" s="1196">
        <v>2</v>
      </c>
      <c r="B7" s="1197" t="s">
        <v>1231</v>
      </c>
      <c r="C7" s="1198" t="s">
        <v>726</v>
      </c>
      <c r="D7" s="1198" t="s">
        <v>1818</v>
      </c>
      <c r="E7" s="1198" t="s">
        <v>1820</v>
      </c>
      <c r="F7" s="1198" t="s">
        <v>1811</v>
      </c>
      <c r="G7" s="1197" t="s">
        <v>1812</v>
      </c>
    </row>
    <row r="8" spans="1:7" s="1199" customFormat="1">
      <c r="A8" s="1196">
        <v>3</v>
      </c>
      <c r="B8" s="1197" t="s">
        <v>215</v>
      </c>
      <c r="C8" s="1198" t="s">
        <v>727</v>
      </c>
      <c r="D8" s="1198" t="s">
        <v>1818</v>
      </c>
      <c r="E8" s="1198" t="s">
        <v>1820</v>
      </c>
      <c r="F8" s="1198" t="s">
        <v>1811</v>
      </c>
      <c r="G8" s="1197" t="s">
        <v>1812</v>
      </c>
    </row>
    <row r="9" spans="1:7" s="1199" customFormat="1">
      <c r="A9" s="1196">
        <v>4</v>
      </c>
      <c r="B9" s="1197" t="s">
        <v>162</v>
      </c>
      <c r="C9" s="1198" t="s">
        <v>1817</v>
      </c>
      <c r="D9" s="1198" t="s">
        <v>1818</v>
      </c>
      <c r="E9" s="1198" t="s">
        <v>1820</v>
      </c>
      <c r="F9" s="1198" t="s">
        <v>1811</v>
      </c>
      <c r="G9" s="1197" t="s">
        <v>1812</v>
      </c>
    </row>
    <row r="10" spans="1:7" s="1199" customFormat="1">
      <c r="A10" s="1196">
        <v>5</v>
      </c>
      <c r="B10" s="1197" t="s">
        <v>161</v>
      </c>
      <c r="C10" s="1198" t="s">
        <v>724</v>
      </c>
      <c r="D10" s="1198" t="s">
        <v>1818</v>
      </c>
      <c r="E10" s="1198" t="s">
        <v>1820</v>
      </c>
      <c r="F10" s="1198" t="s">
        <v>1811</v>
      </c>
      <c r="G10" s="1197" t="s">
        <v>1812</v>
      </c>
    </row>
    <row r="11" spans="1:7" s="1199" customFormat="1">
      <c r="A11" s="1196">
        <v>6</v>
      </c>
      <c r="B11" s="1197" t="s">
        <v>1502</v>
      </c>
      <c r="C11" s="1198" t="s">
        <v>1729</v>
      </c>
      <c r="D11" s="1198" t="s">
        <v>1818</v>
      </c>
      <c r="E11" s="1198" t="s">
        <v>1820</v>
      </c>
      <c r="F11" s="1198" t="s">
        <v>1811</v>
      </c>
      <c r="G11" s="1197" t="s">
        <v>1812</v>
      </c>
    </row>
    <row r="12" spans="1:7" s="1199" customFormat="1">
      <c r="A12" s="1196">
        <v>7</v>
      </c>
      <c r="B12" s="1197" t="s">
        <v>1503</v>
      </c>
      <c r="C12" t="s">
        <v>1819</v>
      </c>
      <c r="D12" s="1198" t="s">
        <v>1818</v>
      </c>
      <c r="E12" s="1198" t="s">
        <v>1822</v>
      </c>
      <c r="F12" s="1198" t="s">
        <v>1811</v>
      </c>
      <c r="G12" s="1197" t="s">
        <v>1812</v>
      </c>
    </row>
    <row r="13" spans="1:7" s="1199" customFormat="1">
      <c r="A13" s="1196">
        <v>8</v>
      </c>
      <c r="B13" s="1197" t="s">
        <v>1505</v>
      </c>
      <c r="C13" t="s">
        <v>1821</v>
      </c>
      <c r="D13" s="1198" t="s">
        <v>1818</v>
      </c>
      <c r="E13" s="1198" t="s">
        <v>1822</v>
      </c>
      <c r="F13" s="1198" t="s">
        <v>1811</v>
      </c>
      <c r="G13" s="1197" t="s">
        <v>1812</v>
      </c>
    </row>
    <row r="14" spans="1:7">
      <c r="A14" s="1196"/>
      <c r="E14" s="1198"/>
      <c r="F14" s="1198"/>
      <c r="G14" s="119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1"/>
  <sheetViews>
    <sheetView topLeftCell="A22" workbookViewId="0">
      <selection activeCell="C76" sqref="C76:D76"/>
    </sheetView>
  </sheetViews>
  <sheetFormatPr defaultRowHeight="12.75"/>
  <cols>
    <col min="1" max="1" width="9.140625" style="74"/>
    <col min="2" max="2" width="41.85546875" style="72" customWidth="1"/>
    <col min="3" max="4" width="19" style="72" bestFit="1" customWidth="1"/>
    <col min="5" max="5" width="20.85546875" style="72" bestFit="1" customWidth="1"/>
    <col min="6" max="6" width="17.28515625" style="72" bestFit="1" customWidth="1"/>
    <col min="7" max="7" width="15" style="72" customWidth="1"/>
    <col min="8" max="8" width="14.5703125" style="72" bestFit="1" customWidth="1"/>
    <col min="9" max="10" width="11.85546875" style="72" bestFit="1" customWidth="1"/>
    <col min="11" max="16384" width="9.140625" style="72"/>
  </cols>
  <sheetData>
    <row r="1" spans="1:7">
      <c r="A1" s="821" t="s">
        <v>779</v>
      </c>
      <c r="G1" s="781" t="s">
        <v>141</v>
      </c>
    </row>
    <row r="2" spans="1:7">
      <c r="A2" s="821" t="s">
        <v>383</v>
      </c>
      <c r="G2" s="781" t="s">
        <v>1583</v>
      </c>
    </row>
    <row r="3" spans="1:7">
      <c r="A3" s="821" t="s">
        <v>1454</v>
      </c>
      <c r="C3" s="313"/>
    </row>
    <row r="4" spans="1:7">
      <c r="A4" s="821" t="s">
        <v>989</v>
      </c>
    </row>
    <row r="6" spans="1:7">
      <c r="A6" s="821" t="s">
        <v>990</v>
      </c>
    </row>
    <row r="7" spans="1:7">
      <c r="A7" s="415"/>
      <c r="B7" s="415"/>
      <c r="C7" s="1218" t="s">
        <v>976</v>
      </c>
      <c r="D7" s="1218"/>
      <c r="E7" s="415"/>
      <c r="F7" s="415"/>
      <c r="G7" s="415" t="s">
        <v>977</v>
      </c>
    </row>
    <row r="8" spans="1:7" ht="25.5">
      <c r="A8" s="823" t="s">
        <v>868</v>
      </c>
      <c r="B8" s="823" t="s">
        <v>991</v>
      </c>
      <c r="C8" s="974">
        <v>43100</v>
      </c>
      <c r="D8" s="974">
        <v>43465</v>
      </c>
      <c r="E8" s="824" t="s">
        <v>1584</v>
      </c>
      <c r="F8" s="824" t="s">
        <v>993</v>
      </c>
      <c r="G8" s="824" t="s">
        <v>992</v>
      </c>
    </row>
    <row r="9" spans="1:7">
      <c r="C9" s="822" t="s">
        <v>363</v>
      </c>
      <c r="D9" s="822" t="s">
        <v>362</v>
      </c>
      <c r="E9" s="822" t="s">
        <v>364</v>
      </c>
      <c r="F9" s="822" t="s">
        <v>365</v>
      </c>
      <c r="G9" s="822" t="s">
        <v>366</v>
      </c>
    </row>
    <row r="10" spans="1:7">
      <c r="A10" s="74">
        <v>1</v>
      </c>
      <c r="B10" s="825" t="s">
        <v>1321</v>
      </c>
    </row>
    <row r="11" spans="1:7">
      <c r="A11" s="74">
        <f t="shared" ref="A11:A80" si="0">A10+1</f>
        <v>2</v>
      </c>
      <c r="B11" s="826" t="s">
        <v>994</v>
      </c>
      <c r="C11" s="250">
        <v>-135893483.35000002</v>
      </c>
      <c r="D11" s="250">
        <v>-133386458.08</v>
      </c>
      <c r="E11" s="248">
        <f>AVERAGE(C11:D11)</f>
        <v>-134639970.715</v>
      </c>
      <c r="F11" s="250">
        <f>-E11</f>
        <v>134639970.715</v>
      </c>
      <c r="G11" s="248">
        <f>SUM(E11:F11)</f>
        <v>0</v>
      </c>
    </row>
    <row r="12" spans="1:7" ht="13.5" thickBot="1">
      <c r="A12" s="74">
        <f t="shared" si="0"/>
        <v>3</v>
      </c>
      <c r="B12" s="57" t="s">
        <v>1589</v>
      </c>
      <c r="C12" s="975"/>
      <c r="D12" s="975"/>
      <c r="E12" s="169">
        <f>'WP_ADIT Prorate'!J130</f>
        <v>-672832.92348971963</v>
      </c>
      <c r="F12" s="169"/>
      <c r="G12" s="248"/>
    </row>
    <row r="13" spans="1:7" ht="13.5" thickBot="1">
      <c r="A13" s="74">
        <f t="shared" si="0"/>
        <v>4</v>
      </c>
      <c r="B13" s="827" t="s">
        <v>1309</v>
      </c>
      <c r="C13" s="169">
        <f>SUM(C11)</f>
        <v>-135893483.35000002</v>
      </c>
      <c r="D13" s="169">
        <f>SUM(D11)</f>
        <v>-133386458.08</v>
      </c>
      <c r="E13" s="611">
        <f>SUM(E11:E12)</f>
        <v>-135312803.63848972</v>
      </c>
      <c r="F13" s="169">
        <f>SUM(F11)</f>
        <v>134639970.715</v>
      </c>
      <c r="G13" s="614">
        <f>SUM(G11:G12)</f>
        <v>0</v>
      </c>
    </row>
    <row r="14" spans="1:7">
      <c r="A14" s="74">
        <f t="shared" si="0"/>
        <v>5</v>
      </c>
      <c r="B14" s="313"/>
      <c r="C14" s="315"/>
      <c r="D14" s="315"/>
      <c r="E14" s="315"/>
      <c r="F14" s="315"/>
      <c r="G14" s="315"/>
    </row>
    <row r="15" spans="1:7">
      <c r="A15" s="74">
        <f t="shared" si="0"/>
        <v>6</v>
      </c>
      <c r="B15" s="825" t="s">
        <v>1323</v>
      </c>
      <c r="C15" s="315"/>
      <c r="D15" s="315"/>
      <c r="E15" s="315"/>
      <c r="F15" s="315"/>
      <c r="G15" s="315"/>
    </row>
    <row r="16" spans="1:7">
      <c r="A16" s="74">
        <f t="shared" si="0"/>
        <v>7</v>
      </c>
      <c r="B16" s="57" t="s">
        <v>1305</v>
      </c>
      <c r="C16" s="315"/>
      <c r="D16" s="315"/>
      <c r="E16" s="315"/>
      <c r="F16" s="315"/>
      <c r="G16" s="315"/>
    </row>
    <row r="17" spans="1:10">
      <c r="A17" s="74">
        <f t="shared" si="0"/>
        <v>8</v>
      </c>
      <c r="B17" s="828" t="s">
        <v>996</v>
      </c>
      <c r="C17" s="247">
        <v>-1196210616.3300004</v>
      </c>
      <c r="D17" s="247">
        <v>-1255877511.4700005</v>
      </c>
      <c r="E17" s="315">
        <f t="shared" ref="E17:E23" si="1">AVERAGE(C17:D17)</f>
        <v>-1226044063.9000006</v>
      </c>
      <c r="F17" s="247">
        <f t="shared" ref="F17:F23" si="2">-E17</f>
        <v>1226044063.9000006</v>
      </c>
      <c r="G17" s="315">
        <f t="shared" ref="G17:G23" si="3">SUM(E17:F17)</f>
        <v>0</v>
      </c>
    </row>
    <row r="18" spans="1:10">
      <c r="A18" s="74">
        <f t="shared" si="0"/>
        <v>9</v>
      </c>
      <c r="B18" s="828" t="s">
        <v>568</v>
      </c>
      <c r="C18" s="247">
        <v>205991.44999999998</v>
      </c>
      <c r="D18" s="247">
        <v>186751.84</v>
      </c>
      <c r="E18" s="315">
        <f t="shared" si="1"/>
        <v>196371.64499999999</v>
      </c>
      <c r="F18" s="247">
        <f t="shared" si="2"/>
        <v>-196371.64499999999</v>
      </c>
      <c r="G18" s="315">
        <f t="shared" si="3"/>
        <v>0</v>
      </c>
      <c r="H18" s="93"/>
    </row>
    <row r="19" spans="1:10">
      <c r="A19" s="74">
        <f t="shared" si="0"/>
        <v>10</v>
      </c>
      <c r="B19" s="828" t="s">
        <v>997</v>
      </c>
      <c r="C19" s="247">
        <v>-486931845.82000017</v>
      </c>
      <c r="D19" s="247">
        <v>-541423191.3700006</v>
      </c>
      <c r="E19" s="315">
        <f t="shared" si="1"/>
        <v>-514177518.59500039</v>
      </c>
      <c r="F19" s="247"/>
      <c r="G19" s="315">
        <f t="shared" si="3"/>
        <v>-514177518.59500039</v>
      </c>
      <c r="H19" s="93"/>
    </row>
    <row r="20" spans="1:10">
      <c r="A20" s="74">
        <f t="shared" si="0"/>
        <v>11</v>
      </c>
      <c r="B20" s="828" t="s">
        <v>569</v>
      </c>
      <c r="C20" s="247">
        <v>-2926796.0813383637</v>
      </c>
      <c r="D20" s="247">
        <v>-26041446.824591279</v>
      </c>
      <c r="E20" s="315">
        <f t="shared" si="1"/>
        <v>-14484121.452964822</v>
      </c>
      <c r="F20" s="247">
        <f t="shared" si="2"/>
        <v>14484121.452964822</v>
      </c>
      <c r="G20" s="315">
        <f t="shared" si="3"/>
        <v>0</v>
      </c>
      <c r="H20" s="93"/>
    </row>
    <row r="21" spans="1:10">
      <c r="A21" s="74">
        <f t="shared" si="0"/>
        <v>12</v>
      </c>
      <c r="B21" s="828" t="s">
        <v>570</v>
      </c>
      <c r="C21" s="247">
        <v>-45653.54</v>
      </c>
      <c r="D21" s="247">
        <v>-30984.36</v>
      </c>
      <c r="E21" s="315">
        <f t="shared" si="1"/>
        <v>-38318.949999999997</v>
      </c>
      <c r="F21" s="247">
        <f t="shared" si="2"/>
        <v>38318.949999999997</v>
      </c>
      <c r="G21" s="315">
        <f t="shared" si="3"/>
        <v>0</v>
      </c>
    </row>
    <row r="22" spans="1:10">
      <c r="A22" s="74">
        <f t="shared" si="0"/>
        <v>13</v>
      </c>
      <c r="B22" s="828" t="s">
        <v>1004</v>
      </c>
      <c r="C22" s="247">
        <v>-11965505.369999999</v>
      </c>
      <c r="D22" s="247">
        <v>-12489430.790000001</v>
      </c>
      <c r="E22" s="315">
        <f t="shared" si="1"/>
        <v>-12227468.08</v>
      </c>
      <c r="F22" s="247">
        <f t="shared" si="2"/>
        <v>12227468.08</v>
      </c>
      <c r="G22" s="315">
        <f t="shared" si="3"/>
        <v>0</v>
      </c>
    </row>
    <row r="23" spans="1:10">
      <c r="A23" s="74">
        <f t="shared" si="0"/>
        <v>14</v>
      </c>
      <c r="B23" s="828" t="s">
        <v>1386</v>
      </c>
      <c r="C23" s="769">
        <v>-819001261.61999989</v>
      </c>
      <c r="D23" s="247">
        <v>-1007187587.28</v>
      </c>
      <c r="E23" s="251">
        <f t="shared" si="1"/>
        <v>-913094424.44999993</v>
      </c>
      <c r="F23" s="250">
        <f t="shared" si="2"/>
        <v>913094424.44999993</v>
      </c>
      <c r="G23" s="251">
        <f t="shared" si="3"/>
        <v>0</v>
      </c>
    </row>
    <row r="24" spans="1:10">
      <c r="A24" s="74">
        <f t="shared" si="0"/>
        <v>15</v>
      </c>
      <c r="B24" s="57" t="s">
        <v>1589</v>
      </c>
      <c r="C24" s="975"/>
      <c r="D24" s="975"/>
      <c r="E24" s="1180">
        <f>+'WP_ADIT Prorate'!J161</f>
        <v>14624332.578544617</v>
      </c>
      <c r="F24" s="976"/>
      <c r="G24" s="976">
        <f>+E24-F24</f>
        <v>14624332.578544617</v>
      </c>
    </row>
    <row r="25" spans="1:10">
      <c r="A25" s="74">
        <f t="shared" si="0"/>
        <v>16</v>
      </c>
      <c r="B25" s="120" t="s">
        <v>795</v>
      </c>
      <c r="C25" s="830">
        <f>SUM(C17:C23)</f>
        <v>-2516875687.3113384</v>
      </c>
      <c r="D25" s="830">
        <f>SUM(D17:D23)</f>
        <v>-2842863400.2545924</v>
      </c>
      <c r="E25" s="169">
        <f>SUM(E17:E24)</f>
        <v>-2665245211.204421</v>
      </c>
      <c r="F25" s="169">
        <f>SUM(F17:F24)</f>
        <v>2165692025.1879654</v>
      </c>
      <c r="G25" s="169">
        <f>SUM(G17:G24)</f>
        <v>-499553186.01645577</v>
      </c>
    </row>
    <row r="26" spans="1:10">
      <c r="A26" s="74">
        <f t="shared" si="0"/>
        <v>17</v>
      </c>
      <c r="B26" s="120"/>
      <c r="C26" s="169"/>
      <c r="D26" s="169"/>
      <c r="E26" s="169"/>
      <c r="F26" s="169"/>
      <c r="G26" s="169"/>
    </row>
    <row r="27" spans="1:10">
      <c r="A27" s="1177">
        <f t="shared" si="0"/>
        <v>18</v>
      </c>
      <c r="B27" s="57" t="s">
        <v>1306</v>
      </c>
      <c r="C27" s="169"/>
      <c r="D27" s="169"/>
      <c r="E27" s="169"/>
      <c r="F27" s="169"/>
      <c r="G27" s="248"/>
    </row>
    <row r="28" spans="1:10">
      <c r="A28" s="1177">
        <f t="shared" si="0"/>
        <v>19</v>
      </c>
      <c r="B28" s="828" t="s">
        <v>571</v>
      </c>
      <c r="C28" s="247">
        <v>-37836213.434090868</v>
      </c>
      <c r="D28" s="247">
        <v>-36791723.076545939</v>
      </c>
      <c r="E28" s="315">
        <f>AVERAGE(C28:D28)</f>
        <v>-37313968.255318403</v>
      </c>
      <c r="F28" s="247">
        <f>'WP_B-Inputs Est.'!S110*'ATRR Est.'!G170</f>
        <v>-62559.776091924192</v>
      </c>
      <c r="G28" s="315">
        <f>SUM(E28:F28)</f>
        <v>-37376528.031410329</v>
      </c>
      <c r="I28" s="635"/>
      <c r="J28" s="635"/>
    </row>
    <row r="29" spans="1:10">
      <c r="A29" s="1177">
        <f t="shared" si="0"/>
        <v>20</v>
      </c>
      <c r="B29" s="828" t="s">
        <v>954</v>
      </c>
      <c r="C29" s="247">
        <v>-887172.05733924964</v>
      </c>
      <c r="D29" s="247">
        <v>-845085.2554258965</v>
      </c>
      <c r="E29" s="315">
        <f>AVERAGE(C29:D29)</f>
        <v>-866128.65638257307</v>
      </c>
      <c r="F29" s="247"/>
      <c r="G29" s="315">
        <f>SUM(E29:F29)</f>
        <v>-866128.65638257307</v>
      </c>
      <c r="I29" s="635"/>
      <c r="J29" s="635"/>
    </row>
    <row r="30" spans="1:10">
      <c r="A30" s="1177">
        <f t="shared" si="0"/>
        <v>21</v>
      </c>
      <c r="B30" s="828" t="s">
        <v>572</v>
      </c>
      <c r="C30" s="247">
        <v>-48468665.269999996</v>
      </c>
      <c r="D30" s="247">
        <v>-52940686.899999976</v>
      </c>
      <c r="E30" s="315">
        <f>AVERAGE(C30:D30)</f>
        <v>-50704676.084999986</v>
      </c>
      <c r="F30" s="247">
        <f>'WP_B-Inputs Est.'!L110</f>
        <v>3179967.8863699995</v>
      </c>
      <c r="G30" s="315">
        <f>SUM(E30:F30)</f>
        <v>-47524708.19862999</v>
      </c>
      <c r="I30" s="635"/>
      <c r="J30" s="635"/>
    </row>
    <row r="31" spans="1:10">
      <c r="A31" s="1177">
        <f t="shared" si="0"/>
        <v>22</v>
      </c>
      <c r="B31" s="828" t="s">
        <v>982</v>
      </c>
      <c r="C31" s="247">
        <v>-1624843.7300000014</v>
      </c>
      <c r="D31" s="247">
        <v>-1773454.7099999965</v>
      </c>
      <c r="E31" s="251">
        <f>AVERAGE(C31:D31)</f>
        <v>-1699149.2199999988</v>
      </c>
      <c r="F31" s="250"/>
      <c r="G31" s="251">
        <f>SUM(E31:F31)</f>
        <v>-1699149.2199999988</v>
      </c>
      <c r="H31" s="93"/>
      <c r="I31" s="635"/>
      <c r="J31" s="635"/>
    </row>
    <row r="32" spans="1:10">
      <c r="A32" s="1177">
        <f t="shared" si="0"/>
        <v>23</v>
      </c>
      <c r="B32" s="57" t="s">
        <v>1589</v>
      </c>
      <c r="C32" s="975"/>
      <c r="D32" s="975"/>
      <c r="E32" s="1180">
        <f>+'WP_ADIT Prorate'!J192</f>
        <v>948466.25162367523</v>
      </c>
      <c r="F32" s="976"/>
      <c r="G32" s="976">
        <f>SUM(E32:F32)</f>
        <v>948466.25162367523</v>
      </c>
      <c r="H32" s="93"/>
      <c r="I32" s="635"/>
      <c r="J32" s="635"/>
    </row>
    <row r="33" spans="1:10">
      <c r="A33" s="1177">
        <f t="shared" si="0"/>
        <v>24</v>
      </c>
      <c r="B33" s="120" t="s">
        <v>795</v>
      </c>
      <c r="C33" s="830">
        <f>SUM(C28:C31)</f>
        <v>-88816894.491430119</v>
      </c>
      <c r="D33" s="830">
        <f>SUM(D28:D31)</f>
        <v>-92350949.941971809</v>
      </c>
      <c r="E33" s="169">
        <f>SUM(E28:E32)</f>
        <v>-89635455.965077296</v>
      </c>
      <c r="F33" s="169">
        <f>SUM(F28:F31)</f>
        <v>3117408.1102780751</v>
      </c>
      <c r="G33" s="169">
        <f>SUM(G28:G32)</f>
        <v>-86518047.854799226</v>
      </c>
      <c r="H33" s="315"/>
      <c r="J33" s="315"/>
    </row>
    <row r="34" spans="1:10">
      <c r="A34" s="1177">
        <f t="shared" si="0"/>
        <v>25</v>
      </c>
      <c r="B34" s="183" t="s">
        <v>1592</v>
      </c>
      <c r="C34" s="315"/>
      <c r="D34" s="315"/>
      <c r="E34" s="315"/>
      <c r="F34" s="315"/>
      <c r="G34" s="831">
        <f>WS</f>
        <v>0.11022</v>
      </c>
      <c r="H34" s="93"/>
    </row>
    <row r="35" spans="1:10">
      <c r="A35" s="1177">
        <f t="shared" si="0"/>
        <v>26</v>
      </c>
      <c r="B35" s="183" t="s">
        <v>1307</v>
      </c>
      <c r="C35" s="315"/>
      <c r="D35" s="315"/>
      <c r="E35" s="315"/>
      <c r="F35" s="315"/>
      <c r="G35" s="315">
        <f>G33*G34</f>
        <v>-9536019.2345559709</v>
      </c>
    </row>
    <row r="36" spans="1:10">
      <c r="A36" s="1177">
        <f t="shared" si="0"/>
        <v>27</v>
      </c>
      <c r="B36" s="120"/>
      <c r="C36" s="315"/>
      <c r="D36" s="315"/>
      <c r="E36" s="315"/>
      <c r="F36" s="315"/>
      <c r="G36" s="315"/>
    </row>
    <row r="37" spans="1:10">
      <c r="A37" s="74">
        <f t="shared" si="0"/>
        <v>28</v>
      </c>
      <c r="B37" s="828" t="s">
        <v>1005</v>
      </c>
      <c r="C37" s="250">
        <v>0</v>
      </c>
      <c r="D37" s="250">
        <v>0</v>
      </c>
      <c r="E37" s="251">
        <f>AVERAGE(C37:D37)</f>
        <v>0</v>
      </c>
      <c r="F37" s="250">
        <f>-E37</f>
        <v>0</v>
      </c>
      <c r="G37" s="251">
        <f>SUM(E37:F37)</f>
        <v>0</v>
      </c>
    </row>
    <row r="38" spans="1:10">
      <c r="A38" s="74">
        <f t="shared" si="0"/>
        <v>29</v>
      </c>
      <c r="B38" s="120" t="s">
        <v>1006</v>
      </c>
      <c r="C38" s="315">
        <f>SUM(C37)</f>
        <v>0</v>
      </c>
      <c r="D38" s="315">
        <f>SUM(D37)</f>
        <v>0</v>
      </c>
      <c r="E38" s="315">
        <f>SUM(E37)</f>
        <v>0</v>
      </c>
      <c r="F38" s="315">
        <f>SUM(F37)</f>
        <v>0</v>
      </c>
      <c r="G38" s="315">
        <f>SUM(G37)</f>
        <v>0</v>
      </c>
    </row>
    <row r="39" spans="1:10" ht="13.5" thickBot="1">
      <c r="A39" s="74">
        <f t="shared" si="0"/>
        <v>30</v>
      </c>
      <c r="C39" s="315"/>
      <c r="D39" s="315"/>
      <c r="E39" s="315"/>
      <c r="F39" s="315"/>
      <c r="G39" s="315"/>
    </row>
    <row r="40" spans="1:10" ht="13.5" thickBot="1">
      <c r="A40" s="74">
        <f t="shared" si="0"/>
        <v>31</v>
      </c>
      <c r="B40" s="827" t="s">
        <v>1310</v>
      </c>
      <c r="C40" s="251">
        <f>C38+C33+C25</f>
        <v>-2605692581.8027687</v>
      </c>
      <c r="D40" s="251">
        <f>D38+D33+D25</f>
        <v>-2935214350.1965642</v>
      </c>
      <c r="E40" s="614">
        <f>E38+E33+E25</f>
        <v>-2754880667.1694984</v>
      </c>
      <c r="F40" s="251">
        <f>F38+F33+F25</f>
        <v>2168809433.2982435</v>
      </c>
      <c r="G40" s="614">
        <f>G38+G35+G25</f>
        <v>-509089205.25101173</v>
      </c>
    </row>
    <row r="41" spans="1:10">
      <c r="A41" s="74">
        <f t="shared" si="0"/>
        <v>32</v>
      </c>
      <c r="B41" s="313"/>
      <c r="C41" s="315"/>
      <c r="D41" s="315"/>
      <c r="E41" s="315"/>
      <c r="F41" s="315"/>
      <c r="G41" s="315"/>
    </row>
    <row r="42" spans="1:10">
      <c r="A42" s="74">
        <f t="shared" si="0"/>
        <v>33</v>
      </c>
      <c r="B42" s="825" t="s">
        <v>1322</v>
      </c>
      <c r="C42" s="315"/>
      <c r="D42" s="315"/>
      <c r="E42" s="315"/>
      <c r="F42" s="315"/>
      <c r="G42" s="315"/>
    </row>
    <row r="43" spans="1:10">
      <c r="A43" s="74">
        <f t="shared" si="0"/>
        <v>34</v>
      </c>
      <c r="B43" s="57" t="s">
        <v>995</v>
      </c>
      <c r="C43" s="315"/>
      <c r="D43" s="315"/>
      <c r="E43" s="315"/>
      <c r="F43" s="315"/>
      <c r="G43" s="315"/>
    </row>
    <row r="44" spans="1:10">
      <c r="A44" s="74">
        <f t="shared" si="0"/>
        <v>35</v>
      </c>
      <c r="B44" s="826" t="s">
        <v>1007</v>
      </c>
      <c r="C44" s="247">
        <v>-799.45000000000095</v>
      </c>
      <c r="D44" s="247">
        <v>-747.52000000000055</v>
      </c>
      <c r="E44" s="248">
        <f>AVERAGE(C44:D44)</f>
        <v>-773.48500000000081</v>
      </c>
      <c r="F44" s="247">
        <f>-E44</f>
        <v>773.48500000000081</v>
      </c>
      <c r="G44" s="248">
        <f>SUM(E44:F44)</f>
        <v>0</v>
      </c>
    </row>
    <row r="45" spans="1:10">
      <c r="A45" s="74">
        <f t="shared" si="0"/>
        <v>36</v>
      </c>
      <c r="B45" s="826" t="s">
        <v>1193</v>
      </c>
      <c r="C45" s="247">
        <v>-1012746.4961264003</v>
      </c>
      <c r="D45" s="247">
        <v>-965238.37112639926</v>
      </c>
      <c r="E45" s="248">
        <f>AVERAGE(C45:D45)</f>
        <v>-988992.43362639984</v>
      </c>
      <c r="F45" s="247">
        <f>-E45</f>
        <v>988992.43362639984</v>
      </c>
      <c r="G45" s="248">
        <f>SUM(E45:F45)</f>
        <v>0</v>
      </c>
    </row>
    <row r="46" spans="1:10">
      <c r="A46" s="74">
        <f t="shared" si="0"/>
        <v>37</v>
      </c>
      <c r="B46" s="828" t="s">
        <v>1008</v>
      </c>
      <c r="C46" s="247">
        <v>-163600.08903980008</v>
      </c>
      <c r="D46" s="247">
        <v>-115942.21842980002</v>
      </c>
      <c r="E46" s="248">
        <f>AVERAGE(C46:D46)</f>
        <v>-139771.15373480006</v>
      </c>
      <c r="F46" s="250">
        <f>-E46</f>
        <v>139771.15373480006</v>
      </c>
      <c r="G46" s="832">
        <f>SUM(E46:F46)</f>
        <v>0</v>
      </c>
    </row>
    <row r="47" spans="1:10">
      <c r="A47" s="74">
        <f t="shared" si="0"/>
        <v>38</v>
      </c>
      <c r="B47" s="57" t="s">
        <v>1589</v>
      </c>
      <c r="C47" s="975"/>
      <c r="D47" s="975"/>
      <c r="E47" s="1180">
        <v>0</v>
      </c>
      <c r="F47" s="976"/>
      <c r="G47" s="976"/>
    </row>
    <row r="48" spans="1:10">
      <c r="A48" s="74">
        <f t="shared" si="0"/>
        <v>39</v>
      </c>
      <c r="B48" s="120" t="s">
        <v>795</v>
      </c>
      <c r="C48" s="833">
        <f>SUM(C44:C46)</f>
        <v>-1177146.0351662003</v>
      </c>
      <c r="D48" s="833">
        <f>SUM(D44:D46)</f>
        <v>-1081928.1095561993</v>
      </c>
      <c r="E48" s="315">
        <f>SUM(E44:E47)</f>
        <v>-1129537.0723611999</v>
      </c>
      <c r="F48" s="315">
        <f>SUM(F44:F46)</f>
        <v>1129537.0723611999</v>
      </c>
      <c r="G48" s="315">
        <f>SUM(G44:G47)</f>
        <v>0</v>
      </c>
    </row>
    <row r="49" spans="1:10">
      <c r="A49" s="74">
        <f t="shared" si="0"/>
        <v>40</v>
      </c>
      <c r="B49" s="120"/>
      <c r="C49" s="315"/>
      <c r="D49" s="315"/>
      <c r="E49" s="315"/>
      <c r="F49" s="315"/>
      <c r="G49" s="315"/>
    </row>
    <row r="50" spans="1:10">
      <c r="A50" s="74">
        <f t="shared" si="0"/>
        <v>41</v>
      </c>
      <c r="B50" s="57" t="s">
        <v>1085</v>
      </c>
      <c r="C50" s="315"/>
      <c r="D50" s="315"/>
      <c r="E50" s="315"/>
      <c r="F50" s="315"/>
      <c r="G50" s="315"/>
    </row>
    <row r="51" spans="1:10">
      <c r="A51" s="74">
        <f t="shared" si="0"/>
        <v>42</v>
      </c>
      <c r="B51" s="828" t="s">
        <v>1068</v>
      </c>
      <c r="C51" s="247">
        <v>0</v>
      </c>
      <c r="D51" s="247">
        <v>0</v>
      </c>
      <c r="E51" s="251">
        <f>AVERAGE(C51:D51)</f>
        <v>0</v>
      </c>
      <c r="F51" s="250">
        <v>0</v>
      </c>
      <c r="G51" s="251">
        <f>SUM(E51:F51)</f>
        <v>0</v>
      </c>
    </row>
    <row r="52" spans="1:10">
      <c r="A52" s="74">
        <f t="shared" si="0"/>
        <v>43</v>
      </c>
      <c r="B52" s="120" t="s">
        <v>795</v>
      </c>
      <c r="C52" s="315"/>
      <c r="D52" s="315"/>
      <c r="E52" s="315"/>
      <c r="F52" s="315"/>
      <c r="G52" s="315"/>
    </row>
    <row r="53" spans="1:10">
      <c r="A53" s="74">
        <f t="shared" si="0"/>
        <v>44</v>
      </c>
      <c r="B53" s="120"/>
      <c r="C53" s="315"/>
      <c r="D53" s="315"/>
      <c r="E53" s="315"/>
      <c r="F53" s="315"/>
      <c r="G53" s="315"/>
    </row>
    <row r="54" spans="1:10">
      <c r="A54" s="74">
        <f t="shared" si="0"/>
        <v>45</v>
      </c>
      <c r="B54" s="57" t="s">
        <v>1306</v>
      </c>
      <c r="C54" s="315"/>
      <c r="D54" s="315"/>
      <c r="E54" s="315"/>
      <c r="F54" s="315"/>
      <c r="G54" s="315"/>
    </row>
    <row r="55" spans="1:10">
      <c r="A55" s="74">
        <f t="shared" si="0"/>
        <v>46</v>
      </c>
      <c r="B55" s="828" t="s">
        <v>955</v>
      </c>
      <c r="C55" s="247">
        <v>-315.01133154759998</v>
      </c>
      <c r="D55" s="247">
        <v>-312.61402821839999</v>
      </c>
      <c r="E55" s="248">
        <f>AVERAGE(C55:D55)</f>
        <v>-313.81267988299999</v>
      </c>
      <c r="F55" s="247"/>
      <c r="G55" s="315">
        <f>SUM(E55:F55)</f>
        <v>-313.81267988299999</v>
      </c>
      <c r="I55" s="635"/>
      <c r="J55" s="635"/>
    </row>
    <row r="56" spans="1:10">
      <c r="A56" s="74">
        <f t="shared" si="0"/>
        <v>47</v>
      </c>
      <c r="B56" s="828" t="s">
        <v>573</v>
      </c>
      <c r="C56" s="247">
        <v>-33760210.498968698</v>
      </c>
      <c r="D56" s="247">
        <v>-38913502.674449481</v>
      </c>
      <c r="E56" s="248">
        <f>AVERAGE(C56:D56)</f>
        <v>-36336856.58670909</v>
      </c>
      <c r="F56" s="247">
        <f>'WP_B-Inputs Est.'!P110*'ATRR Est.'!G170</f>
        <v>-98789.591290821438</v>
      </c>
      <c r="G56" s="315">
        <f>SUM(E56:F56)</f>
        <v>-36435646.177999914</v>
      </c>
      <c r="I56" s="635"/>
      <c r="J56" s="635"/>
    </row>
    <row r="57" spans="1:10">
      <c r="A57" s="74">
        <f t="shared" si="0"/>
        <v>48</v>
      </c>
      <c r="B57" s="828" t="s">
        <v>1009</v>
      </c>
      <c r="C57" s="247">
        <v>-549105.61999999953</v>
      </c>
      <c r="D57" s="247">
        <v>-428918.29000000015</v>
      </c>
      <c r="E57" s="248">
        <f>AVERAGE(C57:D57)</f>
        <v>-489011.95499999984</v>
      </c>
      <c r="F57" s="247"/>
      <c r="G57" s="315">
        <f>SUM(E57:F57)</f>
        <v>-489011.95499999984</v>
      </c>
      <c r="I57" s="635"/>
      <c r="J57" s="635"/>
    </row>
    <row r="58" spans="1:10">
      <c r="A58" s="74">
        <f t="shared" si="0"/>
        <v>49</v>
      </c>
      <c r="B58" s="828" t="s">
        <v>574</v>
      </c>
      <c r="C58" s="247">
        <v>-7836110.3200000003</v>
      </c>
      <c r="D58" s="247">
        <v>-7251987.1799999997</v>
      </c>
      <c r="E58" s="248">
        <f>AVERAGE(C58:D58)</f>
        <v>-7544048.75</v>
      </c>
      <c r="F58" s="250">
        <f>'WP_B-Inputs Est.'!F110</f>
        <v>100056.77643017282</v>
      </c>
      <c r="G58" s="251">
        <f>SUM(E58:F58)</f>
        <v>-7443991.9735698272</v>
      </c>
      <c r="I58" s="635"/>
      <c r="J58" s="635"/>
    </row>
    <row r="59" spans="1:10">
      <c r="A59" s="74">
        <f t="shared" si="0"/>
        <v>50</v>
      </c>
      <c r="B59" s="57" t="s">
        <v>1589</v>
      </c>
      <c r="C59" s="975"/>
      <c r="D59" s="975"/>
      <c r="E59" s="1180">
        <f>+'WP_ADIT Prorate'!J254</f>
        <v>1194012.5974343866</v>
      </c>
      <c r="F59" s="1180"/>
      <c r="G59" s="1180">
        <f>+E59-F59</f>
        <v>1194012.5974343866</v>
      </c>
      <c r="I59" s="635"/>
      <c r="J59" s="635"/>
    </row>
    <row r="60" spans="1:10">
      <c r="A60" s="74">
        <f t="shared" si="0"/>
        <v>51</v>
      </c>
      <c r="B60" s="120" t="s">
        <v>795</v>
      </c>
      <c r="C60" s="833">
        <f>SUM(C55:C58)</f>
        <v>-42145741.450300246</v>
      </c>
      <c r="D60" s="833">
        <f>SUM(D55:D58)</f>
        <v>-46594720.758477695</v>
      </c>
      <c r="E60" s="315">
        <f>SUM(E55:E59)</f>
        <v>-43176218.506954581</v>
      </c>
      <c r="F60" s="315">
        <f>SUM(F55:F58)</f>
        <v>1267.1851393513789</v>
      </c>
      <c r="G60" s="315">
        <f>SUM(G55:G59)</f>
        <v>-43174951.32181523</v>
      </c>
    </row>
    <row r="61" spans="1:10">
      <c r="A61" s="74">
        <f t="shared" si="0"/>
        <v>52</v>
      </c>
      <c r="B61" s="183" t="s">
        <v>1592</v>
      </c>
      <c r="C61" s="315"/>
      <c r="D61" s="315"/>
      <c r="E61" s="315"/>
      <c r="F61" s="315"/>
      <c r="G61" s="834">
        <f>G34</f>
        <v>0.11022</v>
      </c>
      <c r="H61" s="93"/>
    </row>
    <row r="62" spans="1:10">
      <c r="A62" s="74">
        <f t="shared" si="0"/>
        <v>53</v>
      </c>
      <c r="B62" s="183" t="s">
        <v>1307</v>
      </c>
      <c r="C62" s="315"/>
      <c r="D62" s="315"/>
      <c r="E62" s="315"/>
      <c r="F62" s="315"/>
      <c r="G62" s="315">
        <f>G60*G61</f>
        <v>-4758743.1346904747</v>
      </c>
    </row>
    <row r="63" spans="1:10">
      <c r="A63" s="74">
        <f t="shared" si="0"/>
        <v>54</v>
      </c>
      <c r="C63" s="315"/>
      <c r="D63" s="315"/>
      <c r="E63" s="315"/>
      <c r="F63" s="315"/>
      <c r="G63" s="315"/>
    </row>
    <row r="64" spans="1:10">
      <c r="A64" s="74">
        <f t="shared" si="0"/>
        <v>55</v>
      </c>
      <c r="B64" s="313" t="s">
        <v>1010</v>
      </c>
      <c r="C64" s="315"/>
      <c r="D64" s="315"/>
      <c r="E64" s="315"/>
      <c r="F64" s="315"/>
      <c r="G64" s="315"/>
    </row>
    <row r="65" spans="1:8">
      <c r="A65" s="74">
        <f t="shared" si="0"/>
        <v>56</v>
      </c>
      <c r="B65" s="828" t="s">
        <v>1011</v>
      </c>
      <c r="C65" s="247">
        <v>-57717.707641839013</v>
      </c>
      <c r="D65" s="247">
        <v>0</v>
      </c>
      <c r="E65" s="248">
        <f>AVERAGE(C65:D65)</f>
        <v>-28858.853820919507</v>
      </c>
      <c r="F65" s="247">
        <v>0</v>
      </c>
      <c r="G65" s="315">
        <f>SUM(E65:F65)</f>
        <v>-28858.853820919507</v>
      </c>
    </row>
    <row r="66" spans="1:8">
      <c r="A66" s="74">
        <f t="shared" si="0"/>
        <v>57</v>
      </c>
      <c r="B66" s="828" t="s">
        <v>1194</v>
      </c>
      <c r="C66" s="247">
        <v>-629851.61800294253</v>
      </c>
      <c r="D66" s="247">
        <v>-550291.32675005111</v>
      </c>
      <c r="E66" s="248"/>
      <c r="F66" s="769"/>
      <c r="G66" s="315"/>
    </row>
    <row r="67" spans="1:8">
      <c r="A67" s="74">
        <f t="shared" si="0"/>
        <v>58</v>
      </c>
      <c r="B67" s="828" t="s">
        <v>1261</v>
      </c>
      <c r="C67" s="247">
        <v>-3207960.0411129692</v>
      </c>
      <c r="D67" s="247">
        <v>-8069669.9738876801</v>
      </c>
      <c r="E67" s="248"/>
      <c r="F67" s="769"/>
      <c r="G67" s="315"/>
    </row>
    <row r="68" spans="1:8">
      <c r="A68" s="74">
        <f t="shared" si="0"/>
        <v>59</v>
      </c>
      <c r="B68" s="828" t="s">
        <v>1308</v>
      </c>
      <c r="C68" s="247">
        <v>-68000556.045973137</v>
      </c>
      <c r="D68" s="247">
        <v>-60064928.382525697</v>
      </c>
      <c r="E68" s="248">
        <f>AVERAGE(C68:D68)</f>
        <v>-64032742.214249417</v>
      </c>
      <c r="F68" s="250">
        <f>-E68</f>
        <v>64032742.214249417</v>
      </c>
      <c r="G68" s="251">
        <f>SUM(E68:F68)</f>
        <v>0</v>
      </c>
    </row>
    <row r="69" spans="1:8">
      <c r="A69" s="74">
        <f t="shared" si="0"/>
        <v>60</v>
      </c>
      <c r="B69" s="120" t="s">
        <v>1012</v>
      </c>
      <c r="C69" s="833">
        <f>SUM(C65:C68)</f>
        <v>-71896085.412730888</v>
      </c>
      <c r="D69" s="833">
        <f>SUM(D65:D68)</f>
        <v>-68684889.683163434</v>
      </c>
      <c r="E69" s="315">
        <f>SUM(E65:E68)</f>
        <v>-64061601.068070337</v>
      </c>
      <c r="F69" s="315">
        <f>SUM(F65:F68)</f>
        <v>64032742.214249417</v>
      </c>
      <c r="G69" s="315">
        <f>SUM(G65:G68)</f>
        <v>-28858.853820919507</v>
      </c>
    </row>
    <row r="70" spans="1:8">
      <c r="A70" s="74">
        <f t="shared" si="0"/>
        <v>61</v>
      </c>
      <c r="B70" s="183" t="s">
        <v>1592</v>
      </c>
      <c r="C70" s="315"/>
      <c r="D70" s="315"/>
      <c r="E70" s="315"/>
      <c r="F70" s="315"/>
      <c r="G70" s="834">
        <f>WS</f>
        <v>0.11022</v>
      </c>
    </row>
    <row r="71" spans="1:8">
      <c r="A71" s="74">
        <f t="shared" si="0"/>
        <v>62</v>
      </c>
      <c r="B71" s="183" t="s">
        <v>1307</v>
      </c>
      <c r="C71" s="315"/>
      <c r="D71" s="315"/>
      <c r="E71" s="315"/>
      <c r="F71" s="315"/>
      <c r="G71" s="315">
        <f>G69*G70</f>
        <v>-3180.8228681417481</v>
      </c>
    </row>
    <row r="72" spans="1:8">
      <c r="A72" s="74">
        <f t="shared" si="0"/>
        <v>63</v>
      </c>
      <c r="B72" s="120"/>
      <c r="C72" s="315"/>
      <c r="D72" s="315"/>
      <c r="E72" s="315"/>
      <c r="F72" s="315"/>
      <c r="G72" s="315"/>
    </row>
    <row r="73" spans="1:8">
      <c r="A73" s="74">
        <f t="shared" si="0"/>
        <v>64</v>
      </c>
      <c r="B73" s="72" t="s">
        <v>1013</v>
      </c>
      <c r="C73" s="315"/>
      <c r="D73" s="315"/>
      <c r="E73" s="315"/>
      <c r="F73" s="315"/>
      <c r="G73" s="315"/>
    </row>
    <row r="74" spans="1:8">
      <c r="A74" s="74">
        <f t="shared" si="0"/>
        <v>65</v>
      </c>
      <c r="B74" s="828" t="s">
        <v>1061</v>
      </c>
      <c r="C74" s="247">
        <v>-265707.691942</v>
      </c>
      <c r="D74" s="247">
        <v>-265707.69194199977</v>
      </c>
      <c r="E74" s="248">
        <f>AVERAGE(C74:D74)</f>
        <v>-265707.69194199989</v>
      </c>
      <c r="F74" s="247"/>
      <c r="G74" s="315">
        <f>SUM(E74:F74)</f>
        <v>-265707.69194199989</v>
      </c>
    </row>
    <row r="75" spans="1:8">
      <c r="A75" s="74">
        <f t="shared" si="0"/>
        <v>66</v>
      </c>
      <c r="B75" s="828" t="s">
        <v>1195</v>
      </c>
      <c r="C75" s="247">
        <v>-725769.71818855009</v>
      </c>
      <c r="D75" s="247">
        <v>-725769.71818855021</v>
      </c>
      <c r="E75" s="248">
        <f>AVERAGE(C75:D75)</f>
        <v>-725769.71818855009</v>
      </c>
      <c r="F75" s="247"/>
      <c r="G75" s="315">
        <f>SUM(E75:F75)</f>
        <v>-725769.71818855009</v>
      </c>
    </row>
    <row r="76" spans="1:8">
      <c r="A76" s="74">
        <f t="shared" si="0"/>
        <v>67</v>
      </c>
      <c r="B76" s="828" t="s">
        <v>1194</v>
      </c>
      <c r="C76" s="247">
        <v>0</v>
      </c>
      <c r="D76" s="247"/>
      <c r="E76" s="248">
        <f>AVERAGE(C76:D76)</f>
        <v>0</v>
      </c>
      <c r="F76" s="247"/>
      <c r="G76" s="315">
        <f>SUM(E76:F76)</f>
        <v>0</v>
      </c>
    </row>
    <row r="77" spans="1:8">
      <c r="A77" s="74">
        <f t="shared" si="0"/>
        <v>68</v>
      </c>
      <c r="B77" s="828" t="s">
        <v>1062</v>
      </c>
      <c r="C77" s="247">
        <v>-1974928.8529422276</v>
      </c>
      <c r="D77" s="247">
        <v>-1621366.0215753026</v>
      </c>
      <c r="E77" s="248">
        <f>AVERAGE(C77:D77)</f>
        <v>-1798147.4372587651</v>
      </c>
      <c r="F77" s="250"/>
      <c r="G77" s="251">
        <f>SUM(E77:F77)</f>
        <v>-1798147.4372587651</v>
      </c>
    </row>
    <row r="78" spans="1:8">
      <c r="A78" s="74">
        <f t="shared" si="0"/>
        <v>69</v>
      </c>
      <c r="B78" s="57" t="s">
        <v>1589</v>
      </c>
      <c r="C78" s="975"/>
      <c r="D78" s="975"/>
      <c r="E78" s="1180">
        <f>+'WP_ADIT Prorate'!J285</f>
        <v>-94888.837504981551</v>
      </c>
      <c r="F78" s="1180"/>
      <c r="G78" s="1180">
        <f>+E78-F78</f>
        <v>-94888.837504981551</v>
      </c>
    </row>
    <row r="79" spans="1:8">
      <c r="A79" s="74">
        <f t="shared" si="0"/>
        <v>70</v>
      </c>
      <c r="B79" s="120" t="s">
        <v>1737</v>
      </c>
      <c r="C79" s="833">
        <f>SUM(C74:C77)</f>
        <v>-2966406.2630727775</v>
      </c>
      <c r="D79" s="833">
        <f>SUM(D74:D77)</f>
        <v>-2612843.4317058525</v>
      </c>
      <c r="E79" s="315">
        <f>SUM(E74:E78)</f>
        <v>-2884513.6848942968</v>
      </c>
      <c r="F79" s="315">
        <f>SUM(F74:F77)</f>
        <v>0</v>
      </c>
      <c r="G79" s="315">
        <f>SUM(G74:G78)</f>
        <v>-2884513.6848942968</v>
      </c>
    </row>
    <row r="80" spans="1:8">
      <c r="A80" s="74">
        <f t="shared" si="0"/>
        <v>71</v>
      </c>
      <c r="B80" s="835" t="s">
        <v>1593</v>
      </c>
      <c r="C80" s="315"/>
      <c r="D80" s="315"/>
      <c r="E80" s="315"/>
      <c r="F80" s="315"/>
      <c r="G80" s="834">
        <f>NP</f>
        <v>0.1800617262481837</v>
      </c>
      <c r="H80" s="93"/>
    </row>
    <row r="81" spans="1:7">
      <c r="A81" s="74">
        <f t="shared" ref="A81:A99" si="4">A80+1</f>
        <v>72</v>
      </c>
      <c r="B81" s="835" t="s">
        <v>1063</v>
      </c>
      <c r="C81" s="315"/>
      <c r="D81" s="315"/>
      <c r="E81" s="315"/>
      <c r="F81" s="315"/>
      <c r="G81" s="315">
        <f>G79*G80</f>
        <v>-519390.51348857651</v>
      </c>
    </row>
    <row r="82" spans="1:7">
      <c r="A82" s="74">
        <f t="shared" si="4"/>
        <v>73</v>
      </c>
      <c r="C82" s="315"/>
      <c r="D82" s="315"/>
      <c r="E82" s="315"/>
      <c r="F82" s="315"/>
      <c r="G82" s="315"/>
    </row>
    <row r="83" spans="1:7">
      <c r="A83" s="74">
        <f t="shared" si="4"/>
        <v>74</v>
      </c>
      <c r="B83" s="72" t="s">
        <v>1064</v>
      </c>
      <c r="C83" s="315"/>
      <c r="D83" s="315"/>
      <c r="E83" s="315"/>
      <c r="F83" s="315"/>
      <c r="G83" s="315"/>
    </row>
    <row r="84" spans="1:7">
      <c r="A84" s="74">
        <f t="shared" si="4"/>
        <v>75</v>
      </c>
      <c r="B84" s="828" t="s">
        <v>1065</v>
      </c>
      <c r="C84" s="247">
        <v>-2671561.0104874293</v>
      </c>
      <c r="D84" s="247">
        <v>-4078857.5800000019</v>
      </c>
      <c r="E84" s="248">
        <f t="shared" ref="E84:E91" si="5">AVERAGE(C84:D84)</f>
        <v>-3375209.2952437159</v>
      </c>
      <c r="F84" s="769">
        <f t="shared" ref="F84:F91" si="6">-E84</f>
        <v>3375209.2952437159</v>
      </c>
      <c r="G84" s="315">
        <f t="shared" ref="G84:G91" si="7">SUM(E84:F84)</f>
        <v>0</v>
      </c>
    </row>
    <row r="85" spans="1:7">
      <c r="A85" s="74">
        <f t="shared" si="4"/>
        <v>76</v>
      </c>
      <c r="B85" s="828" t="s">
        <v>1197</v>
      </c>
      <c r="C85" s="247">
        <v>0</v>
      </c>
      <c r="D85" s="247">
        <v>0</v>
      </c>
      <c r="E85" s="248">
        <f t="shared" si="5"/>
        <v>0</v>
      </c>
      <c r="F85" s="247">
        <f t="shared" si="6"/>
        <v>0</v>
      </c>
      <c r="G85" s="315">
        <f t="shared" si="7"/>
        <v>0</v>
      </c>
    </row>
    <row r="86" spans="1:7">
      <c r="A86" s="74">
        <f t="shared" si="4"/>
        <v>77</v>
      </c>
      <c r="B86" s="828" t="s">
        <v>1198</v>
      </c>
      <c r="C86" s="247">
        <v>-1099685.5154311201</v>
      </c>
      <c r="D86" s="247">
        <v>-1362965.3489375</v>
      </c>
      <c r="E86" s="248">
        <f t="shared" si="5"/>
        <v>-1231325.4321843102</v>
      </c>
      <c r="F86" s="247">
        <f t="shared" si="6"/>
        <v>1231325.4321843102</v>
      </c>
      <c r="G86" s="315">
        <f t="shared" si="7"/>
        <v>0</v>
      </c>
    </row>
    <row r="87" spans="1:7">
      <c r="A87" s="74">
        <f t="shared" si="4"/>
        <v>78</v>
      </c>
      <c r="B87" s="828" t="s">
        <v>1200</v>
      </c>
      <c r="C87" s="247">
        <v>-2300031.3601317508</v>
      </c>
      <c r="D87" s="247">
        <v>-1919966.3601317508</v>
      </c>
      <c r="E87" s="248">
        <f t="shared" si="5"/>
        <v>-2109998.8601317508</v>
      </c>
      <c r="F87" s="247">
        <f t="shared" si="6"/>
        <v>2109998.8601317508</v>
      </c>
      <c r="G87" s="315">
        <f t="shared" si="7"/>
        <v>0</v>
      </c>
    </row>
    <row r="88" spans="1:7">
      <c r="A88" s="74">
        <f t="shared" si="4"/>
        <v>79</v>
      </c>
      <c r="B88" s="828" t="s">
        <v>1199</v>
      </c>
      <c r="C88" s="247">
        <v>-4227487.5643019211</v>
      </c>
      <c r="D88" s="247">
        <v>-4256728</v>
      </c>
      <c r="E88" s="248">
        <f t="shared" si="5"/>
        <v>-4242107.7821509605</v>
      </c>
      <c r="F88" s="836">
        <f t="shared" si="6"/>
        <v>4242107.7821509605</v>
      </c>
      <c r="G88" s="315">
        <f t="shared" si="7"/>
        <v>0</v>
      </c>
    </row>
    <row r="89" spans="1:7">
      <c r="A89" s="74">
        <f t="shared" si="4"/>
        <v>80</v>
      </c>
      <c r="B89" s="828" t="s">
        <v>1196</v>
      </c>
      <c r="C89" s="247">
        <v>0</v>
      </c>
      <c r="D89" s="247">
        <v>0</v>
      </c>
      <c r="E89" s="248">
        <f t="shared" si="5"/>
        <v>0</v>
      </c>
      <c r="F89" s="836">
        <f t="shared" si="6"/>
        <v>0</v>
      </c>
      <c r="G89" s="315">
        <f>SUM(E89:F89)</f>
        <v>0</v>
      </c>
    </row>
    <row r="90" spans="1:7">
      <c r="A90" s="74">
        <f t="shared" si="4"/>
        <v>81</v>
      </c>
      <c r="B90" s="1178" t="s">
        <v>1793</v>
      </c>
      <c r="C90" s="247">
        <v>0</v>
      </c>
      <c r="D90" s="247">
        <v>0</v>
      </c>
      <c r="E90" s="248">
        <f t="shared" si="5"/>
        <v>0</v>
      </c>
      <c r="F90" s="836">
        <f t="shared" si="6"/>
        <v>0</v>
      </c>
      <c r="G90" s="315">
        <f>SUM(E90:F90)</f>
        <v>0</v>
      </c>
    </row>
    <row r="91" spans="1:7">
      <c r="A91" s="74">
        <f t="shared" si="4"/>
        <v>82</v>
      </c>
      <c r="B91" s="828" t="s">
        <v>1066</v>
      </c>
      <c r="C91" s="1181">
        <v>-1549458.8736900007</v>
      </c>
      <c r="D91" s="1181">
        <v>-2987101.1041200003</v>
      </c>
      <c r="E91" s="248">
        <f t="shared" si="5"/>
        <v>-2268279.9889050005</v>
      </c>
      <c r="F91" s="250">
        <f t="shared" si="6"/>
        <v>2268279.9889050005</v>
      </c>
      <c r="G91" s="251">
        <f t="shared" si="7"/>
        <v>0</v>
      </c>
    </row>
    <row r="92" spans="1:7">
      <c r="A92" s="74">
        <f t="shared" si="4"/>
        <v>83</v>
      </c>
      <c r="B92" s="72" t="s">
        <v>1067</v>
      </c>
      <c r="C92" s="833">
        <f>SUM(C84:C91)</f>
        <v>-11848224.324042223</v>
      </c>
      <c r="D92" s="833">
        <f>SUM(D84:D91)</f>
        <v>-14605618.393189255</v>
      </c>
      <c r="E92" s="315">
        <f>SUM(E84:E91)</f>
        <v>-13226921.358615737</v>
      </c>
      <c r="F92" s="315">
        <f>SUM(F84:F91)</f>
        <v>13226921.358615737</v>
      </c>
      <c r="G92" s="315">
        <f>SUM(G84:G91)</f>
        <v>0</v>
      </c>
    </row>
    <row r="93" spans="1:7">
      <c r="A93" s="74">
        <f t="shared" si="4"/>
        <v>84</v>
      </c>
      <c r="C93" s="315"/>
      <c r="D93" s="315"/>
      <c r="E93" s="315"/>
      <c r="F93" s="315"/>
      <c r="G93" s="315"/>
    </row>
    <row r="94" spans="1:7">
      <c r="A94" s="74">
        <f t="shared" si="4"/>
        <v>85</v>
      </c>
      <c r="B94" s="72" t="s">
        <v>110</v>
      </c>
      <c r="C94" s="315"/>
      <c r="D94" s="315"/>
      <c r="E94" s="315"/>
      <c r="F94" s="315"/>
      <c r="G94" s="315"/>
    </row>
    <row r="95" spans="1:7">
      <c r="A95" s="74">
        <f t="shared" si="4"/>
        <v>86</v>
      </c>
      <c r="B95" s="828">
        <v>0</v>
      </c>
      <c r="C95" s="769">
        <v>0</v>
      </c>
      <c r="D95" s="769"/>
      <c r="E95" s="248">
        <f>AVERAGE(C95:D95)</f>
        <v>0</v>
      </c>
      <c r="F95" s="247">
        <f>-E95</f>
        <v>0</v>
      </c>
      <c r="G95" s="315">
        <f>SUM(E95:F95)</f>
        <v>0</v>
      </c>
    </row>
    <row r="96" spans="1:7">
      <c r="A96" s="74">
        <f t="shared" si="4"/>
        <v>87</v>
      </c>
      <c r="B96" s="828" t="s">
        <v>1069</v>
      </c>
      <c r="C96" s="769">
        <v>-902399.35138500039</v>
      </c>
      <c r="D96" s="769">
        <v>0</v>
      </c>
      <c r="E96" s="248">
        <f>AVERAGE(C96:D96)</f>
        <v>-451199.6756925002</v>
      </c>
      <c r="F96" s="250">
        <f>-E96</f>
        <v>451199.6756925002</v>
      </c>
      <c r="G96" s="251">
        <f>SUM(E96:F96)</f>
        <v>0</v>
      </c>
    </row>
    <row r="97" spans="1:7">
      <c r="A97" s="74">
        <f t="shared" si="4"/>
        <v>88</v>
      </c>
      <c r="B97" s="72" t="s">
        <v>1070</v>
      </c>
      <c r="C97" s="833">
        <f>SUM(C95:C96)</f>
        <v>-902399.35138500039</v>
      </c>
      <c r="D97" s="833">
        <f>SUM(D95:D96)</f>
        <v>0</v>
      </c>
      <c r="E97" s="315">
        <f>SUM(E95:E96)</f>
        <v>-451199.6756925002</v>
      </c>
      <c r="F97" s="315">
        <f>SUM(F95:F96)</f>
        <v>451199.6756925002</v>
      </c>
      <c r="G97" s="315">
        <f>SUM(G95:G96)</f>
        <v>0</v>
      </c>
    </row>
    <row r="98" spans="1:7" ht="13.5" thickBot="1">
      <c r="A98" s="74">
        <f t="shared" si="4"/>
        <v>89</v>
      </c>
      <c r="C98" s="248"/>
      <c r="D98" s="248"/>
      <c r="E98" s="248"/>
      <c r="F98" s="248"/>
      <c r="G98" s="248"/>
    </row>
    <row r="99" spans="1:7" ht="13.5" thickBot="1">
      <c r="A99" s="74">
        <f t="shared" si="4"/>
        <v>90</v>
      </c>
      <c r="B99" s="313" t="s">
        <v>1311</v>
      </c>
      <c r="C99" s="837">
        <f>C97+C92+C79+C69+C60+C51+C48</f>
        <v>-130936002.83669734</v>
      </c>
      <c r="D99" s="837">
        <f>D97+D92+D79+D69+D60+D51+D48</f>
        <v>-133580000.37609243</v>
      </c>
      <c r="E99" s="838">
        <f>E97+E92+E79+E69+E60+E51+E48</f>
        <v>-124929991.36658865</v>
      </c>
      <c r="F99" s="837">
        <f>F97+F92+F79+F69+F60+F51+F48</f>
        <v>78841667.506058216</v>
      </c>
      <c r="G99" s="838">
        <f>G97+G92+G81+G71+G62+G51+G48</f>
        <v>-5281314.4710471928</v>
      </c>
    </row>
    <row r="100" spans="1:7">
      <c r="C100" s="315"/>
      <c r="D100" s="315"/>
      <c r="E100" s="315"/>
      <c r="F100" s="315"/>
      <c r="G100" s="315"/>
    </row>
    <row r="102" spans="1:7" ht="26.25" customHeight="1">
      <c r="A102" s="839" t="s">
        <v>876</v>
      </c>
      <c r="B102" s="1219" t="s">
        <v>209</v>
      </c>
      <c r="C102" s="1219"/>
      <c r="D102" s="1219"/>
      <c r="E102" s="1219"/>
      <c r="F102" s="1219"/>
      <c r="G102" s="1219"/>
    </row>
    <row r="103" spans="1:7">
      <c r="A103" s="74" t="s">
        <v>876</v>
      </c>
      <c r="B103" s="72" t="s">
        <v>391</v>
      </c>
    </row>
    <row r="104" spans="1:7">
      <c r="A104" s="74" t="s">
        <v>876</v>
      </c>
      <c r="B104" s="72" t="s">
        <v>1343</v>
      </c>
    </row>
    <row r="105" spans="1:7">
      <c r="A105" s="420" t="s">
        <v>876</v>
      </c>
      <c r="B105" s="314" t="s">
        <v>1320</v>
      </c>
      <c r="C105" s="313"/>
      <c r="D105" s="313"/>
      <c r="E105" s="313"/>
      <c r="F105" s="313"/>
    </row>
    <row r="106" spans="1:7">
      <c r="A106" s="74" t="s">
        <v>876</v>
      </c>
      <c r="B106" s="72" t="s">
        <v>1656</v>
      </c>
    </row>
    <row r="107" spans="1:7">
      <c r="A107" s="840" t="str">
        <f>A1</f>
        <v>Public Service Company of Colorado</v>
      </c>
      <c r="B107" s="314"/>
      <c r="C107" s="314"/>
      <c r="D107" s="314"/>
      <c r="E107" s="314"/>
      <c r="F107" s="314"/>
      <c r="G107" s="841" t="str">
        <f>G1</f>
        <v>Table 8</v>
      </c>
    </row>
    <row r="108" spans="1:7">
      <c r="A108" s="840" t="str">
        <f>A2</f>
        <v>Transmission Formula Rate Template</v>
      </c>
      <c r="B108" s="314"/>
      <c r="C108" s="314"/>
      <c r="D108" s="314"/>
      <c r="E108" s="314"/>
      <c r="F108" s="314"/>
      <c r="G108" s="841" t="str">
        <f>G2</f>
        <v>WP_B-2</v>
      </c>
    </row>
    <row r="109" spans="1:7">
      <c r="A109" s="840" t="str">
        <f>A3</f>
        <v>Twelve Months Ended December 31, 2016</v>
      </c>
      <c r="B109" s="314"/>
      <c r="C109" s="314"/>
      <c r="D109" s="314"/>
      <c r="E109" s="314"/>
      <c r="F109" s="314"/>
      <c r="G109" s="314"/>
    </row>
    <row r="110" spans="1:7">
      <c r="A110" s="840" t="str">
        <f>A4</f>
        <v>Accumulated Deferred Income Taxes (Credits)</v>
      </c>
      <c r="B110" s="314"/>
      <c r="C110" s="314"/>
      <c r="D110" s="314"/>
      <c r="E110" s="314"/>
      <c r="F110" s="314"/>
      <c r="G110" s="314"/>
    </row>
    <row r="111" spans="1:7">
      <c r="A111" s="840"/>
      <c r="B111" s="314"/>
      <c r="C111" s="314"/>
      <c r="D111" s="314"/>
      <c r="E111" s="314"/>
      <c r="F111" s="314"/>
      <c r="G111" s="314"/>
    </row>
    <row r="112" spans="1:7">
      <c r="A112" s="782" t="s">
        <v>1344</v>
      </c>
      <c r="B112" s="313"/>
      <c r="C112" s="313"/>
      <c r="D112" s="313"/>
      <c r="E112" s="313"/>
      <c r="F112" s="313"/>
      <c r="G112" s="313"/>
    </row>
    <row r="113" spans="1:7">
      <c r="A113" s="415"/>
      <c r="B113" s="415"/>
      <c r="C113" s="1218" t="s">
        <v>976</v>
      </c>
      <c r="D113" s="1218"/>
      <c r="E113" s="415"/>
      <c r="F113" s="415"/>
      <c r="G113" s="415" t="s">
        <v>977</v>
      </c>
    </row>
    <row r="114" spans="1:7" ht="25.5">
      <c r="A114" s="823" t="s">
        <v>868</v>
      </c>
      <c r="B114" s="823" t="s">
        <v>991</v>
      </c>
      <c r="C114" s="974">
        <v>43100</v>
      </c>
      <c r="D114" s="974">
        <v>43465</v>
      </c>
      <c r="E114" s="824" t="s">
        <v>1584</v>
      </c>
      <c r="F114" s="824" t="s">
        <v>993</v>
      </c>
      <c r="G114" s="824" t="s">
        <v>992</v>
      </c>
    </row>
    <row r="115" spans="1:7">
      <c r="C115" s="822" t="s">
        <v>363</v>
      </c>
      <c r="D115" s="822" t="s">
        <v>362</v>
      </c>
      <c r="E115" s="822" t="s">
        <v>364</v>
      </c>
      <c r="F115" s="822" t="s">
        <v>365</v>
      </c>
      <c r="G115" s="822" t="s">
        <v>366</v>
      </c>
    </row>
    <row r="116" spans="1:7">
      <c r="A116" s="74">
        <v>1</v>
      </c>
      <c r="B116" s="825" t="s">
        <v>1321</v>
      </c>
    </row>
    <row r="117" spans="1:7">
      <c r="A117" s="74">
        <f t="shared" ref="A117:A187" si="8">A116+1</f>
        <v>2</v>
      </c>
      <c r="B117" s="826" t="s">
        <v>994</v>
      </c>
      <c r="C117" s="250"/>
      <c r="D117" s="250"/>
      <c r="E117" s="829" t="e">
        <f>AVERAGE(C117:D117)</f>
        <v>#DIV/0!</v>
      </c>
      <c r="F117" s="250" t="e">
        <f>-E117</f>
        <v>#DIV/0!</v>
      </c>
      <c r="G117" s="248" t="e">
        <f>SUM(E117:F117)</f>
        <v>#DIV/0!</v>
      </c>
    </row>
    <row r="118" spans="1:7" ht="13.5" thickBot="1">
      <c r="A118" s="74">
        <f t="shared" si="8"/>
        <v>3</v>
      </c>
      <c r="B118" s="57" t="s">
        <v>1589</v>
      </c>
      <c r="C118" s="975"/>
      <c r="D118" s="975"/>
      <c r="E118" s="976">
        <f>'WP_ADIT Prorate'!Q130</f>
        <v>0</v>
      </c>
      <c r="F118" s="976"/>
      <c r="G118" s="976">
        <f>SUM(E118:F118)</f>
        <v>0</v>
      </c>
    </row>
    <row r="119" spans="1:7" ht="13.5" thickBot="1">
      <c r="A119" s="74">
        <f t="shared" si="8"/>
        <v>4</v>
      </c>
      <c r="B119" s="827" t="s">
        <v>1309</v>
      </c>
      <c r="C119" s="169">
        <f>SUM(C117)</f>
        <v>0</v>
      </c>
      <c r="D119" s="169">
        <f>SUM(D117)</f>
        <v>0</v>
      </c>
      <c r="E119" s="614" t="e">
        <f>SUM(E117:E118)</f>
        <v>#DIV/0!</v>
      </c>
      <c r="F119" s="169" t="e">
        <f>SUM(F117)</f>
        <v>#DIV/0!</v>
      </c>
      <c r="G119" s="614" t="e">
        <f>SUM(G117:G118)</f>
        <v>#DIV/0!</v>
      </c>
    </row>
    <row r="120" spans="1:7">
      <c r="A120" s="74">
        <f t="shared" si="8"/>
        <v>5</v>
      </c>
      <c r="B120" s="313"/>
      <c r="C120" s="315"/>
      <c r="D120" s="315"/>
      <c r="E120" s="315"/>
      <c r="F120" s="315"/>
      <c r="G120" s="315"/>
    </row>
    <row r="121" spans="1:7">
      <c r="A121" s="74">
        <f t="shared" si="8"/>
        <v>6</v>
      </c>
      <c r="B121" s="825" t="s">
        <v>1323</v>
      </c>
      <c r="C121" s="315"/>
      <c r="D121" s="315"/>
      <c r="E121" s="315"/>
      <c r="F121" s="315"/>
      <c r="G121" s="315"/>
    </row>
    <row r="122" spans="1:7">
      <c r="A122" s="74">
        <f t="shared" si="8"/>
        <v>7</v>
      </c>
      <c r="B122" s="57" t="s">
        <v>1305</v>
      </c>
      <c r="C122" s="315"/>
      <c r="D122" s="315"/>
      <c r="E122" s="315"/>
      <c r="F122" s="315"/>
      <c r="G122" s="315"/>
    </row>
    <row r="123" spans="1:7">
      <c r="A123" s="74">
        <f t="shared" si="8"/>
        <v>8</v>
      </c>
      <c r="B123" s="828" t="s">
        <v>996</v>
      </c>
      <c r="C123" s="872"/>
      <c r="D123" s="872"/>
      <c r="E123" s="248" t="e">
        <f t="shared" ref="E123:E131" si="9">AVERAGE(C123:D123)</f>
        <v>#DIV/0!</v>
      </c>
      <c r="F123" s="247" t="e">
        <f t="shared" ref="F123:F131" si="10">-E123</f>
        <v>#DIV/0!</v>
      </c>
      <c r="G123" s="315" t="e">
        <f t="shared" ref="G123:G131" si="11">SUM(E123:F123)</f>
        <v>#DIV/0!</v>
      </c>
    </row>
    <row r="124" spans="1:7">
      <c r="A124" s="74">
        <f t="shared" si="8"/>
        <v>9</v>
      </c>
      <c r="B124" s="828" t="s">
        <v>568</v>
      </c>
      <c r="C124" s="872"/>
      <c r="D124" s="872"/>
      <c r="E124" s="248" t="e">
        <f t="shared" si="9"/>
        <v>#DIV/0!</v>
      </c>
      <c r="F124" s="247" t="e">
        <f t="shared" si="10"/>
        <v>#DIV/0!</v>
      </c>
      <c r="G124" s="315" t="e">
        <f t="shared" si="11"/>
        <v>#DIV/0!</v>
      </c>
    </row>
    <row r="125" spans="1:7">
      <c r="A125" s="74">
        <f t="shared" si="8"/>
        <v>10</v>
      </c>
      <c r="B125" s="828" t="s">
        <v>997</v>
      </c>
      <c r="C125" s="872"/>
      <c r="D125" s="872"/>
      <c r="E125" s="248" t="e">
        <f t="shared" si="9"/>
        <v>#DIV/0!</v>
      </c>
      <c r="F125" s="247"/>
      <c r="G125" s="315" t="e">
        <f>SUM(E125:F125)</f>
        <v>#DIV/0!</v>
      </c>
    </row>
    <row r="126" spans="1:7">
      <c r="A126" s="74">
        <f t="shared" si="8"/>
        <v>11</v>
      </c>
      <c r="B126" s="828" t="s">
        <v>569</v>
      </c>
      <c r="C126" s="872"/>
      <c r="D126" s="872"/>
      <c r="E126" s="248" t="e">
        <f t="shared" si="9"/>
        <v>#DIV/0!</v>
      </c>
      <c r="F126" s="247" t="e">
        <f t="shared" si="10"/>
        <v>#DIV/0!</v>
      </c>
      <c r="G126" s="315" t="e">
        <f t="shared" si="11"/>
        <v>#DIV/0!</v>
      </c>
    </row>
    <row r="127" spans="1:7">
      <c r="A127" s="74">
        <f t="shared" si="8"/>
        <v>12</v>
      </c>
      <c r="B127" s="828" t="s">
        <v>570</v>
      </c>
      <c r="C127" s="872"/>
      <c r="D127" s="872"/>
      <c r="E127" s="248" t="e">
        <f t="shared" si="9"/>
        <v>#DIV/0!</v>
      </c>
      <c r="F127" s="247" t="e">
        <f t="shared" si="10"/>
        <v>#DIV/0!</v>
      </c>
      <c r="G127" s="315" t="e">
        <f t="shared" si="11"/>
        <v>#DIV/0!</v>
      </c>
    </row>
    <row r="128" spans="1:7">
      <c r="A128" s="74">
        <f t="shared" si="8"/>
        <v>13</v>
      </c>
      <c r="B128" s="828" t="s">
        <v>1004</v>
      </c>
      <c r="C128" s="872"/>
      <c r="D128" s="872"/>
      <c r="E128" s="248" t="e">
        <f t="shared" si="9"/>
        <v>#DIV/0!</v>
      </c>
      <c r="F128" s="247" t="e">
        <f t="shared" si="10"/>
        <v>#DIV/0!</v>
      </c>
      <c r="G128" s="315" t="e">
        <f t="shared" si="11"/>
        <v>#DIV/0!</v>
      </c>
    </row>
    <row r="129" spans="1:8">
      <c r="A129" s="74">
        <f t="shared" si="8"/>
        <v>14</v>
      </c>
      <c r="B129" s="828" t="s">
        <v>1721</v>
      </c>
      <c r="C129" s="872"/>
      <c r="D129" s="872"/>
      <c r="E129" s="248" t="e">
        <f t="shared" si="9"/>
        <v>#DIV/0!</v>
      </c>
      <c r="F129" s="247" t="e">
        <f t="shared" si="10"/>
        <v>#DIV/0!</v>
      </c>
      <c r="G129" s="315" t="e">
        <f t="shared" si="11"/>
        <v>#DIV/0!</v>
      </c>
    </row>
    <row r="130" spans="1:8">
      <c r="A130" s="74">
        <f t="shared" si="8"/>
        <v>15</v>
      </c>
      <c r="B130" s="828"/>
      <c r="C130" s="247"/>
      <c r="D130" s="247"/>
      <c r="E130" s="248" t="e">
        <f t="shared" si="9"/>
        <v>#DIV/0!</v>
      </c>
      <c r="F130" s="247" t="e">
        <f t="shared" si="10"/>
        <v>#DIV/0!</v>
      </c>
      <c r="G130" s="315" t="e">
        <f t="shared" si="11"/>
        <v>#DIV/0!</v>
      </c>
    </row>
    <row r="131" spans="1:8">
      <c r="A131" s="74">
        <f t="shared" si="8"/>
        <v>16</v>
      </c>
      <c r="B131" s="828"/>
      <c r="C131" s="250"/>
      <c r="D131" s="250"/>
      <c r="E131" s="248" t="e">
        <f t="shared" si="9"/>
        <v>#DIV/0!</v>
      </c>
      <c r="F131" s="250" t="e">
        <f t="shared" si="10"/>
        <v>#DIV/0!</v>
      </c>
      <c r="G131" s="251" t="e">
        <f t="shared" si="11"/>
        <v>#DIV/0!</v>
      </c>
    </row>
    <row r="132" spans="1:8">
      <c r="A132" s="74">
        <f t="shared" si="8"/>
        <v>17</v>
      </c>
      <c r="B132" s="57" t="s">
        <v>1589</v>
      </c>
      <c r="C132" s="975"/>
      <c r="D132" s="975"/>
      <c r="E132" s="976">
        <f>'WP_ADIT Prorate'!Q161</f>
        <v>0</v>
      </c>
      <c r="F132" s="976"/>
      <c r="G132" s="976">
        <f>SUM(E132:F132)</f>
        <v>0</v>
      </c>
      <c r="H132" s="970"/>
    </row>
    <row r="133" spans="1:8">
      <c r="A133" s="74">
        <f t="shared" si="8"/>
        <v>18</v>
      </c>
      <c r="B133" s="120" t="s">
        <v>795</v>
      </c>
      <c r="C133" s="169">
        <f>SUM(C123:C131)</f>
        <v>0</v>
      </c>
      <c r="D133" s="169">
        <f>SUM(D123:D131)</f>
        <v>0</v>
      </c>
      <c r="E133" s="169" t="e">
        <f>SUM(E123:E132)</f>
        <v>#DIV/0!</v>
      </c>
      <c r="F133" s="169" t="e">
        <f>SUM(F123:F131)</f>
        <v>#DIV/0!</v>
      </c>
      <c r="G133" s="169" t="e">
        <f>SUM(G123:G132)</f>
        <v>#DIV/0!</v>
      </c>
    </row>
    <row r="134" spans="1:8">
      <c r="A134" s="74">
        <f t="shared" si="8"/>
        <v>19</v>
      </c>
      <c r="B134" s="120"/>
      <c r="C134" s="169"/>
      <c r="D134" s="169"/>
      <c r="E134" s="169"/>
      <c r="F134" s="169"/>
      <c r="G134" s="169"/>
    </row>
    <row r="135" spans="1:8">
      <c r="A135" s="74">
        <f t="shared" si="8"/>
        <v>20</v>
      </c>
      <c r="B135" s="57" t="s">
        <v>1306</v>
      </c>
      <c r="C135" s="169"/>
      <c r="D135" s="169"/>
      <c r="E135" s="169"/>
      <c r="F135" s="169"/>
      <c r="G135" s="248"/>
    </row>
    <row r="136" spans="1:8">
      <c r="A136" s="74">
        <f t="shared" si="8"/>
        <v>21</v>
      </c>
      <c r="B136" s="828" t="s">
        <v>884</v>
      </c>
      <c r="C136" s="247"/>
      <c r="D136" s="247"/>
      <c r="E136" s="248" t="e">
        <f>AVERAGE(C136:D136)</f>
        <v>#DIV/0!</v>
      </c>
      <c r="F136" s="247">
        <f>'WP_B-Inputs Act.'!Q110*'ATRR Act'!G171</f>
        <v>0</v>
      </c>
      <c r="G136" s="315" t="e">
        <f>SUM(E136:F136)</f>
        <v>#DIV/0!</v>
      </c>
    </row>
    <row r="137" spans="1:8">
      <c r="A137" s="74">
        <f t="shared" si="8"/>
        <v>22</v>
      </c>
      <c r="B137" s="828" t="s">
        <v>954</v>
      </c>
      <c r="C137" s="247"/>
      <c r="D137" s="247"/>
      <c r="E137" s="248" t="e">
        <f>AVERAGE(C137:D137)</f>
        <v>#DIV/0!</v>
      </c>
      <c r="F137" s="247"/>
      <c r="G137" s="315" t="e">
        <f>SUM(E137:F137)</f>
        <v>#DIV/0!</v>
      </c>
    </row>
    <row r="138" spans="1:8">
      <c r="A138" s="74">
        <f t="shared" si="8"/>
        <v>23</v>
      </c>
      <c r="B138" s="828" t="s">
        <v>1722</v>
      </c>
      <c r="C138" s="247"/>
      <c r="D138" s="247"/>
      <c r="E138" s="248" t="e">
        <f>AVERAGE(C138:D138)</f>
        <v>#DIV/0!</v>
      </c>
      <c r="F138" s="247">
        <f>'WP_B-Inputs Act.'!J110</f>
        <v>0</v>
      </c>
      <c r="G138" s="315" t="e">
        <f>SUM(E138:F138)</f>
        <v>#DIV/0!</v>
      </c>
    </row>
    <row r="139" spans="1:8">
      <c r="A139" s="74">
        <f t="shared" si="8"/>
        <v>24</v>
      </c>
      <c r="B139" s="828" t="s">
        <v>982</v>
      </c>
      <c r="C139" s="250"/>
      <c r="D139" s="250"/>
      <c r="E139" s="248" t="e">
        <f>AVERAGE(C139:D139)</f>
        <v>#DIV/0!</v>
      </c>
      <c r="F139" s="250"/>
      <c r="G139" s="251" t="e">
        <f>SUM(E139:F139)</f>
        <v>#DIV/0!</v>
      </c>
    </row>
    <row r="140" spans="1:8">
      <c r="A140" s="74">
        <f t="shared" si="8"/>
        <v>25</v>
      </c>
      <c r="B140" s="57" t="s">
        <v>1589</v>
      </c>
      <c r="C140" s="975"/>
      <c r="D140" s="975"/>
      <c r="E140" s="976">
        <f>'WP_ADIT Prorate'!Q192</f>
        <v>0</v>
      </c>
      <c r="F140" s="976"/>
      <c r="G140" s="976">
        <f>SUM(E140:F140)</f>
        <v>0</v>
      </c>
    </row>
    <row r="141" spans="1:8">
      <c r="A141" s="74">
        <f t="shared" si="8"/>
        <v>26</v>
      </c>
      <c r="B141" s="120" t="s">
        <v>795</v>
      </c>
      <c r="C141" s="169">
        <f>SUM(C136:C139)</f>
        <v>0</v>
      </c>
      <c r="D141" s="169">
        <f>SUM(D136:D139)</f>
        <v>0</v>
      </c>
      <c r="E141" s="169" t="e">
        <f>SUM(E136:E140)</f>
        <v>#DIV/0!</v>
      </c>
      <c r="F141" s="169">
        <f>SUM(F136:F139)</f>
        <v>0</v>
      </c>
      <c r="G141" s="169" t="e">
        <f>SUM(G136:G140)</f>
        <v>#DIV/0!</v>
      </c>
    </row>
    <row r="142" spans="1:8">
      <c r="A142" s="74">
        <f t="shared" si="8"/>
        <v>27</v>
      </c>
      <c r="B142" s="183" t="s">
        <v>1594</v>
      </c>
      <c r="C142" s="315"/>
      <c r="D142" s="315"/>
      <c r="E142" s="315"/>
      <c r="F142" s="315"/>
      <c r="G142" s="831">
        <f>WSA</f>
        <v>0</v>
      </c>
      <c r="H142" s="93"/>
    </row>
    <row r="143" spans="1:8">
      <c r="A143" s="74">
        <f t="shared" si="8"/>
        <v>28</v>
      </c>
      <c r="B143" s="183" t="s">
        <v>1307</v>
      </c>
      <c r="C143" s="315"/>
      <c r="D143" s="315"/>
      <c r="E143" s="315"/>
      <c r="F143" s="315"/>
      <c r="G143" s="315" t="e">
        <f>G141*G142</f>
        <v>#DIV/0!</v>
      </c>
    </row>
    <row r="144" spans="1:8">
      <c r="A144" s="74">
        <f t="shared" si="8"/>
        <v>29</v>
      </c>
      <c r="B144" s="120"/>
      <c r="C144" s="315"/>
      <c r="D144" s="315"/>
      <c r="E144" s="315"/>
      <c r="F144" s="315"/>
      <c r="G144" s="315"/>
    </row>
    <row r="145" spans="1:7">
      <c r="A145" s="74">
        <f t="shared" si="8"/>
        <v>30</v>
      </c>
      <c r="B145" s="828" t="s">
        <v>1005</v>
      </c>
      <c r="C145" s="250"/>
      <c r="D145" s="250"/>
      <c r="E145" s="248" t="e">
        <f>AVERAGE(C145:D145)</f>
        <v>#DIV/0!</v>
      </c>
      <c r="F145" s="250" t="e">
        <f>-E145</f>
        <v>#DIV/0!</v>
      </c>
      <c r="G145" s="251" t="e">
        <f>SUM(E145:F145)</f>
        <v>#DIV/0!</v>
      </c>
    </row>
    <row r="146" spans="1:7">
      <c r="A146" s="74">
        <f t="shared" si="8"/>
        <v>31</v>
      </c>
      <c r="B146" s="120" t="s">
        <v>1006</v>
      </c>
      <c r="C146" s="315">
        <f>SUM(C145)</f>
        <v>0</v>
      </c>
      <c r="D146" s="315">
        <f>SUM(D145)</f>
        <v>0</v>
      </c>
      <c r="E146" s="315" t="e">
        <f>SUM(E145)</f>
        <v>#DIV/0!</v>
      </c>
      <c r="F146" s="315" t="e">
        <f>SUM(F145)</f>
        <v>#DIV/0!</v>
      </c>
      <c r="G146" s="315" t="e">
        <f>SUM(G145)</f>
        <v>#DIV/0!</v>
      </c>
    </row>
    <row r="147" spans="1:7" ht="13.5" thickBot="1">
      <c r="A147" s="74">
        <f t="shared" si="8"/>
        <v>32</v>
      </c>
      <c r="C147" s="315"/>
      <c r="D147" s="315"/>
      <c r="E147" s="315"/>
      <c r="F147" s="315"/>
      <c r="G147" s="315"/>
    </row>
    <row r="148" spans="1:7" ht="13.5" thickBot="1">
      <c r="A148" s="74">
        <f t="shared" si="8"/>
        <v>33</v>
      </c>
      <c r="B148" s="827" t="s">
        <v>1310</v>
      </c>
      <c r="C148" s="251">
        <f>C146+C141+C133</f>
        <v>0</v>
      </c>
      <c r="D148" s="251">
        <f>D146+D141+D133</f>
        <v>0</v>
      </c>
      <c r="E148" s="614" t="e">
        <f>E146+E141+E133</f>
        <v>#DIV/0!</v>
      </c>
      <c r="F148" s="251" t="e">
        <f>F146+F141+F133</f>
        <v>#DIV/0!</v>
      </c>
      <c r="G148" s="614" t="e">
        <f>G146+G143+G133</f>
        <v>#DIV/0!</v>
      </c>
    </row>
    <row r="149" spans="1:7">
      <c r="A149" s="74">
        <f t="shared" si="8"/>
        <v>34</v>
      </c>
      <c r="B149" s="313"/>
      <c r="C149" s="315"/>
      <c r="D149" s="315"/>
      <c r="E149" s="315"/>
      <c r="F149" s="315"/>
      <c r="G149" s="315"/>
    </row>
    <row r="150" spans="1:7">
      <c r="A150" s="74">
        <f t="shared" si="8"/>
        <v>35</v>
      </c>
      <c r="B150" s="825" t="s">
        <v>1322</v>
      </c>
      <c r="C150" s="315"/>
      <c r="D150" s="315"/>
      <c r="E150" s="315"/>
      <c r="F150" s="315"/>
      <c r="G150" s="315"/>
    </row>
    <row r="151" spans="1:7">
      <c r="A151" s="74">
        <f t="shared" si="8"/>
        <v>36</v>
      </c>
      <c r="B151" s="57" t="s">
        <v>995</v>
      </c>
      <c r="C151" s="315"/>
      <c r="D151" s="315"/>
      <c r="E151" s="315"/>
      <c r="F151" s="315"/>
      <c r="G151" s="315"/>
    </row>
    <row r="152" spans="1:7">
      <c r="A152" s="74">
        <f t="shared" si="8"/>
        <v>37</v>
      </c>
      <c r="B152" s="826" t="s">
        <v>1007</v>
      </c>
      <c r="C152" s="247"/>
      <c r="D152" s="247"/>
      <c r="E152" s="248" t="e">
        <f>AVERAGE(C152:D152)</f>
        <v>#DIV/0!</v>
      </c>
      <c r="F152" s="247" t="e">
        <f>-E152</f>
        <v>#DIV/0!</v>
      </c>
      <c r="G152" s="248" t="e">
        <f>SUM(E152:F152)</f>
        <v>#DIV/0!</v>
      </c>
    </row>
    <row r="153" spans="1:7">
      <c r="A153" s="74">
        <f t="shared" si="8"/>
        <v>38</v>
      </c>
      <c r="B153" s="826" t="s">
        <v>1193</v>
      </c>
      <c r="C153" s="769"/>
      <c r="D153" s="769"/>
      <c r="E153" s="248" t="e">
        <f>AVERAGE(C153:D153)</f>
        <v>#DIV/0!</v>
      </c>
      <c r="F153" s="769" t="e">
        <f>-E153</f>
        <v>#DIV/0!</v>
      </c>
      <c r="G153" s="248" t="e">
        <f>SUM(E153:F153)</f>
        <v>#DIV/0!</v>
      </c>
    </row>
    <row r="154" spans="1:7">
      <c r="A154" s="74">
        <f t="shared" si="8"/>
        <v>39</v>
      </c>
      <c r="B154" s="826" t="s">
        <v>1008</v>
      </c>
      <c r="C154" s="250"/>
      <c r="D154" s="250"/>
      <c r="E154" s="842" t="e">
        <f>AVERAGE(C154:D154)</f>
        <v>#DIV/0!</v>
      </c>
      <c r="F154" s="250" t="e">
        <f>-E154</f>
        <v>#DIV/0!</v>
      </c>
      <c r="G154" s="251" t="e">
        <f>SUM(E154:F154)</f>
        <v>#DIV/0!</v>
      </c>
    </row>
    <row r="155" spans="1:7">
      <c r="A155" s="74">
        <f t="shared" si="8"/>
        <v>40</v>
      </c>
      <c r="B155" s="57" t="s">
        <v>1589</v>
      </c>
      <c r="C155" s="975"/>
      <c r="D155" s="975"/>
      <c r="E155" s="976">
        <f>'WP_ADIT Prorate'!Q223</f>
        <v>0</v>
      </c>
      <c r="F155" s="976"/>
      <c r="G155" s="976">
        <f>SUM(E155:F155)</f>
        <v>0</v>
      </c>
    </row>
    <row r="156" spans="1:7">
      <c r="A156" s="74">
        <f t="shared" si="8"/>
        <v>41</v>
      </c>
      <c r="B156" s="120" t="s">
        <v>795</v>
      </c>
      <c r="C156" s="315">
        <f>SUM(C152:C154)</f>
        <v>0</v>
      </c>
      <c r="D156" s="315">
        <f>SUM(D152:D154)</f>
        <v>0</v>
      </c>
      <c r="E156" s="315" t="e">
        <f>SUM(E152:E155)</f>
        <v>#DIV/0!</v>
      </c>
      <c r="F156" s="315" t="e">
        <f>SUM(F152:F154)</f>
        <v>#DIV/0!</v>
      </c>
      <c r="G156" s="315" t="e">
        <f>SUM(G152:G155)</f>
        <v>#DIV/0!</v>
      </c>
    </row>
    <row r="157" spans="1:7">
      <c r="A157" s="74">
        <f t="shared" si="8"/>
        <v>42</v>
      </c>
      <c r="B157" s="120"/>
      <c r="C157" s="315"/>
      <c r="D157" s="315"/>
      <c r="E157" s="315"/>
      <c r="F157" s="315"/>
      <c r="G157" s="315"/>
    </row>
    <row r="158" spans="1:7">
      <c r="A158" s="74">
        <f t="shared" si="8"/>
        <v>43</v>
      </c>
      <c r="B158" s="57" t="s">
        <v>1306</v>
      </c>
      <c r="C158" s="315"/>
      <c r="D158" s="315"/>
      <c r="E158" s="315"/>
      <c r="F158" s="315"/>
      <c r="G158" s="315"/>
    </row>
    <row r="159" spans="1:7">
      <c r="A159" s="74">
        <f t="shared" si="8"/>
        <v>44</v>
      </c>
      <c r="B159" s="828" t="s">
        <v>955</v>
      </c>
      <c r="C159" s="247"/>
      <c r="D159" s="247"/>
      <c r="E159" s="248" t="e">
        <f>AVERAGE(C159:D159)</f>
        <v>#DIV/0!</v>
      </c>
      <c r="F159" s="247"/>
      <c r="G159" s="315" t="e">
        <f>SUM(E159:F159)</f>
        <v>#DIV/0!</v>
      </c>
    </row>
    <row r="160" spans="1:7">
      <c r="A160" s="74">
        <f t="shared" si="8"/>
        <v>45</v>
      </c>
      <c r="B160" s="828" t="s">
        <v>1723</v>
      </c>
      <c r="C160" s="247"/>
      <c r="D160" s="247"/>
      <c r="E160" s="248" t="e">
        <f>AVERAGE(C160:D160)</f>
        <v>#DIV/0!</v>
      </c>
      <c r="F160" s="247">
        <f>'WP_B-Inputs Act.'!P110*'ATRR Act'!G171</f>
        <v>0</v>
      </c>
      <c r="G160" s="315" t="e">
        <f>SUM(E160:F160)</f>
        <v>#DIV/0!</v>
      </c>
    </row>
    <row r="161" spans="1:8">
      <c r="A161" s="74">
        <f t="shared" si="8"/>
        <v>46</v>
      </c>
      <c r="B161" s="828" t="s">
        <v>1009</v>
      </c>
      <c r="C161" s="247"/>
      <c r="D161" s="247"/>
      <c r="E161" s="248" t="e">
        <f>AVERAGE(C161:D161)</f>
        <v>#DIV/0!</v>
      </c>
      <c r="F161" s="247"/>
      <c r="G161" s="315" t="e">
        <f>SUM(E161:F161)</f>
        <v>#DIV/0!</v>
      </c>
    </row>
    <row r="162" spans="1:8">
      <c r="A162" s="74">
        <f t="shared" si="8"/>
        <v>47</v>
      </c>
      <c r="B162" s="828" t="s">
        <v>1724</v>
      </c>
      <c r="C162" s="250"/>
      <c r="D162" s="250"/>
      <c r="E162" s="248" t="e">
        <f>AVERAGE(C162:D162)</f>
        <v>#DIV/0!</v>
      </c>
      <c r="F162" s="250">
        <f>'WP_B-Inputs Act.'!F110</f>
        <v>0</v>
      </c>
      <c r="G162" s="251" t="e">
        <f>SUM(E162:F162)</f>
        <v>#DIV/0!</v>
      </c>
    </row>
    <row r="163" spans="1:8">
      <c r="A163" s="74">
        <f t="shared" si="8"/>
        <v>48</v>
      </c>
      <c r="B163" s="57" t="s">
        <v>1589</v>
      </c>
      <c r="C163" s="975"/>
      <c r="D163" s="975"/>
      <c r="E163" s="976">
        <f>'WP_ADIT Prorate'!Q254</f>
        <v>0</v>
      </c>
      <c r="F163" s="976"/>
      <c r="G163" s="976">
        <f>SUM(E163:F163)</f>
        <v>0</v>
      </c>
    </row>
    <row r="164" spans="1:8">
      <c r="A164" s="74">
        <f t="shared" si="8"/>
        <v>49</v>
      </c>
      <c r="B164" s="120" t="s">
        <v>795</v>
      </c>
      <c r="C164" s="315">
        <f>SUM(C159:C162)</f>
        <v>0</v>
      </c>
      <c r="D164" s="315">
        <f>SUM(D159:D162)</f>
        <v>0</v>
      </c>
      <c r="E164" s="315" t="e">
        <f>SUM(E159:E163)</f>
        <v>#DIV/0!</v>
      </c>
      <c r="F164" s="315">
        <f>SUM(F159:F162)</f>
        <v>0</v>
      </c>
      <c r="G164" s="315" t="e">
        <f>SUM(G159:G163)</f>
        <v>#DIV/0!</v>
      </c>
    </row>
    <row r="165" spans="1:8">
      <c r="A165" s="74">
        <f t="shared" si="8"/>
        <v>50</v>
      </c>
      <c r="B165" s="183" t="s">
        <v>1594</v>
      </c>
      <c r="C165" s="315"/>
      <c r="D165" s="315"/>
      <c r="E165" s="315"/>
      <c r="F165" s="315"/>
      <c r="G165" s="834">
        <f>WSA</f>
        <v>0</v>
      </c>
      <c r="H165" s="93"/>
    </row>
    <row r="166" spans="1:8">
      <c r="A166" s="74">
        <f t="shared" si="8"/>
        <v>51</v>
      </c>
      <c r="B166" s="183" t="s">
        <v>1307</v>
      </c>
      <c r="C166" s="315"/>
      <c r="D166" s="315"/>
      <c r="E166" s="315"/>
      <c r="F166" s="315"/>
      <c r="G166" s="315" t="e">
        <f>G164*G165</f>
        <v>#DIV/0!</v>
      </c>
    </row>
    <row r="167" spans="1:8">
      <c r="A167" s="74">
        <f t="shared" si="8"/>
        <v>52</v>
      </c>
      <c r="C167" s="315"/>
      <c r="D167" s="315"/>
      <c r="E167" s="315"/>
      <c r="F167" s="315"/>
      <c r="G167" s="315"/>
    </row>
    <row r="168" spans="1:8">
      <c r="A168" s="74">
        <f t="shared" si="8"/>
        <v>53</v>
      </c>
      <c r="B168" s="72" t="s">
        <v>1010</v>
      </c>
      <c r="C168" s="315"/>
      <c r="D168" s="315"/>
      <c r="E168" s="315"/>
      <c r="F168" s="315"/>
      <c r="G168" s="315"/>
    </row>
    <row r="169" spans="1:8">
      <c r="A169" s="74">
        <f t="shared" si="8"/>
        <v>54</v>
      </c>
      <c r="B169" s="828" t="s">
        <v>1011</v>
      </c>
      <c r="C169" s="247"/>
      <c r="D169" s="247"/>
      <c r="E169" s="248" t="e">
        <f>AVERAGE(C169:D169)</f>
        <v>#DIV/0!</v>
      </c>
      <c r="F169" s="247"/>
      <c r="G169" s="315" t="e">
        <f>SUM(E169:F169)</f>
        <v>#DIV/0!</v>
      </c>
    </row>
    <row r="170" spans="1:8">
      <c r="A170" s="74">
        <f t="shared" si="8"/>
        <v>55</v>
      </c>
      <c r="B170" s="828" t="s">
        <v>1194</v>
      </c>
      <c r="C170" s="769"/>
      <c r="D170" s="769"/>
      <c r="E170" s="248" t="e">
        <f>AVERAGE(C170:D170)</f>
        <v>#DIV/0!</v>
      </c>
      <c r="F170" s="769"/>
      <c r="G170" s="315" t="e">
        <f>SUM(E170:F170)</f>
        <v>#DIV/0!</v>
      </c>
    </row>
    <row r="171" spans="1:8">
      <c r="A171" s="74">
        <f t="shared" si="8"/>
        <v>56</v>
      </c>
      <c r="B171" s="828" t="s">
        <v>1712</v>
      </c>
      <c r="C171" s="250"/>
      <c r="D171" s="250"/>
      <c r="E171" s="248" t="e">
        <f>AVERAGE(C171:D171)</f>
        <v>#DIV/0!</v>
      </c>
      <c r="F171" s="250" t="e">
        <f>-E171</f>
        <v>#DIV/0!</v>
      </c>
      <c r="G171" s="251" t="e">
        <f>SUM(E171:F171)</f>
        <v>#DIV/0!</v>
      </c>
    </row>
    <row r="172" spans="1:8">
      <c r="A172" s="74">
        <f t="shared" si="8"/>
        <v>57</v>
      </c>
      <c r="B172" s="120" t="s">
        <v>1012</v>
      </c>
      <c r="C172" s="315">
        <f>SUM(C169:C171)</f>
        <v>0</v>
      </c>
      <c r="D172" s="315">
        <f>SUM(D169:D171)</f>
        <v>0</v>
      </c>
      <c r="E172" s="315" t="e">
        <f>SUM(E169:E171)</f>
        <v>#DIV/0!</v>
      </c>
      <c r="F172" s="315" t="e">
        <f>SUM(F169:F171)</f>
        <v>#DIV/0!</v>
      </c>
      <c r="G172" s="315" t="e">
        <f>SUM(G169:G171)</f>
        <v>#DIV/0!</v>
      </c>
    </row>
    <row r="173" spans="1:8">
      <c r="A173" s="74">
        <f t="shared" si="8"/>
        <v>58</v>
      </c>
      <c r="B173" s="183" t="s">
        <v>1594</v>
      </c>
      <c r="C173" s="315"/>
      <c r="D173" s="315"/>
      <c r="E173" s="315"/>
      <c r="F173" s="315"/>
      <c r="G173" s="834">
        <f>G142</f>
        <v>0</v>
      </c>
    </row>
    <row r="174" spans="1:8">
      <c r="A174" s="74">
        <f t="shared" si="8"/>
        <v>59</v>
      </c>
      <c r="B174" s="183" t="s">
        <v>1307</v>
      </c>
      <c r="C174" s="315"/>
      <c r="D174" s="315"/>
      <c r="E174" s="315"/>
      <c r="F174" s="315"/>
      <c r="G174" s="315" t="e">
        <f>G172*G173</f>
        <v>#DIV/0!</v>
      </c>
    </row>
    <row r="175" spans="1:8">
      <c r="A175" s="74">
        <f t="shared" si="8"/>
        <v>60</v>
      </c>
      <c r="B175" s="120"/>
      <c r="C175" s="315"/>
      <c r="D175" s="315"/>
      <c r="E175" s="315"/>
      <c r="F175" s="315"/>
      <c r="G175" s="315"/>
    </row>
    <row r="176" spans="1:8">
      <c r="A176" s="74">
        <f t="shared" si="8"/>
        <v>61</v>
      </c>
      <c r="B176" s="72" t="s">
        <v>1013</v>
      </c>
      <c r="C176" s="315"/>
      <c r="D176" s="315"/>
      <c r="E176" s="248"/>
      <c r="F176" s="315"/>
      <c r="G176" s="315"/>
    </row>
    <row r="177" spans="1:8">
      <c r="A177" s="74">
        <f t="shared" si="8"/>
        <v>62</v>
      </c>
      <c r="B177" s="828" t="s">
        <v>1061</v>
      </c>
      <c r="C177" s="247"/>
      <c r="D177" s="247"/>
      <c r="E177" s="248" t="e">
        <f>AVERAGE(C177:D177)</f>
        <v>#DIV/0!</v>
      </c>
      <c r="F177" s="247"/>
      <c r="G177" s="315" t="e">
        <f>SUM(E177:F177)</f>
        <v>#DIV/0!</v>
      </c>
    </row>
    <row r="178" spans="1:8">
      <c r="A178" s="74">
        <f t="shared" si="8"/>
        <v>63</v>
      </c>
      <c r="B178" s="828" t="s">
        <v>1195</v>
      </c>
      <c r="C178" s="769"/>
      <c r="D178" s="769"/>
      <c r="E178" s="248" t="e">
        <f>AVERAGE(C178:D178)</f>
        <v>#DIV/0!</v>
      </c>
      <c r="F178" s="247"/>
      <c r="G178" s="315" t="e">
        <f>SUM(E178:F178)</f>
        <v>#DIV/0!</v>
      </c>
    </row>
    <row r="179" spans="1:8">
      <c r="A179" s="74">
        <f t="shared" si="8"/>
        <v>64</v>
      </c>
      <c r="B179" s="828" t="s">
        <v>1062</v>
      </c>
      <c r="C179" s="769"/>
      <c r="D179" s="769"/>
      <c r="E179" s="248" t="e">
        <f>AVERAGE(C179:D179)</f>
        <v>#DIV/0!</v>
      </c>
      <c r="F179" s="247"/>
      <c r="G179" s="315" t="e">
        <f>SUM(E179:F179)</f>
        <v>#DIV/0!</v>
      </c>
    </row>
    <row r="180" spans="1:8">
      <c r="A180" s="74">
        <f t="shared" si="8"/>
        <v>65</v>
      </c>
      <c r="B180" s="828"/>
      <c r="C180" s="250"/>
      <c r="D180" s="250"/>
      <c r="E180" s="248" t="e">
        <f>AVERAGE(C180:D180)</f>
        <v>#DIV/0!</v>
      </c>
      <c r="F180" s="250"/>
      <c r="G180" s="251" t="e">
        <f>SUM(E180:F180)</f>
        <v>#DIV/0!</v>
      </c>
    </row>
    <row r="181" spans="1:8">
      <c r="A181" s="74">
        <f t="shared" si="8"/>
        <v>66</v>
      </c>
      <c r="B181" s="57" t="s">
        <v>1589</v>
      </c>
      <c r="C181" s="975"/>
      <c r="D181" s="975"/>
      <c r="E181" s="976">
        <f>'WP_ADIT Prorate'!Q285</f>
        <v>0</v>
      </c>
      <c r="F181" s="976"/>
      <c r="G181" s="976">
        <f>SUM(E181:F181)</f>
        <v>0</v>
      </c>
    </row>
    <row r="182" spans="1:8">
      <c r="A182" s="74">
        <f t="shared" si="8"/>
        <v>67</v>
      </c>
      <c r="B182" s="120" t="s">
        <v>1737</v>
      </c>
      <c r="C182" s="315">
        <f>SUM(C177:C180)</f>
        <v>0</v>
      </c>
      <c r="D182" s="315">
        <f>SUM(D177:D180)</f>
        <v>0</v>
      </c>
      <c r="E182" s="315" t="e">
        <f>SUM(E177:E181)</f>
        <v>#DIV/0!</v>
      </c>
      <c r="F182" s="315">
        <f>SUM(F177:F180)</f>
        <v>0</v>
      </c>
      <c r="G182" s="315" t="e">
        <f>SUM(G177:G181)</f>
        <v>#DIV/0!</v>
      </c>
    </row>
    <row r="183" spans="1:8">
      <c r="A183" s="74">
        <f t="shared" si="8"/>
        <v>68</v>
      </c>
      <c r="B183" s="835" t="s">
        <v>1595</v>
      </c>
      <c r="C183" s="315"/>
      <c r="D183" s="315"/>
      <c r="E183" s="315"/>
      <c r="F183" s="315"/>
      <c r="G183" s="834">
        <f>NPA</f>
        <v>0</v>
      </c>
      <c r="H183" s="93"/>
    </row>
    <row r="184" spans="1:8">
      <c r="A184" s="74">
        <f t="shared" si="8"/>
        <v>69</v>
      </c>
      <c r="B184" s="835" t="s">
        <v>1063</v>
      </c>
      <c r="C184" s="315"/>
      <c r="D184" s="315"/>
      <c r="E184" s="315"/>
      <c r="F184" s="315"/>
      <c r="G184" s="315" t="e">
        <f>G182*G183</f>
        <v>#DIV/0!</v>
      </c>
    </row>
    <row r="185" spans="1:8">
      <c r="A185" s="74">
        <f t="shared" si="8"/>
        <v>70</v>
      </c>
      <c r="C185" s="315"/>
      <c r="D185" s="315"/>
      <c r="E185" s="315"/>
      <c r="F185" s="315"/>
      <c r="G185" s="315"/>
    </row>
    <row r="186" spans="1:8">
      <c r="A186" s="74">
        <f t="shared" si="8"/>
        <v>71</v>
      </c>
      <c r="B186" s="72" t="s">
        <v>1064</v>
      </c>
      <c r="C186" s="315"/>
      <c r="D186" s="315"/>
      <c r="E186" s="315"/>
      <c r="F186" s="315"/>
      <c r="G186" s="315"/>
    </row>
    <row r="187" spans="1:8">
      <c r="A187" s="74">
        <f t="shared" si="8"/>
        <v>72</v>
      </c>
      <c r="B187" s="828" t="s">
        <v>1065</v>
      </c>
      <c r="C187" s="247"/>
      <c r="D187" s="247"/>
      <c r="E187" s="248" t="e">
        <f t="shared" ref="E187:E193" si="12">AVERAGE(C187:D187)</f>
        <v>#DIV/0!</v>
      </c>
      <c r="F187" s="247" t="e">
        <f t="shared" ref="F187:F193" si="13">-E187</f>
        <v>#DIV/0!</v>
      </c>
      <c r="G187" s="315" t="e">
        <f t="shared" ref="G187:G193" si="14">SUM(E187:F187)</f>
        <v>#DIV/0!</v>
      </c>
    </row>
    <row r="188" spans="1:8">
      <c r="A188" s="74">
        <f t="shared" ref="A188:A193" si="15">A187+1</f>
        <v>73</v>
      </c>
      <c r="B188" s="828" t="s">
        <v>1197</v>
      </c>
      <c r="C188" s="247"/>
      <c r="D188" s="247"/>
      <c r="E188" s="248" t="e">
        <f t="shared" si="12"/>
        <v>#DIV/0!</v>
      </c>
      <c r="F188" s="247" t="e">
        <f t="shared" si="13"/>
        <v>#DIV/0!</v>
      </c>
      <c r="G188" s="315" t="e">
        <f t="shared" si="14"/>
        <v>#DIV/0!</v>
      </c>
    </row>
    <row r="189" spans="1:8">
      <c r="A189" s="74">
        <f t="shared" si="15"/>
        <v>74</v>
      </c>
      <c r="B189" s="828" t="s">
        <v>1198</v>
      </c>
      <c r="C189" s="247"/>
      <c r="D189" s="247"/>
      <c r="E189" s="248" t="e">
        <f t="shared" si="12"/>
        <v>#DIV/0!</v>
      </c>
      <c r="F189" s="247" t="e">
        <f t="shared" si="13"/>
        <v>#DIV/0!</v>
      </c>
      <c r="G189" s="315" t="e">
        <f t="shared" si="14"/>
        <v>#DIV/0!</v>
      </c>
    </row>
    <row r="190" spans="1:8">
      <c r="A190" s="74">
        <f t="shared" si="15"/>
        <v>75</v>
      </c>
      <c r="B190" s="828" t="s">
        <v>1199</v>
      </c>
      <c r="C190" s="247"/>
      <c r="D190" s="247"/>
      <c r="E190" s="248" t="e">
        <f t="shared" si="12"/>
        <v>#DIV/0!</v>
      </c>
      <c r="F190" s="247" t="e">
        <f t="shared" si="13"/>
        <v>#DIV/0!</v>
      </c>
      <c r="G190" s="315" t="e">
        <f t="shared" si="14"/>
        <v>#DIV/0!</v>
      </c>
    </row>
    <row r="191" spans="1:8">
      <c r="A191" s="74">
        <f t="shared" si="15"/>
        <v>76</v>
      </c>
      <c r="B191" s="828" t="s">
        <v>1066</v>
      </c>
      <c r="C191" s="247"/>
      <c r="D191" s="247"/>
      <c r="E191" s="248" t="e">
        <f t="shared" si="12"/>
        <v>#DIV/0!</v>
      </c>
      <c r="F191" s="247" t="e">
        <f t="shared" si="13"/>
        <v>#DIV/0!</v>
      </c>
      <c r="G191" s="315" t="e">
        <f t="shared" si="14"/>
        <v>#DIV/0!</v>
      </c>
    </row>
    <row r="192" spans="1:8">
      <c r="A192" s="74">
        <f t="shared" si="15"/>
        <v>77</v>
      </c>
      <c r="B192" s="828" t="s">
        <v>1196</v>
      </c>
      <c r="C192" s="247"/>
      <c r="D192" s="247"/>
      <c r="E192" s="248" t="e">
        <f t="shared" si="12"/>
        <v>#DIV/0!</v>
      </c>
      <c r="F192" s="247" t="e">
        <f t="shared" si="13"/>
        <v>#DIV/0!</v>
      </c>
      <c r="G192" s="315" t="e">
        <f t="shared" si="14"/>
        <v>#DIV/0!</v>
      </c>
    </row>
    <row r="193" spans="1:7">
      <c r="A193" s="74">
        <f t="shared" si="15"/>
        <v>78</v>
      </c>
      <c r="B193" s="828" t="s">
        <v>1200</v>
      </c>
      <c r="C193" s="250"/>
      <c r="D193" s="250"/>
      <c r="E193" s="248" t="e">
        <f t="shared" si="12"/>
        <v>#DIV/0!</v>
      </c>
      <c r="F193" s="250" t="e">
        <f t="shared" si="13"/>
        <v>#DIV/0!</v>
      </c>
      <c r="G193" s="251" t="e">
        <f t="shared" si="14"/>
        <v>#DIV/0!</v>
      </c>
    </row>
    <row r="194" spans="1:7">
      <c r="A194" s="74">
        <f>A193+1</f>
        <v>79</v>
      </c>
      <c r="B194" s="72" t="s">
        <v>1067</v>
      </c>
      <c r="C194" s="315">
        <f>SUM(C187:C193)</f>
        <v>0</v>
      </c>
      <c r="D194" s="315">
        <f>SUM(D187:D193)</f>
        <v>0</v>
      </c>
      <c r="E194" s="315" t="e">
        <f>SUM(E187:E193)</f>
        <v>#DIV/0!</v>
      </c>
      <c r="F194" s="315" t="e">
        <f>SUM(F187:F193)</f>
        <v>#DIV/0!</v>
      </c>
      <c r="G194" s="315" t="e">
        <f>SUM(G187:G193)</f>
        <v>#DIV/0!</v>
      </c>
    </row>
    <row r="195" spans="1:7">
      <c r="A195" s="74">
        <f t="shared" ref="A195:A204" si="16">A194+1</f>
        <v>80</v>
      </c>
      <c r="C195" s="315"/>
      <c r="D195" s="315"/>
      <c r="E195" s="315"/>
      <c r="F195" s="315"/>
      <c r="G195" s="315"/>
    </row>
    <row r="196" spans="1:7">
      <c r="A196" s="74">
        <f t="shared" si="16"/>
        <v>81</v>
      </c>
      <c r="B196" s="72" t="s">
        <v>110</v>
      </c>
      <c r="C196" s="315"/>
      <c r="D196" s="315"/>
      <c r="E196" s="315"/>
      <c r="F196" s="315"/>
      <c r="G196" s="315"/>
    </row>
    <row r="197" spans="1:7">
      <c r="A197" s="74">
        <f t="shared" si="16"/>
        <v>82</v>
      </c>
      <c r="B197" s="828" t="s">
        <v>1069</v>
      </c>
      <c r="C197" s="247"/>
      <c r="D197" s="247"/>
      <c r="E197" s="248" t="e">
        <f t="shared" ref="E197:E201" si="17">AVERAGE(C197:D197)</f>
        <v>#DIV/0!</v>
      </c>
      <c r="F197" s="247" t="e">
        <f t="shared" ref="F197:F201" si="18">-E197</f>
        <v>#DIV/0!</v>
      </c>
      <c r="G197" s="315" t="e">
        <f t="shared" ref="G197:G201" si="19">SUM(E197:F197)</f>
        <v>#DIV/0!</v>
      </c>
    </row>
    <row r="198" spans="1:7">
      <c r="A198" s="74">
        <f t="shared" si="16"/>
        <v>83</v>
      </c>
      <c r="B198" s="828"/>
      <c r="C198" s="247"/>
      <c r="D198" s="247"/>
      <c r="E198" s="248" t="e">
        <f t="shared" si="17"/>
        <v>#DIV/0!</v>
      </c>
      <c r="F198" s="247" t="e">
        <f t="shared" si="18"/>
        <v>#DIV/0!</v>
      </c>
      <c r="G198" s="315" t="e">
        <f t="shared" si="19"/>
        <v>#DIV/0!</v>
      </c>
    </row>
    <row r="199" spans="1:7">
      <c r="A199" s="74">
        <f t="shared" si="16"/>
        <v>84</v>
      </c>
      <c r="B199" s="828"/>
      <c r="C199" s="247"/>
      <c r="D199" s="247"/>
      <c r="E199" s="248" t="e">
        <f t="shared" si="17"/>
        <v>#DIV/0!</v>
      </c>
      <c r="F199" s="247" t="e">
        <f t="shared" si="18"/>
        <v>#DIV/0!</v>
      </c>
      <c r="G199" s="315" t="e">
        <f t="shared" si="19"/>
        <v>#DIV/0!</v>
      </c>
    </row>
    <row r="200" spans="1:7">
      <c r="A200" s="74">
        <f t="shared" si="16"/>
        <v>85</v>
      </c>
      <c r="B200" s="828"/>
      <c r="C200" s="247"/>
      <c r="D200" s="247"/>
      <c r="E200" s="248" t="e">
        <f t="shared" si="17"/>
        <v>#DIV/0!</v>
      </c>
      <c r="F200" s="247" t="e">
        <f t="shared" si="18"/>
        <v>#DIV/0!</v>
      </c>
      <c r="G200" s="315" t="e">
        <f t="shared" si="19"/>
        <v>#DIV/0!</v>
      </c>
    </row>
    <row r="201" spans="1:7">
      <c r="A201" s="74">
        <f t="shared" si="16"/>
        <v>86</v>
      </c>
      <c r="B201" s="828"/>
      <c r="C201" s="250"/>
      <c r="D201" s="250"/>
      <c r="E201" s="248" t="e">
        <f t="shared" si="17"/>
        <v>#DIV/0!</v>
      </c>
      <c r="F201" s="250" t="e">
        <f t="shared" si="18"/>
        <v>#DIV/0!</v>
      </c>
      <c r="G201" s="251" t="e">
        <f t="shared" si="19"/>
        <v>#DIV/0!</v>
      </c>
    </row>
    <row r="202" spans="1:7">
      <c r="A202" s="74">
        <f t="shared" si="16"/>
        <v>87</v>
      </c>
      <c r="B202" s="72" t="s">
        <v>1070</v>
      </c>
      <c r="C202" s="315">
        <f>SUM(C197:C201)</f>
        <v>0</v>
      </c>
      <c r="D202" s="315">
        <f>SUM(D197:D201)</f>
        <v>0</v>
      </c>
      <c r="E202" s="315" t="e">
        <f>SUM(E197:E201)</f>
        <v>#DIV/0!</v>
      </c>
      <c r="F202" s="315" t="e">
        <f>SUM(F197:F201)</f>
        <v>#DIV/0!</v>
      </c>
      <c r="G202" s="315" t="e">
        <f>SUM(G197:G201)</f>
        <v>#DIV/0!</v>
      </c>
    </row>
    <row r="203" spans="1:7" ht="13.5" thickBot="1">
      <c r="A203" s="74">
        <f t="shared" si="16"/>
        <v>88</v>
      </c>
      <c r="C203" s="248"/>
      <c r="D203" s="248"/>
      <c r="E203" s="248"/>
      <c r="F203" s="248"/>
      <c r="G203" s="248"/>
    </row>
    <row r="204" spans="1:7" ht="13.5" thickBot="1">
      <c r="A204" s="74">
        <f t="shared" si="16"/>
        <v>89</v>
      </c>
      <c r="B204" s="313" t="s">
        <v>1311</v>
      </c>
      <c r="C204" s="837">
        <f>C202+C194+C182+C172+C164+C156</f>
        <v>0</v>
      </c>
      <c r="D204" s="837">
        <f>D202+D194+D182+D172+D164+D156</f>
        <v>0</v>
      </c>
      <c r="E204" s="838" t="e">
        <f>E202+E194+E182+E172+E164+E156</f>
        <v>#DIV/0!</v>
      </c>
      <c r="F204" s="837" t="e">
        <f>F202+F194+F182+F172+F164+F156</f>
        <v>#DIV/0!</v>
      </c>
      <c r="G204" s="838" t="e">
        <f>G202+G194+G184+G174+G166+G156</f>
        <v>#DIV/0!</v>
      </c>
    </row>
    <row r="205" spans="1:7">
      <c r="C205" s="315"/>
      <c r="D205" s="315"/>
      <c r="E205" s="315"/>
      <c r="F205" s="315"/>
      <c r="G205" s="315"/>
    </row>
    <row r="207" spans="1:7" ht="26.25" customHeight="1">
      <c r="A207" s="839" t="s">
        <v>876</v>
      </c>
      <c r="B207" s="1219" t="s">
        <v>209</v>
      </c>
      <c r="C207" s="1219"/>
      <c r="D207" s="1219"/>
      <c r="E207" s="1219"/>
      <c r="F207" s="1219"/>
      <c r="G207" s="1219"/>
    </row>
    <row r="208" spans="1:7">
      <c r="A208" s="74" t="s">
        <v>876</v>
      </c>
      <c r="B208" s="72" t="s">
        <v>391</v>
      </c>
    </row>
    <row r="209" spans="1:7">
      <c r="A209" s="74" t="s">
        <v>876</v>
      </c>
      <c r="B209" s="72" t="s">
        <v>1343</v>
      </c>
    </row>
    <row r="210" spans="1:7">
      <c r="A210" s="420" t="s">
        <v>876</v>
      </c>
      <c r="B210" s="314" t="s">
        <v>1320</v>
      </c>
      <c r="C210" s="314"/>
      <c r="D210" s="314"/>
      <c r="E210" s="314"/>
      <c r="F210" s="314"/>
      <c r="G210" s="314"/>
    </row>
    <row r="211" spans="1:7">
      <c r="A211" s="74" t="s">
        <v>876</v>
      </c>
      <c r="B211" s="72" t="s">
        <v>1656</v>
      </c>
    </row>
  </sheetData>
  <mergeCells count="4">
    <mergeCell ref="C7:D7"/>
    <mergeCell ref="B102:G102"/>
    <mergeCell ref="C113:D113"/>
    <mergeCell ref="B207:G207"/>
  </mergeCells>
  <pageMargins left="0.7" right="0.7" top="0.75" bottom="0.75" header="0.3" footer="0.3"/>
  <pageSetup scale="51" orientation="portrait" r:id="rId1"/>
  <rowBreaks count="1" manualBreakCount="1">
    <brk id="10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5"/>
  <sheetViews>
    <sheetView topLeftCell="A28" workbookViewId="0">
      <selection activeCell="G62" sqref="G62"/>
    </sheetView>
  </sheetViews>
  <sheetFormatPr defaultRowHeight="12.75"/>
  <cols>
    <col min="1" max="1" width="8.42578125" style="74" customWidth="1"/>
    <col min="2" max="2" width="56.7109375" style="72" customWidth="1"/>
    <col min="3" max="5" width="12.28515625" style="72" bestFit="1" customWidth="1"/>
    <col min="6" max="6" width="12.85546875" style="72" bestFit="1" customWidth="1"/>
    <col min="7" max="7" width="16.7109375" style="72" bestFit="1" customWidth="1"/>
    <col min="8" max="8" width="9.140625" style="72"/>
    <col min="9" max="9" width="10.85546875" style="72" bestFit="1" customWidth="1"/>
    <col min="10" max="16384" width="9.140625" style="72"/>
  </cols>
  <sheetData>
    <row r="1" spans="1:7">
      <c r="A1" s="821" t="s">
        <v>779</v>
      </c>
      <c r="G1" s="781" t="s">
        <v>142</v>
      </c>
    </row>
    <row r="2" spans="1:7">
      <c r="A2" s="821" t="s">
        <v>383</v>
      </c>
      <c r="G2" s="781" t="s">
        <v>194</v>
      </c>
    </row>
    <row r="3" spans="1:7">
      <c r="A3" s="821" t="s">
        <v>1454</v>
      </c>
    </row>
    <row r="4" spans="1:7">
      <c r="A4" s="821" t="s">
        <v>1072</v>
      </c>
    </row>
    <row r="6" spans="1:7">
      <c r="A6" s="821" t="s">
        <v>990</v>
      </c>
      <c r="B6" s="415"/>
      <c r="C6" s="415"/>
      <c r="D6" s="415"/>
      <c r="E6" s="415"/>
      <c r="F6" s="415"/>
    </row>
    <row r="7" spans="1:7">
      <c r="A7" s="415"/>
      <c r="B7" s="415"/>
      <c r="C7" s="1218" t="s">
        <v>976</v>
      </c>
      <c r="D7" s="1218"/>
      <c r="E7" s="415"/>
      <c r="F7" s="415"/>
      <c r="G7" s="415" t="s">
        <v>977</v>
      </c>
    </row>
    <row r="8" spans="1:7" ht="25.5">
      <c r="A8" s="823" t="s">
        <v>868</v>
      </c>
      <c r="B8" s="823" t="s">
        <v>1073</v>
      </c>
      <c r="C8" s="974">
        <v>43100</v>
      </c>
      <c r="D8" s="974">
        <v>43465</v>
      </c>
      <c r="E8" s="824" t="s">
        <v>1585</v>
      </c>
      <c r="F8" s="824" t="s">
        <v>993</v>
      </c>
      <c r="G8" s="824" t="s">
        <v>992</v>
      </c>
    </row>
    <row r="9" spans="1:7">
      <c r="B9" s="313"/>
      <c r="C9" s="822" t="s">
        <v>363</v>
      </c>
      <c r="D9" s="822" t="s">
        <v>362</v>
      </c>
      <c r="E9" s="822" t="s">
        <v>364</v>
      </c>
      <c r="F9" s="822" t="s">
        <v>365</v>
      </c>
      <c r="G9" s="822" t="s">
        <v>366</v>
      </c>
    </row>
    <row r="10" spans="1:7">
      <c r="A10" s="74">
        <v>1</v>
      </c>
      <c r="B10" s="843" t="s">
        <v>1325</v>
      </c>
      <c r="C10" s="313"/>
      <c r="D10" s="313"/>
      <c r="E10" s="313"/>
      <c r="F10" s="313"/>
      <c r="G10" s="313"/>
    </row>
    <row r="11" spans="1:7">
      <c r="A11" s="74">
        <f t="shared" ref="A11:A80" si="0">A10+1</f>
        <v>2</v>
      </c>
      <c r="C11" s="315"/>
      <c r="D11" s="315"/>
      <c r="E11" s="315"/>
      <c r="F11" s="315"/>
      <c r="G11" s="315"/>
    </row>
    <row r="12" spans="1:7">
      <c r="A12" s="74">
        <f t="shared" si="0"/>
        <v>3</v>
      </c>
      <c r="B12" s="72" t="s">
        <v>1074</v>
      </c>
      <c r="C12" s="315"/>
      <c r="D12" s="315"/>
      <c r="E12" s="315"/>
      <c r="F12" s="315"/>
      <c r="G12" s="315"/>
    </row>
    <row r="13" spans="1:7">
      <c r="A13" s="74">
        <f t="shared" si="0"/>
        <v>4</v>
      </c>
      <c r="B13" s="828"/>
      <c r="C13" s="250">
        <v>0</v>
      </c>
      <c r="D13" s="250"/>
      <c r="E13" s="251">
        <f>AVERAGE(C13:D13)</f>
        <v>0</v>
      </c>
      <c r="F13" s="250"/>
      <c r="G13" s="251">
        <f>SUM(E13:F13)</f>
        <v>0</v>
      </c>
    </row>
    <row r="14" spans="1:7">
      <c r="A14" s="74">
        <f t="shared" si="0"/>
        <v>5</v>
      </c>
      <c r="B14" s="72" t="s">
        <v>1075</v>
      </c>
      <c r="C14" s="315">
        <f>SUM(C13)</f>
        <v>0</v>
      </c>
      <c r="D14" s="315">
        <f>SUM(D13)</f>
        <v>0</v>
      </c>
      <c r="E14" s="315">
        <f>SUM(E13)</f>
        <v>0</v>
      </c>
      <c r="F14" s="315">
        <f>SUM(F13)</f>
        <v>0</v>
      </c>
      <c r="G14" s="315">
        <f>SUM(G13)</f>
        <v>0</v>
      </c>
    </row>
    <row r="15" spans="1:7">
      <c r="A15" s="74">
        <f t="shared" si="0"/>
        <v>6</v>
      </c>
      <c r="C15" s="315"/>
      <c r="D15" s="315"/>
      <c r="E15" s="315"/>
      <c r="F15" s="315"/>
      <c r="G15" s="315"/>
    </row>
    <row r="16" spans="1:7">
      <c r="A16" s="74">
        <f t="shared" si="0"/>
        <v>7</v>
      </c>
      <c r="B16" s="72" t="s">
        <v>1076</v>
      </c>
      <c r="C16" s="315"/>
      <c r="D16" s="315"/>
      <c r="E16" s="315"/>
      <c r="F16" s="315"/>
      <c r="G16" s="315"/>
    </row>
    <row r="17" spans="1:9">
      <c r="A17" s="74">
        <f t="shared" si="0"/>
        <v>8</v>
      </c>
      <c r="B17" s="828" t="s">
        <v>1077</v>
      </c>
      <c r="C17" s="247">
        <v>2384.7427610816608</v>
      </c>
      <c r="D17" s="247">
        <v>2384.7427610816585</v>
      </c>
      <c r="E17" s="315">
        <f>AVERAGE(C17:D17)</f>
        <v>2384.7427610816594</v>
      </c>
      <c r="F17" s="247">
        <f>-E17</f>
        <v>-2384.7427610816594</v>
      </c>
      <c r="G17" s="315">
        <f>SUM(E17:F17)</f>
        <v>0</v>
      </c>
    </row>
    <row r="18" spans="1:9">
      <c r="A18" s="74">
        <f t="shared" si="0"/>
        <v>9</v>
      </c>
      <c r="B18" s="828" t="s">
        <v>1078</v>
      </c>
      <c r="C18" s="247">
        <v>652244.74910000013</v>
      </c>
      <c r="D18" s="247">
        <v>652244.74910000048</v>
      </c>
      <c r="E18" s="315">
        <f>AVERAGE(C18:D18)</f>
        <v>652244.74910000036</v>
      </c>
      <c r="F18" s="247">
        <f>-E18</f>
        <v>-652244.74910000036</v>
      </c>
      <c r="G18" s="315">
        <f>SUM(E18:F18)</f>
        <v>0</v>
      </c>
    </row>
    <row r="19" spans="1:9">
      <c r="A19" s="74">
        <f t="shared" si="0"/>
        <v>10</v>
      </c>
      <c r="B19" s="828" t="s">
        <v>1079</v>
      </c>
      <c r="C19" s="250">
        <v>8645705.0000000019</v>
      </c>
      <c r="D19" s="250">
        <v>17885205.000000015</v>
      </c>
      <c r="E19" s="251">
        <f>AVERAGE(C19:D19)</f>
        <v>13265455.000000007</v>
      </c>
      <c r="F19" s="250">
        <f>-E19</f>
        <v>-13265455.000000007</v>
      </c>
      <c r="G19" s="251">
        <f>SUM(E19:F19)</f>
        <v>0</v>
      </c>
    </row>
    <row r="20" spans="1:9">
      <c r="A20" s="74">
        <f t="shared" si="0"/>
        <v>11</v>
      </c>
      <c r="B20" s="72" t="s">
        <v>1080</v>
      </c>
      <c r="C20" s="315">
        <f>SUM(C17:C19)</f>
        <v>9300334.4918610845</v>
      </c>
      <c r="D20" s="315">
        <f>SUM(D17:D19)</f>
        <v>18539834.491861098</v>
      </c>
      <c r="E20" s="315">
        <f>SUM(E17:E19)</f>
        <v>13920084.49186109</v>
      </c>
      <c r="F20" s="315">
        <f>SUM(F17:F19)</f>
        <v>-13920084.49186109</v>
      </c>
      <c r="G20" s="315">
        <f>SUM(G17:G19)</f>
        <v>0</v>
      </c>
    </row>
    <row r="21" spans="1:9">
      <c r="A21" s="74">
        <f t="shared" si="0"/>
        <v>12</v>
      </c>
      <c r="C21" s="315"/>
      <c r="D21" s="315"/>
      <c r="E21" s="315"/>
      <c r="F21" s="315"/>
      <c r="G21" s="315"/>
    </row>
    <row r="22" spans="1:9">
      <c r="A22" s="74">
        <f t="shared" si="0"/>
        <v>13</v>
      </c>
      <c r="B22" s="57" t="s">
        <v>1305</v>
      </c>
      <c r="C22" s="315"/>
      <c r="D22" s="315"/>
      <c r="E22" s="315"/>
      <c r="F22" s="315"/>
      <c r="G22" s="315"/>
    </row>
    <row r="23" spans="1:9">
      <c r="A23" s="74">
        <f t="shared" si="0"/>
        <v>14</v>
      </c>
      <c r="B23" s="828" t="s">
        <v>996</v>
      </c>
      <c r="C23" s="247">
        <v>257092828.99999979</v>
      </c>
      <c r="D23" s="247">
        <v>268162549.56000012</v>
      </c>
      <c r="E23" s="315">
        <f t="shared" ref="E23:E33" si="1">AVERAGE(C23:D23)</f>
        <v>262627689.27999997</v>
      </c>
      <c r="F23" s="247">
        <f t="shared" ref="F23:F33" si="2">-E23</f>
        <v>-262627689.27999997</v>
      </c>
      <c r="G23" s="315">
        <f t="shared" ref="G23:G34" si="3">SUM(E23:F23)</f>
        <v>0</v>
      </c>
    </row>
    <row r="24" spans="1:9">
      <c r="A24" s="74">
        <f t="shared" si="0"/>
        <v>15</v>
      </c>
      <c r="B24" s="828" t="s">
        <v>568</v>
      </c>
      <c r="C24" s="247">
        <v>-91046.78</v>
      </c>
      <c r="D24" s="247">
        <v>-89078.53</v>
      </c>
      <c r="E24" s="315">
        <f t="shared" si="1"/>
        <v>-90062.654999999999</v>
      </c>
      <c r="F24" s="247">
        <f t="shared" si="2"/>
        <v>90062.654999999999</v>
      </c>
      <c r="G24" s="315">
        <f t="shared" si="3"/>
        <v>0</v>
      </c>
    </row>
    <row r="25" spans="1:9">
      <c r="A25" s="74">
        <f t="shared" si="0"/>
        <v>16</v>
      </c>
      <c r="B25" s="828" t="s">
        <v>1247</v>
      </c>
      <c r="C25" s="247">
        <v>13464954.189225003</v>
      </c>
      <c r="D25" s="247">
        <v>12471776.022300001</v>
      </c>
      <c r="E25" s="315">
        <f t="shared" si="1"/>
        <v>12968365.105762502</v>
      </c>
      <c r="F25" s="247">
        <f t="shared" si="2"/>
        <v>-12968365.105762502</v>
      </c>
      <c r="G25" s="315">
        <f t="shared" si="3"/>
        <v>0</v>
      </c>
    </row>
    <row r="26" spans="1:9">
      <c r="A26" s="74">
        <f t="shared" si="0"/>
        <v>17</v>
      </c>
      <c r="B26" s="828" t="s">
        <v>997</v>
      </c>
      <c r="C26" s="247">
        <v>34529309.347499058</v>
      </c>
      <c r="D26" s="247">
        <v>38718561.984787747</v>
      </c>
      <c r="E26" s="315">
        <f t="shared" si="1"/>
        <v>36623935.666143402</v>
      </c>
      <c r="F26" s="247"/>
      <c r="G26" s="315">
        <f t="shared" si="3"/>
        <v>36623935.666143402</v>
      </c>
      <c r="I26" s="93"/>
    </row>
    <row r="27" spans="1:9">
      <c r="A27" s="74">
        <f t="shared" si="0"/>
        <v>18</v>
      </c>
      <c r="B27" s="828" t="s">
        <v>569</v>
      </c>
      <c r="C27" s="247">
        <v>1954058.1125009502</v>
      </c>
      <c r="D27" s="247">
        <v>921808.03521218873</v>
      </c>
      <c r="E27" s="315">
        <f t="shared" si="1"/>
        <v>1437933.0738565694</v>
      </c>
      <c r="F27" s="247">
        <f t="shared" si="2"/>
        <v>-1437933.0738565694</v>
      </c>
      <c r="G27" s="315">
        <f t="shared" si="3"/>
        <v>0</v>
      </c>
      <c r="I27" s="93"/>
    </row>
    <row r="28" spans="1:9">
      <c r="A28" s="74">
        <f t="shared" si="0"/>
        <v>19</v>
      </c>
      <c r="B28" s="828" t="s">
        <v>570</v>
      </c>
      <c r="C28" s="247">
        <v>-268.58</v>
      </c>
      <c r="D28" s="247">
        <v>-268.58</v>
      </c>
      <c r="E28" s="315">
        <f t="shared" si="1"/>
        <v>-268.58</v>
      </c>
      <c r="F28" s="247">
        <f t="shared" si="2"/>
        <v>268.58</v>
      </c>
      <c r="G28" s="315">
        <f t="shared" si="3"/>
        <v>0</v>
      </c>
      <c r="I28" s="93"/>
    </row>
    <row r="29" spans="1:9">
      <c r="A29" s="74">
        <f t="shared" si="0"/>
        <v>20</v>
      </c>
      <c r="B29" s="828" t="s">
        <v>1248</v>
      </c>
      <c r="C29" s="247">
        <v>10109609.617800003</v>
      </c>
      <c r="D29" s="247">
        <v>9363922.4504000004</v>
      </c>
      <c r="E29" s="315">
        <f t="shared" si="1"/>
        <v>9736766.0341000017</v>
      </c>
      <c r="F29" s="247"/>
      <c r="G29" s="315">
        <f t="shared" si="3"/>
        <v>9736766.0341000017</v>
      </c>
      <c r="I29" s="93"/>
    </row>
    <row r="30" spans="1:9">
      <c r="A30" s="74">
        <f t="shared" si="0"/>
        <v>21</v>
      </c>
      <c r="B30" s="828" t="s">
        <v>1003</v>
      </c>
      <c r="C30" s="247">
        <v>968086.29999999888</v>
      </c>
      <c r="D30" s="247">
        <v>1381329.8999999994</v>
      </c>
      <c r="E30" s="315">
        <f t="shared" si="1"/>
        <v>1174708.0999999992</v>
      </c>
      <c r="F30" s="247">
        <f t="shared" si="2"/>
        <v>-1174708.0999999992</v>
      </c>
      <c r="G30" s="315">
        <f t="shared" si="3"/>
        <v>0</v>
      </c>
    </row>
    <row r="31" spans="1:9">
      <c r="A31" s="74">
        <f t="shared" si="0"/>
        <v>22</v>
      </c>
      <c r="B31" s="828" t="s">
        <v>949</v>
      </c>
      <c r="C31" s="247">
        <v>23518179.339999996</v>
      </c>
      <c r="D31" s="247">
        <v>31081252.899999984</v>
      </c>
      <c r="E31" s="315">
        <f t="shared" si="1"/>
        <v>27299716.11999999</v>
      </c>
      <c r="F31" s="247">
        <f t="shared" si="2"/>
        <v>-27299716.11999999</v>
      </c>
      <c r="G31" s="315">
        <f t="shared" si="3"/>
        <v>0</v>
      </c>
    </row>
    <row r="32" spans="1:9">
      <c r="A32" s="74">
        <f t="shared" si="0"/>
        <v>23</v>
      </c>
      <c r="B32" s="828" t="s">
        <v>947</v>
      </c>
      <c r="C32" s="247">
        <v>62168629.759999998</v>
      </c>
      <c r="D32" s="247">
        <v>61698533.779999986</v>
      </c>
      <c r="E32" s="315">
        <f t="shared" si="1"/>
        <v>61933581.769999996</v>
      </c>
      <c r="F32" s="247">
        <f t="shared" si="2"/>
        <v>-61933581.769999996</v>
      </c>
      <c r="G32" s="315">
        <f t="shared" si="3"/>
        <v>0</v>
      </c>
    </row>
    <row r="33" spans="1:9">
      <c r="A33" s="74">
        <f t="shared" si="0"/>
        <v>24</v>
      </c>
      <c r="B33" s="828" t="s">
        <v>1249</v>
      </c>
      <c r="C33" s="250">
        <v>5795595.1688250024</v>
      </c>
      <c r="D33" s="250">
        <v>5368110.7150999997</v>
      </c>
      <c r="E33" s="251">
        <f t="shared" si="1"/>
        <v>5581852.941962501</v>
      </c>
      <c r="F33" s="250">
        <f t="shared" si="2"/>
        <v>-5581852.941962501</v>
      </c>
      <c r="G33" s="251">
        <f t="shared" si="3"/>
        <v>0</v>
      </c>
    </row>
    <row r="34" spans="1:9">
      <c r="A34" s="74">
        <f t="shared" si="0"/>
        <v>25</v>
      </c>
      <c r="B34" s="57" t="s">
        <v>1657</v>
      </c>
      <c r="C34" s="975"/>
      <c r="D34" s="975"/>
      <c r="E34" s="1180">
        <f>+'WP_ADIT Prorate'!J37</f>
        <v>-924180.64151921123</v>
      </c>
      <c r="F34" s="976"/>
      <c r="G34" s="976">
        <f t="shared" si="3"/>
        <v>-924180.64151921123</v>
      </c>
    </row>
    <row r="35" spans="1:9">
      <c r="A35" s="74">
        <f t="shared" si="0"/>
        <v>26</v>
      </c>
      <c r="B35" s="57" t="s">
        <v>113</v>
      </c>
      <c r="C35" s="315">
        <f>SUM(C23:C33)</f>
        <v>409509935.47584987</v>
      </c>
      <c r="D35" s="315">
        <f>SUM(D23:D33)</f>
        <v>429078498.23779994</v>
      </c>
      <c r="E35" s="315">
        <f>SUM(E23:E34)</f>
        <v>418370036.21530581</v>
      </c>
      <c r="F35" s="315">
        <f>SUM(F23:F34)</f>
        <v>-372933515.15658158</v>
      </c>
      <c r="G35" s="315">
        <f>SUM(G23:G34)</f>
        <v>45436521.058724195</v>
      </c>
      <c r="I35" s="315"/>
    </row>
    <row r="36" spans="1:9">
      <c r="A36" s="74">
        <f t="shared" si="0"/>
        <v>27</v>
      </c>
      <c r="C36" s="315"/>
      <c r="D36" s="315"/>
      <c r="E36" s="315"/>
      <c r="F36" s="315"/>
      <c r="G36" s="315"/>
    </row>
    <row r="37" spans="1:9">
      <c r="A37" s="74">
        <f t="shared" si="0"/>
        <v>28</v>
      </c>
      <c r="B37" s="57" t="s">
        <v>1306</v>
      </c>
      <c r="C37" s="315"/>
      <c r="D37" s="315"/>
      <c r="E37" s="315"/>
      <c r="F37" s="315"/>
      <c r="G37" s="315"/>
    </row>
    <row r="38" spans="1:9">
      <c r="A38" s="74">
        <f t="shared" si="0"/>
        <v>29</v>
      </c>
      <c r="B38" s="828" t="s">
        <v>955</v>
      </c>
      <c r="C38" s="247">
        <v>852836.31868349935</v>
      </c>
      <c r="D38" s="247">
        <v>1056542.3106420892</v>
      </c>
      <c r="E38" s="315">
        <f t="shared" ref="E38:E43" si="4">AVERAGE(C38:D38)</f>
        <v>954689.31466279435</v>
      </c>
      <c r="F38" s="247"/>
      <c r="G38" s="315">
        <f t="shared" ref="G38:G43" si="5">SUM(E38:F38)</f>
        <v>954689.31466279435</v>
      </c>
    </row>
    <row r="39" spans="1:9">
      <c r="A39" s="74">
        <f t="shared" si="0"/>
        <v>30</v>
      </c>
      <c r="B39" s="828" t="s">
        <v>954</v>
      </c>
      <c r="C39" s="247">
        <v>11693.059766574986</v>
      </c>
      <c r="D39" s="247">
        <v>10091.632772215784</v>
      </c>
      <c r="E39" s="315">
        <f t="shared" si="4"/>
        <v>10892.346269395384</v>
      </c>
      <c r="F39" s="247"/>
      <c r="G39" s="315">
        <f t="shared" si="5"/>
        <v>10892.346269395384</v>
      </c>
    </row>
    <row r="40" spans="1:9">
      <c r="A40" s="74">
        <f t="shared" si="0"/>
        <v>31</v>
      </c>
      <c r="B40" s="828" t="s">
        <v>1250</v>
      </c>
      <c r="C40" s="247">
        <v>11373310.820025004</v>
      </c>
      <c r="D40" s="247">
        <v>10534412.756700002</v>
      </c>
      <c r="E40" s="315">
        <f t="shared" si="4"/>
        <v>10953861.788362503</v>
      </c>
      <c r="F40" s="247"/>
      <c r="G40" s="315">
        <f t="shared" si="5"/>
        <v>10953861.788362503</v>
      </c>
    </row>
    <row r="41" spans="1:9">
      <c r="A41" s="74">
        <f t="shared" si="0"/>
        <v>32</v>
      </c>
      <c r="B41" s="828" t="s">
        <v>1009</v>
      </c>
      <c r="C41" s="247">
        <v>1227748.5500000003</v>
      </c>
      <c r="D41" s="247">
        <v>1174519.3600000001</v>
      </c>
      <c r="E41" s="315">
        <f t="shared" si="4"/>
        <v>1201133.9550000001</v>
      </c>
      <c r="F41" s="247"/>
      <c r="G41" s="315">
        <f t="shared" si="5"/>
        <v>1201133.9550000001</v>
      </c>
    </row>
    <row r="42" spans="1:9">
      <c r="A42" s="74">
        <f t="shared" si="0"/>
        <v>33</v>
      </c>
      <c r="B42" s="828" t="s">
        <v>982</v>
      </c>
      <c r="C42" s="247">
        <v>169066.76999999996</v>
      </c>
      <c r="D42" s="247">
        <v>161182.75000000012</v>
      </c>
      <c r="E42" s="315">
        <f t="shared" si="4"/>
        <v>165124.76000000004</v>
      </c>
      <c r="F42" s="247"/>
      <c r="G42" s="315">
        <f t="shared" si="5"/>
        <v>165124.76000000004</v>
      </c>
    </row>
    <row r="43" spans="1:9">
      <c r="A43" s="74">
        <f t="shared" si="0"/>
        <v>34</v>
      </c>
      <c r="B43" s="828" t="s">
        <v>1251</v>
      </c>
      <c r="C43" s="250">
        <v>2832433.729125001</v>
      </c>
      <c r="D43" s="250">
        <v>2623512.7555000004</v>
      </c>
      <c r="E43" s="251">
        <f t="shared" si="4"/>
        <v>2727973.2423125007</v>
      </c>
      <c r="F43" s="250"/>
      <c r="G43" s="251">
        <f t="shared" si="5"/>
        <v>2727973.2423125007</v>
      </c>
    </row>
    <row r="44" spans="1:9">
      <c r="A44" s="74">
        <f t="shared" si="0"/>
        <v>35</v>
      </c>
      <c r="B44" s="57" t="s">
        <v>1657</v>
      </c>
      <c r="C44" s="975"/>
      <c r="D44" s="975"/>
      <c r="E44" s="1180">
        <f>+'WP_ADIT Prorate'!J68</f>
        <v>243373.50232289732</v>
      </c>
      <c r="F44" s="976"/>
      <c r="G44" s="976">
        <f>SUM(E44:F44)</f>
        <v>243373.50232289732</v>
      </c>
    </row>
    <row r="45" spans="1:9">
      <c r="A45" s="74">
        <f t="shared" si="0"/>
        <v>36</v>
      </c>
      <c r="B45" s="57" t="s">
        <v>114</v>
      </c>
      <c r="C45" s="315">
        <f>SUM(C38:C43)</f>
        <v>16467089.24760008</v>
      </c>
      <c r="D45" s="315">
        <f>SUM(D38:D43)</f>
        <v>15560261.565614305</v>
      </c>
      <c r="E45" s="315">
        <f>SUM(E38:E44)</f>
        <v>16257048.908930091</v>
      </c>
      <c r="F45" s="315">
        <f>SUM(F38:F43)</f>
        <v>0</v>
      </c>
      <c r="G45" s="315">
        <f>SUM(G38:G44)</f>
        <v>16257048.908930091</v>
      </c>
    </row>
    <row r="46" spans="1:9">
      <c r="A46" s="74">
        <f t="shared" si="0"/>
        <v>37</v>
      </c>
      <c r="B46" s="183" t="s">
        <v>1592</v>
      </c>
      <c r="C46" s="315"/>
      <c r="D46" s="315"/>
      <c r="E46" s="315"/>
      <c r="F46" s="315"/>
      <c r="G46" s="834">
        <f>WS</f>
        <v>0.11022</v>
      </c>
    </row>
    <row r="47" spans="1:9">
      <c r="A47" s="74">
        <f t="shared" si="0"/>
        <v>38</v>
      </c>
      <c r="B47" s="183" t="s">
        <v>1307</v>
      </c>
      <c r="C47" s="315"/>
      <c r="D47" s="315"/>
      <c r="E47" s="315"/>
      <c r="F47" s="315"/>
      <c r="G47" s="315">
        <f>G45*G46</f>
        <v>1791851.9307422747</v>
      </c>
    </row>
    <row r="48" spans="1:9">
      <c r="A48" s="74">
        <f t="shared" si="0"/>
        <v>39</v>
      </c>
      <c r="C48" s="315"/>
      <c r="D48" s="315"/>
      <c r="E48" s="315"/>
      <c r="F48" s="315"/>
      <c r="G48" s="315"/>
    </row>
    <row r="49" spans="1:7">
      <c r="A49" s="1149">
        <f t="shared" si="0"/>
        <v>40</v>
      </c>
      <c r="B49" s="313" t="s">
        <v>1013</v>
      </c>
      <c r="C49" s="315"/>
      <c r="D49" s="315"/>
      <c r="E49" s="315"/>
      <c r="F49" s="315"/>
      <c r="G49" s="315"/>
    </row>
    <row r="50" spans="1:7">
      <c r="A50" s="74">
        <f t="shared" si="0"/>
        <v>41</v>
      </c>
      <c r="B50" s="828" t="s">
        <v>1252</v>
      </c>
      <c r="C50" s="247">
        <v>9121.5600000000049</v>
      </c>
      <c r="D50" s="247">
        <v>4560.779999999997</v>
      </c>
      <c r="E50" s="315">
        <f t="shared" ref="E50:E55" si="6">AVERAGE(C50:D50)</f>
        <v>6841.170000000001</v>
      </c>
      <c r="F50" s="247"/>
      <c r="G50" s="315">
        <f t="shared" ref="G50:G56" si="7">SUM(E50:F50)</f>
        <v>6841.170000000001</v>
      </c>
    </row>
    <row r="51" spans="1:7">
      <c r="A51" s="74">
        <f t="shared" si="0"/>
        <v>42</v>
      </c>
      <c r="B51" s="828" t="s">
        <v>1253</v>
      </c>
      <c r="C51" s="247">
        <v>268271.90318249224</v>
      </c>
      <c r="D51" s="247">
        <v>268271.90318249195</v>
      </c>
      <c r="E51" s="315">
        <f t="shared" si="6"/>
        <v>268271.90318249213</v>
      </c>
      <c r="F51" s="247"/>
      <c r="G51" s="315">
        <f t="shared" si="7"/>
        <v>268271.90318249213</v>
      </c>
    </row>
    <row r="52" spans="1:7">
      <c r="A52" s="74">
        <f t="shared" si="0"/>
        <v>43</v>
      </c>
      <c r="B52" s="828" t="s">
        <v>1061</v>
      </c>
      <c r="C52" s="247">
        <v>1932594.7151280004</v>
      </c>
      <c r="D52" s="247">
        <v>1932594.7151279985</v>
      </c>
      <c r="E52" s="315">
        <f t="shared" si="6"/>
        <v>1932594.7151279994</v>
      </c>
      <c r="F52" s="247"/>
      <c r="G52" s="315">
        <f t="shared" si="7"/>
        <v>1932594.7151279994</v>
      </c>
    </row>
    <row r="53" spans="1:7">
      <c r="A53" s="74">
        <f t="shared" si="0"/>
        <v>44</v>
      </c>
      <c r="B53" s="828" t="s">
        <v>1254</v>
      </c>
      <c r="C53" s="247">
        <v>11715748.401500007</v>
      </c>
      <c r="D53" s="247">
        <v>12203248.401499994</v>
      </c>
      <c r="E53" s="315">
        <f t="shared" si="6"/>
        <v>11959498.401500002</v>
      </c>
      <c r="F53" s="247"/>
      <c r="G53" s="315">
        <f t="shared" si="7"/>
        <v>11959498.401500002</v>
      </c>
    </row>
    <row r="54" spans="1:7">
      <c r="A54" s="74">
        <f t="shared" si="0"/>
        <v>45</v>
      </c>
      <c r="B54" s="826" t="s">
        <v>1347</v>
      </c>
      <c r="C54" s="247">
        <v>19146688.829999998</v>
      </c>
      <c r="D54" s="247">
        <v>20979799.830000013</v>
      </c>
      <c r="E54" s="248">
        <f t="shared" si="6"/>
        <v>20063244.330000006</v>
      </c>
      <c r="F54" s="247"/>
      <c r="G54" s="248">
        <f t="shared" si="7"/>
        <v>20063244.330000006</v>
      </c>
    </row>
    <row r="55" spans="1:7">
      <c r="A55" s="74">
        <f t="shared" si="0"/>
        <v>46</v>
      </c>
      <c r="B55" s="1150" t="s">
        <v>1715</v>
      </c>
      <c r="C55" s="250">
        <v>-2676317.1500000013</v>
      </c>
      <c r="D55" s="250">
        <v>-2676317.1499999976</v>
      </c>
      <c r="E55" s="251">
        <f t="shared" si="6"/>
        <v>-2676317.1499999994</v>
      </c>
      <c r="F55" s="250"/>
      <c r="G55" s="251">
        <f t="shared" si="7"/>
        <v>-2676317.1499999994</v>
      </c>
    </row>
    <row r="56" spans="1:7">
      <c r="A56" s="74">
        <f t="shared" si="0"/>
        <v>47</v>
      </c>
      <c r="B56" s="57" t="s">
        <v>1657</v>
      </c>
      <c r="C56" s="975"/>
      <c r="D56" s="975"/>
      <c r="E56" s="1180">
        <f>+'WP_ADIT Prorate'!J99</f>
        <v>-621579.23141781241</v>
      </c>
      <c r="F56" s="976"/>
      <c r="G56" s="976">
        <f t="shared" si="7"/>
        <v>-621579.23141781241</v>
      </c>
    </row>
    <row r="57" spans="1:7">
      <c r="A57" s="74">
        <f t="shared" si="0"/>
        <v>48</v>
      </c>
      <c r="B57" s="72" t="s">
        <v>1063</v>
      </c>
      <c r="C57" s="315">
        <f>SUM(C50:C55)</f>
        <v>30396108.259810496</v>
      </c>
      <c r="D57" s="315">
        <f>SUM(D50:D55)</f>
        <v>32712158.479810499</v>
      </c>
      <c r="E57" s="315">
        <f>SUM(E50:E56)</f>
        <v>30932554.138392687</v>
      </c>
      <c r="F57" s="315">
        <f>SUM(F50:F54)</f>
        <v>0</v>
      </c>
      <c r="G57" s="315">
        <f>SUM(G50:G56)</f>
        <v>30932554.138392687</v>
      </c>
    </row>
    <row r="58" spans="1:7">
      <c r="A58" s="74">
        <f t="shared" si="0"/>
        <v>49</v>
      </c>
      <c r="B58" s="835" t="s">
        <v>1593</v>
      </c>
      <c r="C58" s="315"/>
      <c r="D58" s="315"/>
      <c r="E58" s="315"/>
      <c r="F58" s="315"/>
      <c r="G58" s="834">
        <f>NP</f>
        <v>0.1800617262481837</v>
      </c>
    </row>
    <row r="59" spans="1:7">
      <c r="A59" s="74">
        <f t="shared" si="0"/>
        <v>50</v>
      </c>
      <c r="B59" s="835" t="s">
        <v>115</v>
      </c>
      <c r="C59" s="315"/>
      <c r="D59" s="315"/>
      <c r="E59" s="315"/>
      <c r="F59" s="315"/>
      <c r="G59" s="315">
        <f>G57*G58</f>
        <v>5569769.0954243857</v>
      </c>
    </row>
    <row r="60" spans="1:7">
      <c r="A60" s="74">
        <f t="shared" si="0"/>
        <v>51</v>
      </c>
      <c r="C60" s="315"/>
      <c r="D60" s="315"/>
      <c r="E60" s="315"/>
      <c r="F60" s="315"/>
      <c r="G60" s="315"/>
    </row>
    <row r="61" spans="1:7">
      <c r="A61" s="74">
        <f t="shared" si="0"/>
        <v>52</v>
      </c>
      <c r="B61" s="313" t="s">
        <v>1010</v>
      </c>
      <c r="C61" s="315"/>
      <c r="D61" s="315"/>
      <c r="E61" s="315"/>
      <c r="F61" s="315"/>
      <c r="G61" s="315"/>
    </row>
    <row r="62" spans="1:7">
      <c r="A62" s="74">
        <f t="shared" si="0"/>
        <v>53</v>
      </c>
      <c r="B62" s="828" t="s">
        <v>1255</v>
      </c>
      <c r="C62" s="247">
        <v>1614328.6919233829</v>
      </c>
      <c r="D62" s="247">
        <v>1617237.2237103127</v>
      </c>
      <c r="E62" s="315">
        <f t="shared" ref="E62:E72" si="8">AVERAGE(C62:D62)</f>
        <v>1615782.9578168478</v>
      </c>
      <c r="F62" s="247"/>
      <c r="G62" s="315">
        <f t="shared" ref="G62:G72" si="9">SUM(E62:F62)</f>
        <v>1615782.9578168478</v>
      </c>
    </row>
    <row r="63" spans="1:7">
      <c r="A63" s="74">
        <f t="shared" si="0"/>
        <v>54</v>
      </c>
      <c r="B63" s="828" t="s">
        <v>1257</v>
      </c>
      <c r="C63" s="247">
        <v>293463.36615646421</v>
      </c>
      <c r="D63" s="247">
        <v>310931.47193387401</v>
      </c>
      <c r="E63" s="315">
        <f t="shared" si="8"/>
        <v>302197.41904516914</v>
      </c>
      <c r="F63" s="247"/>
      <c r="G63" s="315">
        <f t="shared" si="9"/>
        <v>302197.41904516914</v>
      </c>
    </row>
    <row r="64" spans="1:7">
      <c r="A64" s="74">
        <f t="shared" si="0"/>
        <v>55</v>
      </c>
      <c r="B64" s="828" t="s">
        <v>1258</v>
      </c>
      <c r="C64" s="247">
        <v>0</v>
      </c>
      <c r="D64" s="247">
        <v>0</v>
      </c>
      <c r="E64" s="315">
        <f t="shared" si="8"/>
        <v>0</v>
      </c>
      <c r="F64" s="247"/>
      <c r="G64" s="315">
        <f t="shared" si="9"/>
        <v>0</v>
      </c>
    </row>
    <row r="65" spans="1:7">
      <c r="A65" s="74">
        <f t="shared" si="0"/>
        <v>56</v>
      </c>
      <c r="B65" s="828" t="s">
        <v>1259</v>
      </c>
      <c r="C65" s="247">
        <v>2872179.0775041506</v>
      </c>
      <c r="D65" s="247">
        <v>2872179.0775041496</v>
      </c>
      <c r="E65" s="315">
        <f t="shared" si="8"/>
        <v>2872179.0775041501</v>
      </c>
      <c r="F65" s="247"/>
      <c r="G65" s="315">
        <f t="shared" si="9"/>
        <v>2872179.0775041501</v>
      </c>
    </row>
    <row r="66" spans="1:7">
      <c r="A66" s="74">
        <f t="shared" si="0"/>
        <v>57</v>
      </c>
      <c r="B66" s="828" t="s">
        <v>1260</v>
      </c>
      <c r="C66" s="247">
        <v>347631.65708465251</v>
      </c>
      <c r="D66" s="247">
        <v>124998.42653840278</v>
      </c>
      <c r="E66" s="315">
        <f t="shared" si="8"/>
        <v>236315.04181152766</v>
      </c>
      <c r="F66" s="247"/>
      <c r="G66" s="315">
        <f t="shared" si="9"/>
        <v>236315.04181152766</v>
      </c>
    </row>
    <row r="67" spans="1:7">
      <c r="A67" s="74">
        <f t="shared" si="0"/>
        <v>58</v>
      </c>
      <c r="B67" s="828" t="s">
        <v>1201</v>
      </c>
      <c r="C67" s="247">
        <v>35265.999999999964</v>
      </c>
      <c r="D67" s="247">
        <v>35265.999999999942</v>
      </c>
      <c r="E67" s="315">
        <f t="shared" si="8"/>
        <v>35265.999999999956</v>
      </c>
      <c r="F67" s="247"/>
      <c r="G67" s="315">
        <f t="shared" si="9"/>
        <v>35265.999999999956</v>
      </c>
    </row>
    <row r="68" spans="1:7">
      <c r="A68" s="74">
        <f t="shared" si="0"/>
        <v>59</v>
      </c>
      <c r="B68" s="828" t="s">
        <v>1261</v>
      </c>
      <c r="C68" s="247">
        <v>2208786.7563403319</v>
      </c>
      <c r="D68" s="247">
        <v>0</v>
      </c>
      <c r="E68" s="315">
        <f t="shared" si="8"/>
        <v>1104393.3781701659</v>
      </c>
      <c r="F68" s="247"/>
      <c r="G68" s="315">
        <f t="shared" si="9"/>
        <v>1104393.3781701659</v>
      </c>
    </row>
    <row r="69" spans="1:7">
      <c r="A69" s="74">
        <f t="shared" si="0"/>
        <v>60</v>
      </c>
      <c r="B69" s="828" t="s">
        <v>1262</v>
      </c>
      <c r="C69" s="247">
        <v>965224.01311201055</v>
      </c>
      <c r="D69" s="247">
        <v>843251.99029713077</v>
      </c>
      <c r="E69" s="315">
        <f t="shared" si="8"/>
        <v>904238.0017045706</v>
      </c>
      <c r="F69" s="247"/>
      <c r="G69" s="315">
        <f t="shared" si="9"/>
        <v>904238.0017045706</v>
      </c>
    </row>
    <row r="70" spans="1:7">
      <c r="A70" s="74">
        <f t="shared" si="0"/>
        <v>61</v>
      </c>
      <c r="B70" s="828" t="s">
        <v>1718</v>
      </c>
      <c r="C70" s="769">
        <v>13940.248388087623</v>
      </c>
      <c r="D70" s="769">
        <v>14662.082981753878</v>
      </c>
      <c r="E70" s="315"/>
      <c r="F70" s="769"/>
      <c r="G70" s="315"/>
    </row>
    <row r="71" spans="1:7">
      <c r="A71" s="74">
        <f t="shared" si="0"/>
        <v>62</v>
      </c>
      <c r="B71" s="828" t="s">
        <v>1789</v>
      </c>
      <c r="C71" s="769">
        <v>54299.071652633444</v>
      </c>
      <c r="D71" s="769">
        <v>160107.97318435129</v>
      </c>
      <c r="E71" s="315"/>
      <c r="F71" s="769"/>
      <c r="G71" s="315"/>
    </row>
    <row r="72" spans="1:7">
      <c r="A72" s="74">
        <f t="shared" si="0"/>
        <v>63</v>
      </c>
      <c r="B72" s="828" t="s">
        <v>1263</v>
      </c>
      <c r="C72" s="250">
        <v>6176320.7300990205</v>
      </c>
      <c r="D72" s="250">
        <v>5507833.9131820993</v>
      </c>
      <c r="E72" s="251">
        <f t="shared" si="8"/>
        <v>5842077.3216405604</v>
      </c>
      <c r="F72" s="250"/>
      <c r="G72" s="251">
        <f t="shared" si="9"/>
        <v>5842077.3216405604</v>
      </c>
    </row>
    <row r="73" spans="1:7">
      <c r="A73" s="74">
        <f t="shared" si="0"/>
        <v>64</v>
      </c>
      <c r="B73" s="72" t="s">
        <v>1264</v>
      </c>
      <c r="C73" s="315">
        <f>SUM(C62:C72)</f>
        <v>14581439.612260735</v>
      </c>
      <c r="D73" s="315">
        <f>SUM(D62:D72)</f>
        <v>11486468.159332074</v>
      </c>
      <c r="E73" s="315">
        <f>SUM(E62:E72)</f>
        <v>12912449.197692992</v>
      </c>
      <c r="F73" s="315">
        <f>SUM(F62:F72)</f>
        <v>0</v>
      </c>
      <c r="G73" s="315">
        <f>SUM(G62:G72)</f>
        <v>12912449.197692992</v>
      </c>
    </row>
    <row r="74" spans="1:7">
      <c r="A74" s="74">
        <f t="shared" si="0"/>
        <v>65</v>
      </c>
      <c r="B74" s="183" t="s">
        <v>1592</v>
      </c>
      <c r="C74" s="315"/>
      <c r="D74" s="315"/>
      <c r="E74" s="315"/>
      <c r="F74" s="315"/>
      <c r="G74" s="834">
        <f>WS</f>
        <v>0.11022</v>
      </c>
    </row>
    <row r="75" spans="1:7">
      <c r="A75" s="74">
        <f t="shared" si="0"/>
        <v>66</v>
      </c>
      <c r="B75" s="183" t="s">
        <v>116</v>
      </c>
      <c r="C75" s="315"/>
      <c r="D75" s="315"/>
      <c r="E75" s="315"/>
      <c r="F75" s="315"/>
      <c r="G75" s="315">
        <f>G73*G74</f>
        <v>1423210.1505697216</v>
      </c>
    </row>
    <row r="76" spans="1:7">
      <c r="A76" s="74">
        <f t="shared" si="0"/>
        <v>67</v>
      </c>
      <c r="C76" s="315"/>
      <c r="D76" s="315"/>
      <c r="E76" s="315"/>
      <c r="F76" s="315"/>
      <c r="G76" s="315"/>
    </row>
    <row r="77" spans="1:7">
      <c r="A77" s="74">
        <f t="shared" si="0"/>
        <v>68</v>
      </c>
      <c r="B77" s="313" t="s">
        <v>1064</v>
      </c>
      <c r="C77" s="315"/>
      <c r="D77" s="315"/>
      <c r="E77" s="315"/>
      <c r="F77" s="315"/>
      <c r="G77" s="315"/>
    </row>
    <row r="78" spans="1:7">
      <c r="A78" s="74">
        <f t="shared" si="0"/>
        <v>69</v>
      </c>
      <c r="B78" s="828" t="s">
        <v>1204</v>
      </c>
      <c r="C78" s="247">
        <v>2336727.7532728501</v>
      </c>
      <c r="D78" s="247">
        <v>0.14822535022653599</v>
      </c>
      <c r="E78" s="315">
        <f t="shared" ref="E78:E87" si="10">AVERAGE(C78:D78)</f>
        <v>1168363.9507491002</v>
      </c>
      <c r="F78" s="247">
        <f t="shared" ref="F78:F87" si="11">-E78</f>
        <v>-1168363.9507491002</v>
      </c>
      <c r="G78" s="315">
        <f>SUM(E78:F78)</f>
        <v>0</v>
      </c>
    </row>
    <row r="79" spans="1:7">
      <c r="A79" s="74">
        <f t="shared" si="0"/>
        <v>70</v>
      </c>
      <c r="B79" s="828" t="s">
        <v>1265</v>
      </c>
      <c r="C79" s="247">
        <v>3809419.5578470523</v>
      </c>
      <c r="D79" s="247">
        <v>3798904.8300086353</v>
      </c>
      <c r="E79" s="315">
        <f t="shared" si="10"/>
        <v>3804162.1939278441</v>
      </c>
      <c r="F79" s="247">
        <f t="shared" si="11"/>
        <v>-3804162.1939278441</v>
      </c>
      <c r="G79" s="315">
        <f t="shared" ref="G79:G87" si="12">SUM(E79:F79)</f>
        <v>0</v>
      </c>
    </row>
    <row r="80" spans="1:7">
      <c r="A80" s="74">
        <f t="shared" si="0"/>
        <v>71</v>
      </c>
      <c r="B80" s="828" t="s">
        <v>1266</v>
      </c>
      <c r="C80" s="247">
        <v>2091043.4470129807</v>
      </c>
      <c r="D80" s="247">
        <v>121396.37161750002</v>
      </c>
      <c r="E80" s="315">
        <f t="shared" si="10"/>
        <v>1106219.9093152403</v>
      </c>
      <c r="F80" s="247">
        <f t="shared" si="11"/>
        <v>-1106219.9093152403</v>
      </c>
      <c r="G80" s="315">
        <f t="shared" si="12"/>
        <v>0</v>
      </c>
    </row>
    <row r="81" spans="1:7">
      <c r="A81" s="74">
        <f t="shared" ref="A81:A96" si="13">A80+1</f>
        <v>72</v>
      </c>
      <c r="B81" s="828" t="s">
        <v>1267</v>
      </c>
      <c r="C81" s="247">
        <v>528717.17249662522</v>
      </c>
      <c r="D81" s="247">
        <v>532091</v>
      </c>
      <c r="E81" s="315">
        <f t="shared" si="10"/>
        <v>530404.08624831261</v>
      </c>
      <c r="F81" s="247">
        <f t="shared" si="11"/>
        <v>-530404.08624831261</v>
      </c>
      <c r="G81" s="315">
        <f t="shared" si="12"/>
        <v>0</v>
      </c>
    </row>
    <row r="82" spans="1:7">
      <c r="A82" s="74">
        <f t="shared" si="13"/>
        <v>73</v>
      </c>
      <c r="B82" s="828" t="s">
        <v>1300</v>
      </c>
      <c r="C82" s="247">
        <v>155842.04073217508</v>
      </c>
      <c r="D82" s="247">
        <v>42458.391377499996</v>
      </c>
      <c r="E82" s="315">
        <f t="shared" si="10"/>
        <v>99150.21605483754</v>
      </c>
      <c r="F82" s="247">
        <f t="shared" si="11"/>
        <v>-99150.21605483754</v>
      </c>
      <c r="G82" s="315">
        <f t="shared" si="12"/>
        <v>0</v>
      </c>
    </row>
    <row r="83" spans="1:7">
      <c r="A83" s="74">
        <f t="shared" si="13"/>
        <v>74</v>
      </c>
      <c r="B83" s="828" t="s">
        <v>1302</v>
      </c>
      <c r="C83" s="247">
        <v>0</v>
      </c>
      <c r="D83" s="247">
        <v>0</v>
      </c>
      <c r="E83" s="315">
        <f t="shared" si="10"/>
        <v>0</v>
      </c>
      <c r="F83" s="247">
        <f t="shared" si="11"/>
        <v>0</v>
      </c>
      <c r="G83" s="315">
        <f t="shared" si="12"/>
        <v>0</v>
      </c>
    </row>
    <row r="84" spans="1:7">
      <c r="A84" s="74">
        <f t="shared" si="13"/>
        <v>75</v>
      </c>
      <c r="B84" s="828" t="s">
        <v>1202</v>
      </c>
      <c r="C84" s="247">
        <v>5385.5850000000019</v>
      </c>
      <c r="D84" s="247">
        <v>5385.5849999999955</v>
      </c>
      <c r="E84" s="315">
        <f t="shared" si="10"/>
        <v>5385.5849999999991</v>
      </c>
      <c r="F84" s="247">
        <f t="shared" si="11"/>
        <v>-5385.5849999999991</v>
      </c>
      <c r="G84" s="315">
        <f t="shared" si="12"/>
        <v>0</v>
      </c>
    </row>
    <row r="85" spans="1:7">
      <c r="A85" s="74">
        <f t="shared" si="13"/>
        <v>76</v>
      </c>
      <c r="B85" s="828" t="s">
        <v>1203</v>
      </c>
      <c r="C85" s="247">
        <v>321552.00000000017</v>
      </c>
      <c r="D85" s="613">
        <v>321551.99999999971</v>
      </c>
      <c r="E85" s="248">
        <f t="shared" si="10"/>
        <v>321551.99999999994</v>
      </c>
      <c r="F85" s="247">
        <f t="shared" si="11"/>
        <v>-321551.99999999994</v>
      </c>
      <c r="G85" s="248">
        <f t="shared" si="12"/>
        <v>0</v>
      </c>
    </row>
    <row r="86" spans="1:7">
      <c r="A86" s="74">
        <f t="shared" si="13"/>
        <v>77</v>
      </c>
      <c r="B86" s="247" t="s">
        <v>1066</v>
      </c>
      <c r="C86" s="247">
        <v>2225647.1115863305</v>
      </c>
      <c r="D86" s="247">
        <v>0</v>
      </c>
      <c r="E86" s="248">
        <f t="shared" si="10"/>
        <v>1112823.5557931652</v>
      </c>
      <c r="F86" s="247">
        <f t="shared" si="11"/>
        <v>-1112823.5557931652</v>
      </c>
      <c r="G86" s="248">
        <f t="shared" si="12"/>
        <v>0</v>
      </c>
    </row>
    <row r="87" spans="1:7">
      <c r="A87" s="74">
        <f t="shared" si="13"/>
        <v>78</v>
      </c>
      <c r="B87" s="247" t="s">
        <v>1197</v>
      </c>
      <c r="C87" s="250">
        <v>22369602.365951806</v>
      </c>
      <c r="D87" s="250">
        <v>31038347.362700507</v>
      </c>
      <c r="E87" s="251">
        <f t="shared" si="10"/>
        <v>26703974.864326157</v>
      </c>
      <c r="F87" s="250">
        <f t="shared" si="11"/>
        <v>-26703974.864326157</v>
      </c>
      <c r="G87" s="251">
        <f t="shared" si="12"/>
        <v>0</v>
      </c>
    </row>
    <row r="88" spans="1:7">
      <c r="A88" s="74">
        <f t="shared" si="13"/>
        <v>79</v>
      </c>
      <c r="B88" s="72" t="s">
        <v>1303</v>
      </c>
      <c r="C88" s="315">
        <f>SUM(C78:C87)</f>
        <v>33843937.033899821</v>
      </c>
      <c r="D88" s="315">
        <f>SUM(D78:D87)</f>
        <v>35860135.688929491</v>
      </c>
      <c r="E88" s="315">
        <f>SUM(E78:E87)</f>
        <v>34852036.361414656</v>
      </c>
      <c r="F88" s="315">
        <f>SUM(F78:F87)</f>
        <v>-34852036.361414656</v>
      </c>
      <c r="G88" s="315">
        <f>SUM(G78:G85)</f>
        <v>0</v>
      </c>
    </row>
    <row r="89" spans="1:7">
      <c r="A89" s="74">
        <f t="shared" si="13"/>
        <v>80</v>
      </c>
      <c r="C89" s="315"/>
      <c r="D89" s="315"/>
      <c r="E89" s="315"/>
      <c r="F89" s="315"/>
      <c r="G89" s="315"/>
    </row>
    <row r="90" spans="1:7">
      <c r="A90" s="74">
        <f t="shared" si="13"/>
        <v>81</v>
      </c>
      <c r="B90" s="313" t="s">
        <v>110</v>
      </c>
      <c r="C90" s="315"/>
      <c r="D90" s="315"/>
      <c r="E90" s="315"/>
      <c r="F90" s="315"/>
      <c r="G90" s="315"/>
    </row>
    <row r="91" spans="1:7">
      <c r="A91" s="74">
        <f t="shared" si="13"/>
        <v>82</v>
      </c>
      <c r="B91" s="1182" t="s">
        <v>1068</v>
      </c>
      <c r="C91" s="247">
        <v>611772.29616440018</v>
      </c>
      <c r="D91" s="247">
        <v>611772.29616440006</v>
      </c>
      <c r="E91" s="248">
        <f>AVERAGE(C91:D91)</f>
        <v>611772.29616440018</v>
      </c>
      <c r="F91" s="247">
        <f t="shared" ref="F91:F92" si="14">-E91</f>
        <v>-611772.29616440018</v>
      </c>
      <c r="G91" s="248">
        <f>SUM(E91:F91)</f>
        <v>0</v>
      </c>
    </row>
    <row r="92" spans="1:7">
      <c r="A92" s="74">
        <f t="shared" si="13"/>
        <v>83</v>
      </c>
      <c r="B92" s="828" t="s">
        <v>1346</v>
      </c>
      <c r="C92" s="250">
        <v>35384.902845600009</v>
      </c>
      <c r="D92" s="250">
        <v>35384.90284559998</v>
      </c>
      <c r="E92" s="251">
        <f>AVERAGE(C92:D92)</f>
        <v>35384.902845599994</v>
      </c>
      <c r="F92" s="250">
        <f t="shared" si="14"/>
        <v>-35384.902845599994</v>
      </c>
      <c r="G92" s="251">
        <f>SUM(E92:F92)</f>
        <v>0</v>
      </c>
    </row>
    <row r="93" spans="1:7">
      <c r="A93" s="74">
        <f t="shared" si="13"/>
        <v>84</v>
      </c>
      <c r="B93" s="72" t="s">
        <v>1304</v>
      </c>
      <c r="C93" s="315">
        <f>SUM(C91:C92)</f>
        <v>647157.19901000021</v>
      </c>
      <c r="D93" s="315">
        <f>SUM(D91:D92)</f>
        <v>647157.1990100001</v>
      </c>
      <c r="E93" s="315">
        <f>SUM(E92)</f>
        <v>35384.902845599994</v>
      </c>
      <c r="F93" s="315">
        <f>SUM(F91:F92)</f>
        <v>-647157.19901000021</v>
      </c>
      <c r="G93" s="315">
        <f>SUM(G91:G92)</f>
        <v>0</v>
      </c>
    </row>
    <row r="94" spans="1:7">
      <c r="A94" s="74">
        <f t="shared" si="13"/>
        <v>85</v>
      </c>
      <c r="C94" s="315"/>
      <c r="D94" s="315"/>
      <c r="E94" s="315"/>
      <c r="F94" s="315"/>
      <c r="G94" s="315"/>
    </row>
    <row r="95" spans="1:7" ht="13.5" thickBot="1">
      <c r="A95" s="74">
        <f t="shared" si="13"/>
        <v>86</v>
      </c>
    </row>
    <row r="96" spans="1:7" ht="13.5" thickBot="1">
      <c r="A96" s="74">
        <f t="shared" si="13"/>
        <v>87</v>
      </c>
      <c r="B96" s="843" t="s">
        <v>1312</v>
      </c>
      <c r="C96" s="844">
        <f>C93+C88+C73+C57+C45+C35+C20+C14</f>
        <v>514746001.32029212</v>
      </c>
      <c r="D96" s="844">
        <f>D93+D88+D73+D57+D45+D35+D20+D14</f>
        <v>543884513.82235742</v>
      </c>
      <c r="E96" s="838">
        <f>E93+E88+E73+E57+E45+E35+E20+E14</f>
        <v>527279594.21644294</v>
      </c>
      <c r="G96" s="838">
        <f>G93+G88+G75+G59+G47+G35+G20+G14</f>
        <v>54221352.235460579</v>
      </c>
    </row>
    <row r="97" spans="1:7" ht="13.5" thickTop="1"/>
    <row r="98" spans="1:7" ht="29.25" customHeight="1">
      <c r="A98" s="839" t="s">
        <v>876</v>
      </c>
      <c r="B98" s="1219" t="s">
        <v>209</v>
      </c>
      <c r="C98" s="1219"/>
      <c r="D98" s="1219"/>
      <c r="E98" s="1219"/>
      <c r="F98" s="1219"/>
      <c r="G98" s="1219"/>
    </row>
    <row r="99" spans="1:7">
      <c r="A99" s="420" t="s">
        <v>876</v>
      </c>
      <c r="B99" s="314" t="s">
        <v>1324</v>
      </c>
      <c r="C99" s="971"/>
      <c r="D99" s="971"/>
      <c r="E99" s="971"/>
      <c r="F99" s="971"/>
      <c r="G99" s="977"/>
    </row>
    <row r="100" spans="1:7">
      <c r="A100" s="74" t="s">
        <v>876</v>
      </c>
      <c r="B100" s="72" t="s">
        <v>1658</v>
      </c>
    </row>
    <row r="101" spans="1:7">
      <c r="A101" s="821" t="str">
        <f>A1</f>
        <v>Public Service Company of Colorado</v>
      </c>
      <c r="G101" s="781" t="str">
        <f>G1</f>
        <v>Table 9</v>
      </c>
    </row>
    <row r="102" spans="1:7">
      <c r="A102" s="821" t="str">
        <f>A2</f>
        <v>Transmission Formula Rate Template</v>
      </c>
      <c r="G102" s="781" t="str">
        <f ca="1">MID(CELL("filename",$A$1),FIND("]",CELL("filename",$A$1))+1,LEN(CELL("filename",$A$1))-FIND("]",CELL("filename",$A$1)))</f>
        <v>WP_B-3</v>
      </c>
    </row>
    <row r="103" spans="1:7">
      <c r="A103" s="821" t="str">
        <f>A3</f>
        <v>Twelve Months Ended December 31, 2016</v>
      </c>
    </row>
    <row r="104" spans="1:7">
      <c r="A104" s="821" t="str">
        <f>A4</f>
        <v>Accumulated Deferred Income Taxes (Debits)</v>
      </c>
      <c r="B104" s="314"/>
      <c r="E104" s="314"/>
      <c r="F104" s="314"/>
      <c r="G104" s="314"/>
    </row>
    <row r="105" spans="1:7">
      <c r="A105" s="57"/>
      <c r="B105" s="314"/>
      <c r="C105" s="314"/>
      <c r="D105" s="314"/>
      <c r="E105" s="314"/>
      <c r="F105" s="314"/>
      <c r="G105" s="314"/>
    </row>
    <row r="106" spans="1:7">
      <c r="A106" s="821" t="s">
        <v>1071</v>
      </c>
      <c r="B106" s="415"/>
      <c r="C106" s="415"/>
      <c r="D106" s="415"/>
      <c r="E106" s="415"/>
      <c r="F106" s="415"/>
    </row>
    <row r="107" spans="1:7">
      <c r="A107" s="415"/>
      <c r="B107" s="415"/>
      <c r="C107" s="1218" t="s">
        <v>976</v>
      </c>
      <c r="D107" s="1218"/>
      <c r="E107" s="415"/>
      <c r="F107" s="415"/>
      <c r="G107" s="415" t="s">
        <v>977</v>
      </c>
    </row>
    <row r="108" spans="1:7" ht="25.5">
      <c r="A108" s="823" t="s">
        <v>868</v>
      </c>
      <c r="B108" s="823" t="s">
        <v>1073</v>
      </c>
      <c r="C108" s="974">
        <v>43100</v>
      </c>
      <c r="D108" s="974">
        <v>43465</v>
      </c>
      <c r="E108" s="824" t="s">
        <v>1585</v>
      </c>
      <c r="F108" s="824" t="s">
        <v>993</v>
      </c>
      <c r="G108" s="824" t="s">
        <v>992</v>
      </c>
    </row>
    <row r="109" spans="1:7">
      <c r="C109" s="822" t="s">
        <v>363</v>
      </c>
      <c r="D109" s="822" t="s">
        <v>362</v>
      </c>
      <c r="E109" s="822" t="s">
        <v>364</v>
      </c>
      <c r="F109" s="822" t="s">
        <v>365</v>
      </c>
      <c r="G109" s="822" t="s">
        <v>366</v>
      </c>
    </row>
    <row r="110" spans="1:7">
      <c r="A110" s="74">
        <v>1</v>
      </c>
      <c r="B110" s="843" t="s">
        <v>1325</v>
      </c>
    </row>
    <row r="111" spans="1:7">
      <c r="A111" s="74">
        <f t="shared" ref="A111:A177" si="15">A110+1</f>
        <v>2</v>
      </c>
      <c r="C111" s="315"/>
      <c r="D111" s="315"/>
      <c r="E111" s="315"/>
      <c r="F111" s="315"/>
      <c r="G111" s="315"/>
    </row>
    <row r="112" spans="1:7">
      <c r="A112" s="74">
        <f t="shared" si="15"/>
        <v>3</v>
      </c>
      <c r="B112" s="72" t="s">
        <v>1074</v>
      </c>
      <c r="C112" s="315"/>
      <c r="D112" s="315"/>
      <c r="E112" s="315"/>
      <c r="F112" s="315"/>
      <c r="G112" s="315"/>
    </row>
    <row r="113" spans="1:7">
      <c r="A113" s="74">
        <f t="shared" si="15"/>
        <v>4</v>
      </c>
      <c r="B113" s="828"/>
      <c r="C113" s="250">
        <v>0</v>
      </c>
      <c r="D113" s="250"/>
      <c r="E113" s="251">
        <f>AVERAGE(C113:D113)</f>
        <v>0</v>
      </c>
      <c r="F113" s="250"/>
      <c r="G113" s="251">
        <f>SUM(E113:F113)</f>
        <v>0</v>
      </c>
    </row>
    <row r="114" spans="1:7">
      <c r="A114" s="74">
        <f t="shared" si="15"/>
        <v>5</v>
      </c>
      <c r="B114" s="72" t="s">
        <v>1075</v>
      </c>
      <c r="C114" s="315">
        <f>SUM(C113)</f>
        <v>0</v>
      </c>
      <c r="D114" s="315">
        <f>SUM(D113)</f>
        <v>0</v>
      </c>
      <c r="E114" s="315">
        <f>SUM(E113)</f>
        <v>0</v>
      </c>
      <c r="F114" s="315">
        <f>SUM(F113)</f>
        <v>0</v>
      </c>
      <c r="G114" s="315">
        <f>SUM(G113)</f>
        <v>0</v>
      </c>
    </row>
    <row r="115" spans="1:7">
      <c r="A115" s="74">
        <f t="shared" si="15"/>
        <v>6</v>
      </c>
      <c r="C115" s="315"/>
      <c r="D115" s="315"/>
      <c r="E115" s="315"/>
      <c r="F115" s="315"/>
      <c r="G115" s="315"/>
    </row>
    <row r="116" spans="1:7">
      <c r="A116" s="74">
        <f t="shared" si="15"/>
        <v>7</v>
      </c>
      <c r="B116" s="72" t="s">
        <v>1076</v>
      </c>
      <c r="C116" s="315"/>
      <c r="D116" s="315"/>
      <c r="E116" s="315"/>
      <c r="F116" s="315"/>
      <c r="G116" s="315"/>
    </row>
    <row r="117" spans="1:7">
      <c r="A117" s="74">
        <f t="shared" si="15"/>
        <v>8</v>
      </c>
      <c r="B117" s="828" t="s">
        <v>1077</v>
      </c>
      <c r="C117" s="247"/>
      <c r="D117" s="247"/>
      <c r="E117" s="248" t="e">
        <f>AVERAGE(C117:D117)</f>
        <v>#DIV/0!</v>
      </c>
      <c r="F117" s="845" t="e">
        <f>-E117</f>
        <v>#DIV/0!</v>
      </c>
      <c r="G117" s="315" t="e">
        <f>SUM(E117:F117)</f>
        <v>#DIV/0!</v>
      </c>
    </row>
    <row r="118" spans="1:7">
      <c r="A118" s="74">
        <f t="shared" si="15"/>
        <v>9</v>
      </c>
      <c r="B118" s="828" t="s">
        <v>1078</v>
      </c>
      <c r="C118" s="247"/>
      <c r="D118" s="247"/>
      <c r="E118" s="248" t="e">
        <f>AVERAGE(C118:D118)</f>
        <v>#DIV/0!</v>
      </c>
      <c r="F118" s="247" t="e">
        <f>-E118</f>
        <v>#DIV/0!</v>
      </c>
      <c r="G118" s="315" t="e">
        <f>SUM(E118:F118)</f>
        <v>#DIV/0!</v>
      </c>
    </row>
    <row r="119" spans="1:7">
      <c r="A119" s="74">
        <f t="shared" si="15"/>
        <v>10</v>
      </c>
      <c r="B119" s="828" t="s">
        <v>1079</v>
      </c>
      <c r="C119" s="250"/>
      <c r="D119" s="250"/>
      <c r="E119" s="842" t="e">
        <f>AVERAGE(C119:D119)</f>
        <v>#DIV/0!</v>
      </c>
      <c r="F119" s="250" t="e">
        <f>-E119</f>
        <v>#DIV/0!</v>
      </c>
      <c r="G119" s="251" t="e">
        <f>SUM(E119:F119)</f>
        <v>#DIV/0!</v>
      </c>
    </row>
    <row r="120" spans="1:7">
      <c r="A120" s="74">
        <f t="shared" si="15"/>
        <v>11</v>
      </c>
      <c r="B120" s="72" t="s">
        <v>1080</v>
      </c>
      <c r="C120" s="315">
        <f>SUM(C117:C119)</f>
        <v>0</v>
      </c>
      <c r="D120" s="315">
        <f>SUM(D117:D119)</f>
        <v>0</v>
      </c>
      <c r="E120" s="315" t="e">
        <f>SUM(E117:E119)</f>
        <v>#DIV/0!</v>
      </c>
      <c r="F120" s="315" t="e">
        <f>SUM(F117:F119)</f>
        <v>#DIV/0!</v>
      </c>
      <c r="G120" s="315" t="e">
        <f>SUM(G117:G119)</f>
        <v>#DIV/0!</v>
      </c>
    </row>
    <row r="121" spans="1:7">
      <c r="A121" s="74">
        <f t="shared" si="15"/>
        <v>12</v>
      </c>
      <c r="C121" s="315"/>
      <c r="D121" s="315"/>
      <c r="E121" s="315"/>
      <c r="F121" s="315"/>
      <c r="G121" s="315"/>
    </row>
    <row r="122" spans="1:7">
      <c r="A122" s="74">
        <f t="shared" si="15"/>
        <v>13</v>
      </c>
      <c r="B122" s="57" t="s">
        <v>1305</v>
      </c>
      <c r="C122" s="315"/>
      <c r="D122" s="315"/>
      <c r="E122" s="315"/>
      <c r="F122" s="315"/>
      <c r="G122" s="315"/>
    </row>
    <row r="123" spans="1:7">
      <c r="A123" s="74">
        <f t="shared" si="15"/>
        <v>14</v>
      </c>
      <c r="B123" s="828" t="s">
        <v>996</v>
      </c>
      <c r="C123" s="247"/>
      <c r="D123" s="247"/>
      <c r="E123" s="248" t="e">
        <f t="shared" ref="E123:E133" si="16">AVERAGE(C123:D123)</f>
        <v>#DIV/0!</v>
      </c>
      <c r="F123" s="247" t="e">
        <f t="shared" ref="F123:F133" si="17">-E123</f>
        <v>#DIV/0!</v>
      </c>
      <c r="G123" s="315" t="e">
        <f t="shared" ref="G123:G133" si="18">SUM(E123:F123)</f>
        <v>#DIV/0!</v>
      </c>
    </row>
    <row r="124" spans="1:7">
      <c r="A124" s="74">
        <f t="shared" si="15"/>
        <v>15</v>
      </c>
      <c r="B124" s="828" t="s">
        <v>568</v>
      </c>
      <c r="C124" s="247"/>
      <c r="D124" s="247"/>
      <c r="E124" s="248" t="e">
        <f t="shared" si="16"/>
        <v>#DIV/0!</v>
      </c>
      <c r="F124" s="247" t="e">
        <f t="shared" si="17"/>
        <v>#DIV/0!</v>
      </c>
      <c r="G124" s="315" t="e">
        <f t="shared" si="18"/>
        <v>#DIV/0!</v>
      </c>
    </row>
    <row r="125" spans="1:7">
      <c r="A125" s="74">
        <f t="shared" si="15"/>
        <v>16</v>
      </c>
      <c r="B125" s="828" t="s">
        <v>1247</v>
      </c>
      <c r="C125" s="247"/>
      <c r="D125" s="247"/>
      <c r="E125" s="248" t="e">
        <f t="shared" si="16"/>
        <v>#DIV/0!</v>
      </c>
      <c r="F125" s="247" t="e">
        <f t="shared" si="17"/>
        <v>#DIV/0!</v>
      </c>
      <c r="G125" s="315" t="e">
        <f t="shared" si="18"/>
        <v>#DIV/0!</v>
      </c>
    </row>
    <row r="126" spans="1:7">
      <c r="A126" s="74">
        <f t="shared" si="15"/>
        <v>17</v>
      </c>
      <c r="B126" s="828" t="s">
        <v>997</v>
      </c>
      <c r="C126" s="247"/>
      <c r="D126" s="247"/>
      <c r="E126" s="248" t="e">
        <f t="shared" si="16"/>
        <v>#DIV/0!</v>
      </c>
      <c r="F126" s="247"/>
      <c r="G126" s="315" t="e">
        <f t="shared" si="18"/>
        <v>#DIV/0!</v>
      </c>
    </row>
    <row r="127" spans="1:7">
      <c r="A127" s="74">
        <f t="shared" si="15"/>
        <v>18</v>
      </c>
      <c r="B127" s="828" t="s">
        <v>569</v>
      </c>
      <c r="C127" s="247"/>
      <c r="D127" s="247"/>
      <c r="E127" s="248" t="e">
        <f t="shared" si="16"/>
        <v>#DIV/0!</v>
      </c>
      <c r="F127" s="247" t="e">
        <f t="shared" si="17"/>
        <v>#DIV/0!</v>
      </c>
      <c r="G127" s="315" t="e">
        <f t="shared" si="18"/>
        <v>#DIV/0!</v>
      </c>
    </row>
    <row r="128" spans="1:7">
      <c r="A128" s="74">
        <f t="shared" si="15"/>
        <v>19</v>
      </c>
      <c r="B128" s="828" t="s">
        <v>570</v>
      </c>
      <c r="C128" s="247"/>
      <c r="D128" s="247"/>
      <c r="E128" s="248" t="e">
        <f t="shared" si="16"/>
        <v>#DIV/0!</v>
      </c>
      <c r="F128" s="247" t="e">
        <f t="shared" si="17"/>
        <v>#DIV/0!</v>
      </c>
      <c r="G128" s="315" t="e">
        <f t="shared" si="18"/>
        <v>#DIV/0!</v>
      </c>
    </row>
    <row r="129" spans="1:7">
      <c r="A129" s="74">
        <f t="shared" si="15"/>
        <v>20</v>
      </c>
      <c r="B129" s="828" t="s">
        <v>1248</v>
      </c>
      <c r="C129" s="247"/>
      <c r="D129" s="247"/>
      <c r="E129" s="248" t="e">
        <f t="shared" si="16"/>
        <v>#DIV/0!</v>
      </c>
      <c r="F129" s="247"/>
      <c r="G129" s="315" t="e">
        <f t="shared" si="18"/>
        <v>#DIV/0!</v>
      </c>
    </row>
    <row r="130" spans="1:7">
      <c r="A130" s="74">
        <f t="shared" si="15"/>
        <v>21</v>
      </c>
      <c r="B130" s="828" t="s">
        <v>1003</v>
      </c>
      <c r="C130" s="247"/>
      <c r="D130" s="247"/>
      <c r="E130" s="248" t="e">
        <f t="shared" si="16"/>
        <v>#DIV/0!</v>
      </c>
      <c r="F130" s="247" t="e">
        <f t="shared" si="17"/>
        <v>#DIV/0!</v>
      </c>
      <c r="G130" s="315" t="e">
        <f t="shared" si="18"/>
        <v>#DIV/0!</v>
      </c>
    </row>
    <row r="131" spans="1:7">
      <c r="A131" s="74">
        <f t="shared" si="15"/>
        <v>22</v>
      </c>
      <c r="B131" s="828" t="s">
        <v>949</v>
      </c>
      <c r="C131" s="247"/>
      <c r="D131" s="247"/>
      <c r="E131" s="248" t="e">
        <f t="shared" si="16"/>
        <v>#DIV/0!</v>
      </c>
      <c r="F131" s="247" t="e">
        <f t="shared" si="17"/>
        <v>#DIV/0!</v>
      </c>
      <c r="G131" s="315" t="e">
        <f t="shared" si="18"/>
        <v>#DIV/0!</v>
      </c>
    </row>
    <row r="132" spans="1:7">
      <c r="A132" s="74">
        <f t="shared" si="15"/>
        <v>23</v>
      </c>
      <c r="B132" s="828" t="s">
        <v>947</v>
      </c>
      <c r="C132" s="769"/>
      <c r="D132" s="769"/>
      <c r="E132" s="248" t="e">
        <f t="shared" si="16"/>
        <v>#DIV/0!</v>
      </c>
      <c r="F132" s="247" t="e">
        <f t="shared" si="17"/>
        <v>#DIV/0!</v>
      </c>
      <c r="G132" s="315" t="e">
        <f t="shared" si="18"/>
        <v>#DIV/0!</v>
      </c>
    </row>
    <row r="133" spans="1:7">
      <c r="A133" s="74">
        <f t="shared" si="15"/>
        <v>24</v>
      </c>
      <c r="B133" s="828" t="s">
        <v>1249</v>
      </c>
      <c r="C133" s="250"/>
      <c r="D133" s="250"/>
      <c r="E133" s="842" t="e">
        <f t="shared" si="16"/>
        <v>#DIV/0!</v>
      </c>
      <c r="F133" s="250" t="e">
        <f t="shared" si="17"/>
        <v>#DIV/0!</v>
      </c>
      <c r="G133" s="251" t="e">
        <f t="shared" si="18"/>
        <v>#DIV/0!</v>
      </c>
    </row>
    <row r="134" spans="1:7">
      <c r="A134" s="74">
        <f t="shared" si="15"/>
        <v>25</v>
      </c>
      <c r="B134" s="57" t="s">
        <v>1657</v>
      </c>
      <c r="C134" s="975"/>
      <c r="D134" s="975"/>
      <c r="E134" s="976">
        <f>'WP_ADIT Prorate'!Q37</f>
        <v>0</v>
      </c>
      <c r="F134" s="976"/>
      <c r="G134" s="976">
        <f>SUM(E134:F134)</f>
        <v>0</v>
      </c>
    </row>
    <row r="135" spans="1:7">
      <c r="A135" s="74">
        <f t="shared" si="15"/>
        <v>26</v>
      </c>
      <c r="B135" s="57" t="s">
        <v>113</v>
      </c>
      <c r="C135" s="315">
        <f>SUM(C123:C133)</f>
        <v>0</v>
      </c>
      <c r="D135" s="315">
        <f>SUM(D123:D133)</f>
        <v>0</v>
      </c>
      <c r="E135" s="315" t="e">
        <f>SUM(E123:E134)</f>
        <v>#DIV/0!</v>
      </c>
      <c r="F135" s="315" t="e">
        <f>SUM(F123:F133)</f>
        <v>#DIV/0!</v>
      </c>
      <c r="G135" s="315" t="e">
        <f>SUM(G123:G134)</f>
        <v>#DIV/0!</v>
      </c>
    </row>
    <row r="136" spans="1:7">
      <c r="A136" s="74">
        <f t="shared" si="15"/>
        <v>27</v>
      </c>
      <c r="C136" s="315"/>
      <c r="D136" s="315"/>
      <c r="E136" s="315"/>
      <c r="F136" s="315"/>
      <c r="G136" s="315"/>
    </row>
    <row r="137" spans="1:7">
      <c r="A137" s="74">
        <f t="shared" si="15"/>
        <v>28</v>
      </c>
      <c r="B137" s="57" t="s">
        <v>1306</v>
      </c>
      <c r="C137" s="315"/>
      <c r="D137" s="315"/>
      <c r="E137" s="315"/>
      <c r="F137" s="315"/>
      <c r="G137" s="315"/>
    </row>
    <row r="138" spans="1:7">
      <c r="A138" s="74">
        <f t="shared" si="15"/>
        <v>29</v>
      </c>
      <c r="B138" s="828" t="s">
        <v>955</v>
      </c>
      <c r="C138" s="247"/>
      <c r="D138" s="247"/>
      <c r="E138" s="248" t="e">
        <f t="shared" ref="E138:E143" si="19">AVERAGE(C138:D138)</f>
        <v>#DIV/0!</v>
      </c>
      <c r="F138" s="247"/>
      <c r="G138" s="315" t="e">
        <f t="shared" ref="G138:G143" si="20">SUM(E138:F138)</f>
        <v>#DIV/0!</v>
      </c>
    </row>
    <row r="139" spans="1:7">
      <c r="A139" s="74">
        <f t="shared" si="15"/>
        <v>30</v>
      </c>
      <c r="B139" s="828" t="s">
        <v>954</v>
      </c>
      <c r="C139" s="247"/>
      <c r="D139" s="247"/>
      <c r="E139" s="248" t="e">
        <f t="shared" si="19"/>
        <v>#DIV/0!</v>
      </c>
      <c r="F139" s="247"/>
      <c r="G139" s="315" t="e">
        <f t="shared" si="20"/>
        <v>#DIV/0!</v>
      </c>
    </row>
    <row r="140" spans="1:7">
      <c r="A140" s="74">
        <f t="shared" si="15"/>
        <v>31</v>
      </c>
      <c r="B140" s="828" t="s">
        <v>1250</v>
      </c>
      <c r="C140" s="247"/>
      <c r="D140" s="247"/>
      <c r="E140" s="248" t="e">
        <f t="shared" si="19"/>
        <v>#DIV/0!</v>
      </c>
      <c r="F140" s="247"/>
      <c r="G140" s="315" t="e">
        <f t="shared" si="20"/>
        <v>#DIV/0!</v>
      </c>
    </row>
    <row r="141" spans="1:7">
      <c r="A141" s="74">
        <f t="shared" si="15"/>
        <v>32</v>
      </c>
      <c r="B141" s="828" t="s">
        <v>1009</v>
      </c>
      <c r="C141" s="247"/>
      <c r="D141" s="247"/>
      <c r="E141" s="248" t="e">
        <f t="shared" si="19"/>
        <v>#DIV/0!</v>
      </c>
      <c r="F141" s="247"/>
      <c r="G141" s="315" t="e">
        <f t="shared" si="20"/>
        <v>#DIV/0!</v>
      </c>
    </row>
    <row r="142" spans="1:7">
      <c r="A142" s="74">
        <f t="shared" si="15"/>
        <v>33</v>
      </c>
      <c r="B142" s="828" t="s">
        <v>982</v>
      </c>
      <c r="C142" s="769"/>
      <c r="D142" s="769"/>
      <c r="E142" s="248" t="e">
        <f t="shared" si="19"/>
        <v>#DIV/0!</v>
      </c>
      <c r="F142" s="247"/>
      <c r="G142" s="315" t="e">
        <f t="shared" si="20"/>
        <v>#DIV/0!</v>
      </c>
    </row>
    <row r="143" spans="1:7">
      <c r="A143" s="74">
        <f t="shared" si="15"/>
        <v>34</v>
      </c>
      <c r="B143" s="828" t="s">
        <v>1251</v>
      </c>
      <c r="C143" s="250"/>
      <c r="D143" s="250"/>
      <c r="E143" s="842" t="e">
        <f t="shared" si="19"/>
        <v>#DIV/0!</v>
      </c>
      <c r="F143" s="250"/>
      <c r="G143" s="251" t="e">
        <f t="shared" si="20"/>
        <v>#DIV/0!</v>
      </c>
    </row>
    <row r="144" spans="1:7">
      <c r="A144" s="74">
        <f t="shared" si="15"/>
        <v>35</v>
      </c>
      <c r="B144" s="57" t="s">
        <v>1657</v>
      </c>
      <c r="C144" s="975"/>
      <c r="D144" s="975"/>
      <c r="E144" s="976">
        <f>'WP_ADIT Prorate'!Q68</f>
        <v>0</v>
      </c>
      <c r="F144" s="976"/>
      <c r="G144" s="976">
        <f>SUM(E144:F144)</f>
        <v>0</v>
      </c>
    </row>
    <row r="145" spans="1:8">
      <c r="A145" s="74">
        <f t="shared" si="15"/>
        <v>36</v>
      </c>
      <c r="B145" s="57" t="s">
        <v>114</v>
      </c>
      <c r="C145" s="315">
        <f>SUM(C138:C143)</f>
        <v>0</v>
      </c>
      <c r="D145" s="315">
        <f>SUM(D138:D143)</f>
        <v>0</v>
      </c>
      <c r="E145" s="315" t="e">
        <f>SUM(E138:E144)</f>
        <v>#DIV/0!</v>
      </c>
      <c r="F145" s="315">
        <f>SUM(F138:F143)</f>
        <v>0</v>
      </c>
      <c r="G145" s="315" t="e">
        <f>SUM(G138:G144)</f>
        <v>#DIV/0!</v>
      </c>
    </row>
    <row r="146" spans="1:8">
      <c r="A146" s="74">
        <f t="shared" si="15"/>
        <v>37</v>
      </c>
      <c r="B146" s="183" t="s">
        <v>1594</v>
      </c>
      <c r="C146" s="315"/>
      <c r="D146" s="315"/>
      <c r="E146" s="315"/>
      <c r="F146" s="315"/>
      <c r="G146" s="834">
        <f>WSA</f>
        <v>0</v>
      </c>
      <c r="H146" s="93"/>
    </row>
    <row r="147" spans="1:8">
      <c r="A147" s="74">
        <f t="shared" si="15"/>
        <v>38</v>
      </c>
      <c r="B147" s="183" t="s">
        <v>1307</v>
      </c>
      <c r="C147" s="315"/>
      <c r="D147" s="315"/>
      <c r="E147" s="315"/>
      <c r="F147" s="315"/>
      <c r="G147" s="315" t="e">
        <f>G145*G146</f>
        <v>#DIV/0!</v>
      </c>
    </row>
    <row r="148" spans="1:8">
      <c r="A148" s="74">
        <f t="shared" si="15"/>
        <v>39</v>
      </c>
      <c r="C148" s="315"/>
      <c r="D148" s="315"/>
      <c r="E148" s="315"/>
      <c r="F148" s="315"/>
      <c r="G148" s="315"/>
    </row>
    <row r="149" spans="1:8">
      <c r="A149" s="74">
        <f t="shared" si="15"/>
        <v>40</v>
      </c>
      <c r="B149" s="72" t="s">
        <v>1013</v>
      </c>
      <c r="C149" s="315"/>
      <c r="D149" s="315"/>
      <c r="E149" s="315"/>
      <c r="F149" s="315"/>
      <c r="G149" s="315"/>
    </row>
    <row r="150" spans="1:8">
      <c r="A150" s="74">
        <f t="shared" si="15"/>
        <v>41</v>
      </c>
      <c r="B150" s="828" t="s">
        <v>1252</v>
      </c>
      <c r="C150" s="247"/>
      <c r="D150" s="247"/>
      <c r="E150" s="248" t="e">
        <f t="shared" ref="E150:E157" si="21">AVERAGE(C150:D150)</f>
        <v>#DIV/0!</v>
      </c>
      <c r="F150" s="247"/>
      <c r="G150" s="315" t="e">
        <f t="shared" ref="G150:G158" si="22">SUM(E150:F150)</f>
        <v>#DIV/0!</v>
      </c>
    </row>
    <row r="151" spans="1:8">
      <c r="A151" s="74">
        <f t="shared" si="15"/>
        <v>42</v>
      </c>
      <c r="B151" s="828" t="s">
        <v>1253</v>
      </c>
      <c r="C151" s="247"/>
      <c r="D151" s="247"/>
      <c r="E151" s="248" t="e">
        <f t="shared" si="21"/>
        <v>#DIV/0!</v>
      </c>
      <c r="F151" s="247"/>
      <c r="G151" s="315" t="e">
        <f t="shared" si="22"/>
        <v>#DIV/0!</v>
      </c>
    </row>
    <row r="152" spans="1:8">
      <c r="A152" s="74">
        <f t="shared" si="15"/>
        <v>43</v>
      </c>
      <c r="B152" s="828" t="s">
        <v>1061</v>
      </c>
      <c r="C152" s="247"/>
      <c r="D152" s="247"/>
      <c r="E152" s="248" t="e">
        <f t="shared" si="21"/>
        <v>#DIV/0!</v>
      </c>
      <c r="F152" s="247"/>
      <c r="G152" s="315" t="e">
        <f t="shared" si="22"/>
        <v>#DIV/0!</v>
      </c>
    </row>
    <row r="153" spans="1:8">
      <c r="A153" s="74">
        <f t="shared" si="15"/>
        <v>44</v>
      </c>
      <c r="B153" s="828" t="s">
        <v>1254</v>
      </c>
      <c r="C153" s="247"/>
      <c r="D153" s="247"/>
      <c r="E153" s="248" t="e">
        <f t="shared" si="21"/>
        <v>#DIV/0!</v>
      </c>
      <c r="F153" s="247"/>
      <c r="G153" s="315" t="e">
        <f t="shared" si="22"/>
        <v>#DIV/0!</v>
      </c>
    </row>
    <row r="154" spans="1:8">
      <c r="A154" s="74">
        <f t="shared" si="15"/>
        <v>45</v>
      </c>
      <c r="B154" s="828" t="s">
        <v>1714</v>
      </c>
      <c r="C154" s="247"/>
      <c r="D154" s="247"/>
      <c r="E154" s="248" t="e">
        <f t="shared" si="21"/>
        <v>#DIV/0!</v>
      </c>
      <c r="F154" s="247"/>
      <c r="G154" s="315" t="e">
        <f t="shared" si="22"/>
        <v>#DIV/0!</v>
      </c>
    </row>
    <row r="155" spans="1:8">
      <c r="A155" s="74">
        <f t="shared" si="15"/>
        <v>46</v>
      </c>
      <c r="B155" s="828" t="s">
        <v>1715</v>
      </c>
      <c r="C155" s="247"/>
      <c r="D155" s="247"/>
      <c r="E155" s="248" t="e">
        <f t="shared" si="21"/>
        <v>#DIV/0!</v>
      </c>
      <c r="F155" s="247"/>
      <c r="G155" s="315" t="e">
        <f t="shared" si="22"/>
        <v>#DIV/0!</v>
      </c>
    </row>
    <row r="156" spans="1:8">
      <c r="A156" s="74">
        <f t="shared" si="15"/>
        <v>47</v>
      </c>
      <c r="B156" s="828" t="s">
        <v>1738</v>
      </c>
      <c r="C156" s="247"/>
      <c r="D156" s="247"/>
      <c r="E156" s="248" t="e">
        <f t="shared" si="21"/>
        <v>#DIV/0!</v>
      </c>
      <c r="F156" s="247"/>
      <c r="G156" s="315" t="e">
        <f t="shared" si="22"/>
        <v>#DIV/0!</v>
      </c>
    </row>
    <row r="157" spans="1:8">
      <c r="A157" s="74">
        <f t="shared" si="15"/>
        <v>48</v>
      </c>
      <c r="B157" s="828" t="s">
        <v>1739</v>
      </c>
      <c r="C157" s="247"/>
      <c r="D157" s="247"/>
      <c r="E157" s="248" t="e">
        <f t="shared" si="21"/>
        <v>#DIV/0!</v>
      </c>
      <c r="F157" s="247" t="e">
        <f>-E157</f>
        <v>#DIV/0!</v>
      </c>
      <c r="G157" s="315" t="e">
        <f t="shared" si="22"/>
        <v>#DIV/0!</v>
      </c>
    </row>
    <row r="158" spans="1:8">
      <c r="A158" s="74">
        <f t="shared" si="15"/>
        <v>49</v>
      </c>
      <c r="B158" s="57" t="s">
        <v>1657</v>
      </c>
      <c r="C158" s="975"/>
      <c r="D158" s="975"/>
      <c r="E158" s="976">
        <f>'WP_ADIT Prorate'!Q99</f>
        <v>0</v>
      </c>
      <c r="F158" s="976"/>
      <c r="G158" s="976">
        <f t="shared" si="22"/>
        <v>0</v>
      </c>
    </row>
    <row r="159" spans="1:8">
      <c r="A159" s="74">
        <f t="shared" si="15"/>
        <v>50</v>
      </c>
      <c r="B159" s="72" t="s">
        <v>1063</v>
      </c>
      <c r="C159" s="315">
        <f>SUM(C150:C157)</f>
        <v>0</v>
      </c>
      <c r="D159" s="315">
        <f>SUM(D150:D157)</f>
        <v>0</v>
      </c>
      <c r="E159" s="315" t="e">
        <f>SUM(E150:E158)</f>
        <v>#DIV/0!</v>
      </c>
      <c r="F159" s="315" t="e">
        <f>SUM(F150:F157)</f>
        <v>#DIV/0!</v>
      </c>
      <c r="G159" s="315" t="e">
        <f>SUM(G150:G158)</f>
        <v>#DIV/0!</v>
      </c>
    </row>
    <row r="160" spans="1:8">
      <c r="A160" s="74">
        <f t="shared" si="15"/>
        <v>51</v>
      </c>
      <c r="B160" s="835" t="s">
        <v>1595</v>
      </c>
      <c r="C160" s="315"/>
      <c r="D160" s="315"/>
      <c r="E160" s="315"/>
      <c r="F160" s="315"/>
      <c r="G160" s="834">
        <f>NPA</f>
        <v>0</v>
      </c>
      <c r="H160" s="93"/>
    </row>
    <row r="161" spans="1:7">
      <c r="A161" s="74">
        <f t="shared" si="15"/>
        <v>52</v>
      </c>
      <c r="B161" s="835" t="s">
        <v>115</v>
      </c>
      <c r="C161" s="315"/>
      <c r="D161" s="315"/>
      <c r="E161" s="315"/>
      <c r="F161" s="315"/>
      <c r="G161" s="315" t="e">
        <f>G159*G160</f>
        <v>#DIV/0!</v>
      </c>
    </row>
    <row r="162" spans="1:7">
      <c r="A162" s="74">
        <f t="shared" si="15"/>
        <v>53</v>
      </c>
      <c r="C162" s="315"/>
      <c r="D162" s="315"/>
      <c r="E162" s="315"/>
      <c r="F162" s="315"/>
      <c r="G162" s="315"/>
    </row>
    <row r="163" spans="1:7">
      <c r="A163" s="74">
        <f t="shared" si="15"/>
        <v>54</v>
      </c>
      <c r="B163" s="72" t="s">
        <v>1010</v>
      </c>
      <c r="C163" s="315"/>
      <c r="D163" s="315"/>
      <c r="E163" s="315"/>
      <c r="F163" s="315"/>
      <c r="G163" s="315"/>
    </row>
    <row r="164" spans="1:7">
      <c r="A164" s="74">
        <f t="shared" si="15"/>
        <v>55</v>
      </c>
      <c r="B164" s="828" t="s">
        <v>1255</v>
      </c>
      <c r="C164" s="247"/>
      <c r="D164" s="247"/>
      <c r="E164" s="248" t="e">
        <f t="shared" ref="E164:E175" si="23">AVERAGE(C164:D164)</f>
        <v>#DIV/0!</v>
      </c>
      <c r="F164" s="247"/>
      <c r="G164" s="315" t="e">
        <f t="shared" ref="G164:G175" si="24">SUM(E164:F164)</f>
        <v>#DIV/0!</v>
      </c>
    </row>
    <row r="165" spans="1:7">
      <c r="A165" s="74">
        <f t="shared" si="15"/>
        <v>56</v>
      </c>
      <c r="B165" s="828" t="s">
        <v>1716</v>
      </c>
      <c r="C165" s="247"/>
      <c r="D165" s="247"/>
      <c r="E165" s="248" t="e">
        <f t="shared" si="23"/>
        <v>#DIV/0!</v>
      </c>
      <c r="F165" s="247"/>
      <c r="G165" s="315" t="e">
        <f t="shared" si="24"/>
        <v>#DIV/0!</v>
      </c>
    </row>
    <row r="166" spans="1:7">
      <c r="A166" s="74">
        <f t="shared" si="15"/>
        <v>57</v>
      </c>
      <c r="B166" s="828" t="s">
        <v>1258</v>
      </c>
      <c r="C166" s="247"/>
      <c r="D166" s="247"/>
      <c r="E166" s="248" t="e">
        <f t="shared" si="23"/>
        <v>#DIV/0!</v>
      </c>
      <c r="F166" s="247"/>
      <c r="G166" s="315" t="e">
        <f t="shared" si="24"/>
        <v>#DIV/0!</v>
      </c>
    </row>
    <row r="167" spans="1:7">
      <c r="A167" s="74">
        <f t="shared" si="15"/>
        <v>58</v>
      </c>
      <c r="B167" s="828" t="s">
        <v>1259</v>
      </c>
      <c r="C167" s="247"/>
      <c r="D167" s="247"/>
      <c r="E167" s="248" t="e">
        <f t="shared" si="23"/>
        <v>#DIV/0!</v>
      </c>
      <c r="F167" s="247"/>
      <c r="G167" s="315" t="e">
        <f t="shared" si="24"/>
        <v>#DIV/0!</v>
      </c>
    </row>
    <row r="168" spans="1:7">
      <c r="A168" s="74">
        <f t="shared" si="15"/>
        <v>59</v>
      </c>
      <c r="B168" s="828" t="s">
        <v>1260</v>
      </c>
      <c r="C168" s="247"/>
      <c r="D168" s="247"/>
      <c r="E168" s="248" t="e">
        <f t="shared" si="23"/>
        <v>#DIV/0!</v>
      </c>
      <c r="F168" s="247"/>
      <c r="G168" s="315" t="e">
        <f t="shared" si="24"/>
        <v>#DIV/0!</v>
      </c>
    </row>
    <row r="169" spans="1:7">
      <c r="A169" s="74">
        <f t="shared" si="15"/>
        <v>60</v>
      </c>
      <c r="B169" s="828" t="s">
        <v>1717</v>
      </c>
      <c r="C169" s="247"/>
      <c r="D169" s="247"/>
      <c r="E169" s="248" t="e">
        <f t="shared" si="23"/>
        <v>#DIV/0!</v>
      </c>
      <c r="F169" s="247"/>
      <c r="G169" s="315" t="e">
        <f>SUM(E169:F169)</f>
        <v>#DIV/0!</v>
      </c>
    </row>
    <row r="170" spans="1:7">
      <c r="A170" s="74">
        <f t="shared" si="15"/>
        <v>61</v>
      </c>
      <c r="B170" s="828" t="s">
        <v>1261</v>
      </c>
      <c r="C170" s="247"/>
      <c r="D170" s="247"/>
      <c r="E170" s="248" t="e">
        <f t="shared" si="23"/>
        <v>#DIV/0!</v>
      </c>
      <c r="F170" s="247"/>
      <c r="G170" s="315" t="e">
        <f t="shared" si="24"/>
        <v>#DIV/0!</v>
      </c>
    </row>
    <row r="171" spans="1:7">
      <c r="A171" s="74">
        <f t="shared" si="15"/>
        <v>62</v>
      </c>
      <c r="B171" s="828" t="s">
        <v>1262</v>
      </c>
      <c r="C171" s="247"/>
      <c r="D171" s="247"/>
      <c r="E171" s="248" t="e">
        <f t="shared" si="23"/>
        <v>#DIV/0!</v>
      </c>
      <c r="F171" s="247"/>
      <c r="G171" s="315" t="e">
        <f t="shared" si="24"/>
        <v>#DIV/0!</v>
      </c>
    </row>
    <row r="172" spans="1:7">
      <c r="A172" s="74">
        <f t="shared" si="15"/>
        <v>63</v>
      </c>
      <c r="B172" s="828" t="s">
        <v>1718</v>
      </c>
      <c r="C172" s="247"/>
      <c r="D172" s="247"/>
      <c r="E172" s="248" t="e">
        <f t="shared" si="23"/>
        <v>#DIV/0!</v>
      </c>
      <c r="F172" s="247"/>
      <c r="G172" s="315" t="e">
        <f t="shared" si="24"/>
        <v>#DIV/0!</v>
      </c>
    </row>
    <row r="173" spans="1:7">
      <c r="A173" s="74">
        <f t="shared" si="15"/>
        <v>64</v>
      </c>
      <c r="B173" s="828" t="s">
        <v>1263</v>
      </c>
      <c r="C173" s="247"/>
      <c r="D173" s="247"/>
      <c r="E173" s="248" t="e">
        <f t="shared" si="23"/>
        <v>#DIV/0!</v>
      </c>
      <c r="F173" s="247"/>
      <c r="G173" s="315" t="e">
        <f t="shared" si="24"/>
        <v>#DIV/0!</v>
      </c>
    </row>
    <row r="174" spans="1:7">
      <c r="A174" s="74">
        <f t="shared" si="15"/>
        <v>65</v>
      </c>
      <c r="B174" s="828"/>
      <c r="C174" s="247"/>
      <c r="D174" s="247"/>
      <c r="E174" s="248" t="e">
        <f t="shared" si="23"/>
        <v>#DIV/0!</v>
      </c>
      <c r="F174" s="247"/>
      <c r="G174" s="315" t="e">
        <f t="shared" si="24"/>
        <v>#DIV/0!</v>
      </c>
    </row>
    <row r="175" spans="1:7">
      <c r="A175" s="74">
        <f t="shared" si="15"/>
        <v>66</v>
      </c>
      <c r="B175" s="828"/>
      <c r="C175" s="250"/>
      <c r="D175" s="250"/>
      <c r="E175" s="842" t="e">
        <f t="shared" si="23"/>
        <v>#DIV/0!</v>
      </c>
      <c r="F175" s="250"/>
      <c r="G175" s="251" t="e">
        <f t="shared" si="24"/>
        <v>#DIV/0!</v>
      </c>
    </row>
    <row r="176" spans="1:7">
      <c r="A176" s="74">
        <f t="shared" si="15"/>
        <v>67</v>
      </c>
      <c r="B176" s="72" t="s">
        <v>1264</v>
      </c>
      <c r="C176" s="315">
        <f>SUM(C164:C175)</f>
        <v>0</v>
      </c>
      <c r="D176" s="315">
        <f>SUM(D164:D175)</f>
        <v>0</v>
      </c>
      <c r="E176" s="315" t="e">
        <f>SUM(E164:E175)</f>
        <v>#DIV/0!</v>
      </c>
      <c r="F176" s="315">
        <f>SUM(F164:F175)</f>
        <v>0</v>
      </c>
      <c r="G176" s="315" t="e">
        <f>SUM(G164:G175)</f>
        <v>#DIV/0!</v>
      </c>
    </row>
    <row r="177" spans="1:7">
      <c r="A177" s="74">
        <f t="shared" si="15"/>
        <v>68</v>
      </c>
      <c r="B177" s="183" t="s">
        <v>1594</v>
      </c>
      <c r="C177" s="315"/>
      <c r="D177" s="315"/>
      <c r="E177" s="315"/>
      <c r="F177" s="315"/>
      <c r="G177" s="834">
        <f>G146</f>
        <v>0</v>
      </c>
    </row>
    <row r="178" spans="1:7">
      <c r="A178" s="74">
        <f t="shared" ref="A178:A200" si="25">A177+1</f>
        <v>69</v>
      </c>
      <c r="B178" s="183" t="s">
        <v>116</v>
      </c>
      <c r="C178" s="315"/>
      <c r="D178" s="315"/>
      <c r="E178" s="315"/>
      <c r="F178" s="315"/>
      <c r="G178" s="315" t="e">
        <f>G176*G177</f>
        <v>#DIV/0!</v>
      </c>
    </row>
    <row r="179" spans="1:7">
      <c r="A179" s="74">
        <f t="shared" si="25"/>
        <v>70</v>
      </c>
      <c r="C179" s="315"/>
      <c r="D179" s="315"/>
      <c r="E179" s="315"/>
      <c r="F179" s="315"/>
      <c r="G179" s="315"/>
    </row>
    <row r="180" spans="1:7">
      <c r="A180" s="74">
        <f t="shared" si="25"/>
        <v>71</v>
      </c>
      <c r="B180" s="72" t="s">
        <v>1064</v>
      </c>
      <c r="C180" s="315"/>
      <c r="D180" s="315"/>
      <c r="E180" s="315"/>
      <c r="F180" s="315"/>
      <c r="G180" s="315"/>
    </row>
    <row r="181" spans="1:7">
      <c r="A181" s="74">
        <f t="shared" si="25"/>
        <v>72</v>
      </c>
      <c r="B181" s="828" t="s">
        <v>1265</v>
      </c>
      <c r="C181" s="247"/>
      <c r="D181" s="247"/>
      <c r="E181" s="248" t="e">
        <f t="shared" ref="E181:E189" si="26">AVERAGE(C181:D181)</f>
        <v>#DIV/0!</v>
      </c>
      <c r="F181" s="247" t="e">
        <f t="shared" ref="F181:F189" si="27">-E181</f>
        <v>#DIV/0!</v>
      </c>
      <c r="G181" s="315" t="e">
        <f t="shared" ref="G181:G189" si="28">SUM(E181:F181)</f>
        <v>#DIV/0!</v>
      </c>
    </row>
    <row r="182" spans="1:7">
      <c r="A182" s="74">
        <f t="shared" si="25"/>
        <v>73</v>
      </c>
      <c r="B182" s="828" t="s">
        <v>1266</v>
      </c>
      <c r="C182" s="247"/>
      <c r="D182" s="247"/>
      <c r="E182" s="248" t="e">
        <f t="shared" si="26"/>
        <v>#DIV/0!</v>
      </c>
      <c r="F182" s="247" t="e">
        <f t="shared" si="27"/>
        <v>#DIV/0!</v>
      </c>
      <c r="G182" s="315" t="e">
        <f t="shared" si="28"/>
        <v>#DIV/0!</v>
      </c>
    </row>
    <row r="183" spans="1:7">
      <c r="A183" s="74">
        <f t="shared" si="25"/>
        <v>74</v>
      </c>
      <c r="B183" s="828" t="s">
        <v>1267</v>
      </c>
      <c r="C183" s="247"/>
      <c r="D183" s="247"/>
      <c r="E183" s="248" t="e">
        <f t="shared" si="26"/>
        <v>#DIV/0!</v>
      </c>
      <c r="F183" s="247" t="e">
        <f t="shared" si="27"/>
        <v>#DIV/0!</v>
      </c>
      <c r="G183" s="315" t="e">
        <f t="shared" si="28"/>
        <v>#DIV/0!</v>
      </c>
    </row>
    <row r="184" spans="1:7">
      <c r="A184" s="74">
        <f t="shared" si="25"/>
        <v>75</v>
      </c>
      <c r="B184" s="828" t="s">
        <v>1300</v>
      </c>
      <c r="C184" s="247"/>
      <c r="D184" s="247"/>
      <c r="E184" s="248" t="e">
        <f t="shared" si="26"/>
        <v>#DIV/0!</v>
      </c>
      <c r="F184" s="247" t="e">
        <f t="shared" si="27"/>
        <v>#DIV/0!</v>
      </c>
      <c r="G184" s="315" t="e">
        <f t="shared" si="28"/>
        <v>#DIV/0!</v>
      </c>
    </row>
    <row r="185" spans="1:7">
      <c r="A185" s="74">
        <f t="shared" si="25"/>
        <v>76</v>
      </c>
      <c r="B185" s="828" t="s">
        <v>1302</v>
      </c>
      <c r="C185" s="247"/>
      <c r="D185" s="247"/>
      <c r="E185" s="248" t="e">
        <f t="shared" si="26"/>
        <v>#DIV/0!</v>
      </c>
      <c r="F185" s="247" t="e">
        <f t="shared" si="27"/>
        <v>#DIV/0!</v>
      </c>
      <c r="G185" s="315" t="e">
        <f t="shared" si="28"/>
        <v>#DIV/0!</v>
      </c>
    </row>
    <row r="186" spans="1:7">
      <c r="A186" s="74">
        <f t="shared" si="25"/>
        <v>77</v>
      </c>
      <c r="B186" s="828" t="s">
        <v>1719</v>
      </c>
      <c r="C186" s="247"/>
      <c r="D186" s="247"/>
      <c r="E186" s="248" t="e">
        <f t="shared" si="26"/>
        <v>#DIV/0!</v>
      </c>
      <c r="F186" s="247" t="e">
        <f t="shared" si="27"/>
        <v>#DIV/0!</v>
      </c>
      <c r="G186" s="315" t="e">
        <f t="shared" si="28"/>
        <v>#DIV/0!</v>
      </c>
    </row>
    <row r="187" spans="1:7">
      <c r="A187" s="74">
        <f>A186+1</f>
        <v>78</v>
      </c>
      <c r="B187" s="828" t="s">
        <v>1720</v>
      </c>
      <c r="C187" s="247"/>
      <c r="D187" s="247"/>
      <c r="E187" s="248" t="e">
        <f t="shared" si="26"/>
        <v>#DIV/0!</v>
      </c>
      <c r="F187" s="247" t="e">
        <f t="shared" si="27"/>
        <v>#DIV/0!</v>
      </c>
      <c r="G187" s="315" t="e">
        <f t="shared" si="28"/>
        <v>#DIV/0!</v>
      </c>
    </row>
    <row r="188" spans="1:7">
      <c r="A188" s="74">
        <f t="shared" si="25"/>
        <v>79</v>
      </c>
      <c r="B188" s="828" t="s">
        <v>1066</v>
      </c>
      <c r="C188" s="769"/>
      <c r="D188" s="769"/>
      <c r="E188" s="248" t="e">
        <f t="shared" si="26"/>
        <v>#DIV/0!</v>
      </c>
      <c r="F188" s="247" t="e">
        <f t="shared" si="27"/>
        <v>#DIV/0!</v>
      </c>
      <c r="G188" s="315" t="e">
        <f t="shared" si="28"/>
        <v>#DIV/0!</v>
      </c>
    </row>
    <row r="189" spans="1:7">
      <c r="A189" s="74">
        <f t="shared" si="25"/>
        <v>80</v>
      </c>
      <c r="B189" s="828" t="s">
        <v>1197</v>
      </c>
      <c r="C189" s="250"/>
      <c r="D189" s="250"/>
      <c r="E189" s="842" t="e">
        <f t="shared" si="26"/>
        <v>#DIV/0!</v>
      </c>
      <c r="F189" s="250" t="e">
        <f t="shared" si="27"/>
        <v>#DIV/0!</v>
      </c>
      <c r="G189" s="251" t="e">
        <f t="shared" si="28"/>
        <v>#DIV/0!</v>
      </c>
    </row>
    <row r="190" spans="1:7">
      <c r="A190" s="74">
        <f t="shared" si="25"/>
        <v>81</v>
      </c>
      <c r="B190" s="72" t="s">
        <v>1303</v>
      </c>
      <c r="C190" s="315">
        <f>SUM(C181:C189)</f>
        <v>0</v>
      </c>
      <c r="D190" s="315">
        <f>SUM(D181:D189)</f>
        <v>0</v>
      </c>
      <c r="E190" s="315" t="e">
        <f>SUM(E181:E189)</f>
        <v>#DIV/0!</v>
      </c>
      <c r="F190" s="315" t="e">
        <f>SUM(F181:F189)</f>
        <v>#DIV/0!</v>
      </c>
      <c r="G190" s="315" t="e">
        <f>SUM(G181:G189)</f>
        <v>#DIV/0!</v>
      </c>
    </row>
    <row r="191" spans="1:7">
      <c r="A191" s="74">
        <f t="shared" si="25"/>
        <v>82</v>
      </c>
      <c r="C191" s="315"/>
      <c r="D191" s="315"/>
      <c r="E191" s="315"/>
      <c r="F191" s="315"/>
      <c r="G191" s="315"/>
    </row>
    <row r="192" spans="1:7">
      <c r="A192" s="74">
        <f t="shared" si="25"/>
        <v>83</v>
      </c>
      <c r="B192" s="72" t="s">
        <v>110</v>
      </c>
      <c r="C192" s="315"/>
      <c r="D192" s="315"/>
      <c r="E192" s="315"/>
      <c r="F192" s="315"/>
      <c r="G192" s="315"/>
    </row>
    <row r="193" spans="1:7">
      <c r="A193" s="74">
        <f t="shared" si="25"/>
        <v>84</v>
      </c>
      <c r="B193" s="828" t="s">
        <v>1204</v>
      </c>
      <c r="C193" s="247"/>
      <c r="D193" s="247"/>
      <c r="E193" s="248" t="e">
        <f>AVERAGE(C193:D193)</f>
        <v>#DIV/0!</v>
      </c>
      <c r="F193" s="247" t="e">
        <f>-E193</f>
        <v>#DIV/0!</v>
      </c>
      <c r="G193" s="315" t="e">
        <f>SUM(E193:F193)</f>
        <v>#DIV/0!</v>
      </c>
    </row>
    <row r="194" spans="1:7">
      <c r="A194" s="74">
        <f t="shared" si="25"/>
        <v>85</v>
      </c>
      <c r="B194" s="828" t="s">
        <v>1068</v>
      </c>
      <c r="C194" s="769"/>
      <c r="D194" s="769"/>
      <c r="E194" s="248" t="e">
        <f>AVERAGE(C194:D194)</f>
        <v>#DIV/0!</v>
      </c>
      <c r="F194" s="247" t="e">
        <f>-E194</f>
        <v>#DIV/0!</v>
      </c>
      <c r="G194" s="315" t="e">
        <f>SUM(E194:F194)</f>
        <v>#DIV/0!</v>
      </c>
    </row>
    <row r="195" spans="1:7">
      <c r="A195" s="74">
        <f t="shared" si="25"/>
        <v>86</v>
      </c>
      <c r="B195" s="828" t="s">
        <v>1740</v>
      </c>
      <c r="C195" s="769"/>
      <c r="D195" s="769"/>
      <c r="E195" s="248" t="e">
        <f>AVERAGE(C195:D195)</f>
        <v>#DIV/0!</v>
      </c>
      <c r="F195" s="247" t="e">
        <f>-E195</f>
        <v>#DIV/0!</v>
      </c>
      <c r="G195" s="315" t="e">
        <f>SUM(E195:F195)</f>
        <v>#DIV/0!</v>
      </c>
    </row>
    <row r="196" spans="1:7">
      <c r="A196" s="74">
        <f t="shared" si="25"/>
        <v>87</v>
      </c>
      <c r="B196" s="828" t="s">
        <v>1346</v>
      </c>
      <c r="C196" s="247"/>
      <c r="D196" s="247"/>
      <c r="E196" s="248" t="e">
        <f>AVERAGE(C196:D196)</f>
        <v>#DIV/0!</v>
      </c>
      <c r="F196" s="247" t="e">
        <f>-E196</f>
        <v>#DIV/0!</v>
      </c>
      <c r="G196" s="315" t="e">
        <f>SUM(E196:F196)</f>
        <v>#DIV/0!</v>
      </c>
    </row>
    <row r="197" spans="1:7">
      <c r="A197" s="74">
        <f t="shared" si="25"/>
        <v>88</v>
      </c>
      <c r="B197" s="72" t="s">
        <v>1304</v>
      </c>
      <c r="C197" s="315">
        <f>SUM(C193:C196)</f>
        <v>0</v>
      </c>
      <c r="D197" s="315">
        <f>SUM(D193:D196)</f>
        <v>0</v>
      </c>
      <c r="E197" s="315" t="e">
        <f>SUM(E193:E196)</f>
        <v>#DIV/0!</v>
      </c>
      <c r="F197" s="315" t="e">
        <f>SUM(F193:F196)</f>
        <v>#DIV/0!</v>
      </c>
      <c r="G197" s="315" t="e">
        <f>SUM(G193:G196)</f>
        <v>#DIV/0!</v>
      </c>
    </row>
    <row r="198" spans="1:7">
      <c r="A198" s="74">
        <f t="shared" si="25"/>
        <v>89</v>
      </c>
      <c r="C198" s="315"/>
      <c r="D198" s="315"/>
      <c r="E198" s="315"/>
      <c r="F198" s="315"/>
      <c r="G198" s="315"/>
    </row>
    <row r="199" spans="1:7" ht="13.5" thickBot="1">
      <c r="A199" s="74">
        <f t="shared" si="25"/>
        <v>90</v>
      </c>
    </row>
    <row r="200" spans="1:7" ht="13.5" thickBot="1">
      <c r="A200" s="74">
        <f t="shared" si="25"/>
        <v>91</v>
      </c>
      <c r="B200" s="843" t="s">
        <v>1312</v>
      </c>
      <c r="C200" s="844">
        <f>C197+C190+C176+C159+C145+C135+C120+C114</f>
        <v>0</v>
      </c>
      <c r="D200" s="844">
        <f>D197+D190+D176+D159+D145+D135+D120+D114</f>
        <v>0</v>
      </c>
      <c r="E200" s="838" t="e">
        <f>E197+E190+E176+E159+E145+E135+E120+E114</f>
        <v>#DIV/0!</v>
      </c>
      <c r="G200" s="838" t="e">
        <f>G197+G190+G178+G161+G147+G135+G120+G114</f>
        <v>#DIV/0!</v>
      </c>
    </row>
    <row r="201" spans="1:7" ht="13.5" thickTop="1"/>
    <row r="202" spans="1:7" ht="27" customHeight="1">
      <c r="A202" s="839" t="s">
        <v>876</v>
      </c>
      <c r="B202" s="1219" t="s">
        <v>209</v>
      </c>
      <c r="C202" s="1219"/>
      <c r="D202" s="1219"/>
      <c r="E202" s="1219"/>
      <c r="F202" s="1219"/>
      <c r="G202" s="1219"/>
    </row>
    <row r="203" spans="1:7">
      <c r="A203" s="420" t="s">
        <v>876</v>
      </c>
      <c r="B203" s="314" t="s">
        <v>1324</v>
      </c>
      <c r="C203" s="971"/>
      <c r="D203" s="971"/>
      <c r="E203" s="971"/>
      <c r="F203" s="971"/>
      <c r="G203" s="313"/>
    </row>
    <row r="204" spans="1:7">
      <c r="A204" s="74" t="s">
        <v>876</v>
      </c>
      <c r="B204" s="72" t="s">
        <v>1658</v>
      </c>
    </row>
    <row r="205" spans="1:7">
      <c r="A205" s="57"/>
    </row>
  </sheetData>
  <mergeCells count="4">
    <mergeCell ref="C7:D7"/>
    <mergeCell ref="B98:G98"/>
    <mergeCell ref="C107:D107"/>
    <mergeCell ref="B202:G202"/>
  </mergeCells>
  <pageMargins left="0.7" right="0.7" top="0.75" bottom="0.75" header="0.3" footer="0.3"/>
  <pageSetup scale="53" orientation="portrait" r:id="rId1"/>
  <rowBreaks count="1" manualBreakCount="1">
    <brk id="10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enableFormatConditionsCalculation="0"/>
  <dimension ref="A1:W67"/>
  <sheetViews>
    <sheetView workbookViewId="0">
      <selection activeCell="P14" sqref="P14"/>
    </sheetView>
  </sheetViews>
  <sheetFormatPr defaultRowHeight="12.75"/>
  <cols>
    <col min="1" max="1" width="7.85546875" customWidth="1"/>
    <col min="2" max="2" width="17.5703125" customWidth="1"/>
    <col min="3" max="3" width="13" customWidth="1"/>
    <col min="4" max="4" width="16.28515625" customWidth="1"/>
    <col min="5" max="5" width="15.28515625" customWidth="1"/>
    <col min="6" max="6" width="13" style="143" customWidth="1"/>
    <col min="7" max="7" width="2.7109375" style="143" customWidth="1"/>
    <col min="8" max="8" width="14.28515625" bestFit="1" customWidth="1"/>
    <col min="9" max="9" width="16" customWidth="1"/>
    <col min="10" max="10" width="15.5703125" customWidth="1"/>
    <col min="11" max="11" width="13.28515625" bestFit="1" customWidth="1"/>
    <col min="12" max="12" width="2.7109375" customWidth="1"/>
    <col min="13" max="13" width="13.28515625" bestFit="1" customWidth="1"/>
    <col min="14" max="14" width="15.5703125" customWidth="1"/>
    <col min="15" max="15" width="15.42578125" customWidth="1"/>
    <col min="16" max="16" width="13.28515625" bestFit="1" customWidth="1"/>
    <col min="17" max="17" width="2.7109375" customWidth="1"/>
    <col min="18" max="18" width="12.85546875" customWidth="1"/>
    <col min="19" max="19" width="15.42578125" customWidth="1"/>
    <col min="20" max="20" width="15.28515625" customWidth="1"/>
    <col min="21" max="21" width="14.7109375" bestFit="1" customWidth="1"/>
  </cols>
  <sheetData>
    <row r="1" spans="1:23">
      <c r="A1" s="98" t="str">
        <f>'Cover Page'!A5</f>
        <v>Public Service Company of Colorado</v>
      </c>
      <c r="U1" s="191" t="str">
        <f>'Table of Contents'!A18</f>
        <v>Table 10</v>
      </c>
    </row>
    <row r="2" spans="1:23">
      <c r="A2" s="98" t="str">
        <f>'Cover Page'!A6</f>
        <v>Transmission Formula Rate Template</v>
      </c>
      <c r="U2" s="133" t="str">
        <f ca="1">MID(CELL("filename",$A$1),FIND("]",CELL("filename",$A$1))+1,LEN(CELL("filename",$A$1))-FIND("]",CELL("filename",$A$1)))</f>
        <v>WP_B-4</v>
      </c>
    </row>
    <row r="3" spans="1:23">
      <c r="A3" s="98" t="str">
        <f>'Cover Page'!A7</f>
        <v>Twelve Months Ended December 31, 2018</v>
      </c>
    </row>
    <row r="4" spans="1:23">
      <c r="A4" s="131" t="s">
        <v>1348</v>
      </c>
    </row>
    <row r="5" spans="1:23">
      <c r="A5" s="131"/>
    </row>
    <row r="6" spans="1:23" ht="16.5" customHeight="1">
      <c r="A6" s="192" t="s">
        <v>990</v>
      </c>
      <c r="B6" s="193"/>
      <c r="C6" s="193"/>
      <c r="D6" s="193"/>
      <c r="E6" s="193"/>
      <c r="F6" s="194"/>
      <c r="G6" s="194"/>
      <c r="H6" s="193"/>
      <c r="I6" s="193"/>
      <c r="J6" s="193"/>
      <c r="K6" s="193"/>
      <c r="L6" s="193"/>
      <c r="M6" s="193"/>
      <c r="N6" s="193"/>
      <c r="O6" s="193"/>
      <c r="P6" s="193"/>
      <c r="Q6" s="193"/>
      <c r="R6" s="193"/>
      <c r="S6" s="193"/>
      <c r="T6" s="193"/>
      <c r="U6" s="195"/>
    </row>
    <row r="7" spans="1:23" ht="51" customHeight="1">
      <c r="A7" s="196"/>
      <c r="B7" s="167"/>
      <c r="C7" s="1223" t="s">
        <v>1349</v>
      </c>
      <c r="D7" s="1224"/>
      <c r="E7" s="1224"/>
      <c r="F7" s="1225"/>
      <c r="H7" s="1223" t="s">
        <v>1350</v>
      </c>
      <c r="I7" s="1224"/>
      <c r="J7" s="1224"/>
      <c r="K7" s="1225"/>
      <c r="L7" s="197"/>
      <c r="M7" s="1223" t="s">
        <v>1383</v>
      </c>
      <c r="N7" s="1224"/>
      <c r="O7" s="1224"/>
      <c r="P7" s="1225"/>
      <c r="Q7" s="198"/>
      <c r="R7" s="1223" t="s">
        <v>1384</v>
      </c>
      <c r="S7" s="1224"/>
      <c r="T7" s="1224"/>
      <c r="U7" s="1225"/>
      <c r="W7" s="98" t="s">
        <v>793</v>
      </c>
    </row>
    <row r="8" spans="1:23" ht="51">
      <c r="A8" s="199" t="s">
        <v>1385</v>
      </c>
      <c r="B8" s="1" t="s">
        <v>917</v>
      </c>
      <c r="C8" s="148" t="s">
        <v>1386</v>
      </c>
      <c r="D8" s="148" t="s">
        <v>1387</v>
      </c>
      <c r="E8" s="148" t="s">
        <v>1388</v>
      </c>
      <c r="F8" s="188" t="s">
        <v>1097</v>
      </c>
      <c r="G8" s="1"/>
      <c r="H8" s="148" t="s">
        <v>1386</v>
      </c>
      <c r="I8" s="148" t="s">
        <v>1387</v>
      </c>
      <c r="J8" s="148" t="s">
        <v>1388</v>
      </c>
      <c r="K8" s="188" t="s">
        <v>1103</v>
      </c>
      <c r="L8" s="188"/>
      <c r="M8" s="148" t="s">
        <v>1104</v>
      </c>
      <c r="N8" s="148" t="s">
        <v>1105</v>
      </c>
      <c r="O8" s="148" t="s">
        <v>1106</v>
      </c>
      <c r="P8" s="188" t="s">
        <v>1107</v>
      </c>
      <c r="Q8" s="1"/>
      <c r="R8" s="731" t="s">
        <v>1386</v>
      </c>
      <c r="S8" s="148" t="s">
        <v>1387</v>
      </c>
      <c r="T8" s="148" t="s">
        <v>1388</v>
      </c>
      <c r="U8" s="200" t="s">
        <v>1109</v>
      </c>
    </row>
    <row r="9" spans="1:23">
      <c r="A9" s="196"/>
      <c r="B9" s="167"/>
      <c r="C9" s="115" t="s">
        <v>363</v>
      </c>
      <c r="D9" s="115" t="s">
        <v>362</v>
      </c>
      <c r="E9" s="115" t="s">
        <v>364</v>
      </c>
      <c r="F9" s="115" t="s">
        <v>365</v>
      </c>
      <c r="G9" s="115"/>
      <c r="H9" s="115" t="s">
        <v>366</v>
      </c>
      <c r="I9" s="115" t="s">
        <v>367</v>
      </c>
      <c r="J9" s="115" t="s">
        <v>368</v>
      </c>
      <c r="K9" s="115" t="s">
        <v>369</v>
      </c>
      <c r="L9" s="115"/>
      <c r="M9" s="115" t="s">
        <v>370</v>
      </c>
      <c r="N9" s="115" t="s">
        <v>371</v>
      </c>
      <c r="O9" s="115" t="s">
        <v>372</v>
      </c>
      <c r="P9" s="115" t="s">
        <v>373</v>
      </c>
      <c r="Q9" s="115"/>
      <c r="R9" s="115" t="s">
        <v>374</v>
      </c>
      <c r="S9" s="115" t="s">
        <v>375</v>
      </c>
      <c r="T9" s="115" t="s">
        <v>1108</v>
      </c>
      <c r="U9" s="691" t="s">
        <v>1110</v>
      </c>
    </row>
    <row r="10" spans="1:23">
      <c r="A10" s="196"/>
      <c r="B10" s="179" t="s">
        <v>1389</v>
      </c>
      <c r="C10" s="167"/>
      <c r="D10" s="167"/>
      <c r="E10" s="167"/>
      <c r="H10" s="167"/>
      <c r="I10" s="167"/>
      <c r="J10" s="167"/>
      <c r="K10" s="143"/>
      <c r="L10" s="143"/>
      <c r="M10" s="143"/>
      <c r="N10" s="143"/>
      <c r="O10" s="143"/>
      <c r="P10" s="167"/>
      <c r="Q10" s="167"/>
      <c r="R10" s="167"/>
      <c r="S10" s="167"/>
      <c r="T10" s="167"/>
      <c r="U10" s="198"/>
    </row>
    <row r="11" spans="1:23">
      <c r="A11" s="202">
        <v>1</v>
      </c>
      <c r="B11" s="167"/>
      <c r="C11" s="167"/>
      <c r="D11" s="167"/>
      <c r="E11" s="167"/>
      <c r="H11" s="167"/>
      <c r="I11" s="167"/>
      <c r="J11" s="167"/>
      <c r="K11" s="143"/>
      <c r="L11" s="143"/>
      <c r="M11" s="143"/>
      <c r="N11" s="143"/>
      <c r="O11" s="143"/>
      <c r="P11" s="167"/>
      <c r="Q11" s="167"/>
      <c r="R11" s="167"/>
      <c r="S11" s="167"/>
      <c r="T11" s="167"/>
      <c r="U11" s="198"/>
    </row>
    <row r="12" spans="1:23">
      <c r="A12" s="202">
        <f t="shared" ref="A12:A25" si="0">A11+1</f>
        <v>2</v>
      </c>
      <c r="B12" s="203" t="s">
        <v>914</v>
      </c>
      <c r="C12" s="137">
        <v>210144389.86000001</v>
      </c>
      <c r="D12" s="137">
        <v>10104475.559999999</v>
      </c>
      <c r="E12" s="137">
        <v>5308256.91</v>
      </c>
      <c r="F12" s="139">
        <f t="shared" ref="F12:F24" si="1">SUM(C12:E12)</f>
        <v>225557122.33000001</v>
      </c>
      <c r="G12" s="139"/>
      <c r="H12" s="137">
        <v>31521658.359999999</v>
      </c>
      <c r="I12" s="137">
        <v>1102314.44</v>
      </c>
      <c r="J12" s="137">
        <v>579086.69999999995</v>
      </c>
      <c r="K12" s="139">
        <f t="shared" ref="K12:K24" si="2">SUM(H12:J12)</f>
        <v>33203059.5</v>
      </c>
      <c r="L12" s="139"/>
      <c r="M12" s="139">
        <f t="shared" ref="M12:M24" si="3">C12-H12</f>
        <v>178622731.5</v>
      </c>
      <c r="N12" s="139">
        <f t="shared" ref="N12:N24" si="4">D12-I12</f>
        <v>9002161.1199999992</v>
      </c>
      <c r="O12" s="139">
        <f t="shared" ref="O12:O24" si="5">E12-J12</f>
        <v>4729170.21</v>
      </c>
      <c r="P12" s="204">
        <f t="shared" ref="P12:P24" si="6">SUM(M12:O12)</f>
        <v>192354062.83000001</v>
      </c>
      <c r="Q12" s="167"/>
      <c r="R12" s="167"/>
      <c r="S12" s="167"/>
      <c r="T12" s="167"/>
      <c r="U12" s="198"/>
    </row>
    <row r="13" spans="1:23" ht="15.75">
      <c r="A13" s="202">
        <f t="shared" si="0"/>
        <v>3</v>
      </c>
      <c r="B13" s="203" t="s">
        <v>956</v>
      </c>
      <c r="C13" s="137">
        <v>210144389.86000001</v>
      </c>
      <c r="D13" s="137">
        <v>10104475.559999999</v>
      </c>
      <c r="E13" s="137">
        <v>5308256.91</v>
      </c>
      <c r="F13" s="139">
        <f t="shared" si="1"/>
        <v>225557122.33000001</v>
      </c>
      <c r="G13" s="139"/>
      <c r="H13" s="137">
        <v>31959459.169999998</v>
      </c>
      <c r="I13" s="137">
        <v>1117624.3999999999</v>
      </c>
      <c r="J13" s="137">
        <v>587129.59</v>
      </c>
      <c r="K13" s="139">
        <f t="shared" si="2"/>
        <v>33664213.159999996</v>
      </c>
      <c r="L13" s="139"/>
      <c r="M13" s="139">
        <f t="shared" si="3"/>
        <v>178184930.69000003</v>
      </c>
      <c r="N13" s="139">
        <f t="shared" si="4"/>
        <v>8986851.1599999983</v>
      </c>
      <c r="O13" s="139">
        <f t="shared" si="5"/>
        <v>4721127.32</v>
      </c>
      <c r="P13" s="204">
        <f t="shared" si="6"/>
        <v>191892909.17000002</v>
      </c>
      <c r="Q13" s="167"/>
      <c r="R13" s="137">
        <v>437800.81</v>
      </c>
      <c r="S13" s="137">
        <v>15309.96</v>
      </c>
      <c r="T13" s="137">
        <v>8042.89</v>
      </c>
      <c r="U13" s="205">
        <f t="shared" ref="U13:U24" si="7">SUM(R13:T13)</f>
        <v>461153.66000000003</v>
      </c>
      <c r="W13" s="738"/>
    </row>
    <row r="14" spans="1:23">
      <c r="A14" s="202">
        <f t="shared" si="0"/>
        <v>4</v>
      </c>
      <c r="B14" s="203" t="s">
        <v>904</v>
      </c>
      <c r="C14" s="137">
        <v>210144389.86000001</v>
      </c>
      <c r="D14" s="137">
        <v>10104475.559999999</v>
      </c>
      <c r="E14" s="137">
        <v>5308256.91</v>
      </c>
      <c r="F14" s="139">
        <f t="shared" si="1"/>
        <v>225557122.33000001</v>
      </c>
      <c r="G14" s="139"/>
      <c r="H14" s="137">
        <v>32397259.979999997</v>
      </c>
      <c r="I14" s="137">
        <v>1132934.3600000001</v>
      </c>
      <c r="J14" s="137">
        <v>595172.48</v>
      </c>
      <c r="K14" s="139">
        <f t="shared" si="2"/>
        <v>34125366.819999993</v>
      </c>
      <c r="L14" s="139"/>
      <c r="M14" s="139">
        <f t="shared" si="3"/>
        <v>177747129.88000003</v>
      </c>
      <c r="N14" s="139">
        <f t="shared" si="4"/>
        <v>8971541.1999999993</v>
      </c>
      <c r="O14" s="139">
        <f t="shared" si="5"/>
        <v>4713084.43</v>
      </c>
      <c r="P14" s="204">
        <f t="shared" si="6"/>
        <v>191431755.51000002</v>
      </c>
      <c r="Q14" s="167"/>
      <c r="R14" s="137">
        <v>437800.81</v>
      </c>
      <c r="S14" s="137">
        <v>15309.96</v>
      </c>
      <c r="T14" s="137">
        <v>8042.89</v>
      </c>
      <c r="U14" s="205">
        <f t="shared" si="7"/>
        <v>461153.66000000003</v>
      </c>
    </row>
    <row r="15" spans="1:23">
      <c r="A15" s="202">
        <f t="shared" si="0"/>
        <v>5</v>
      </c>
      <c r="B15" s="203" t="s">
        <v>905</v>
      </c>
      <c r="C15" s="137">
        <v>210144389.86000001</v>
      </c>
      <c r="D15" s="137">
        <v>10104475.559999999</v>
      </c>
      <c r="E15" s="137">
        <v>5308256.91</v>
      </c>
      <c r="F15" s="139">
        <f t="shared" si="1"/>
        <v>225557122.33000001</v>
      </c>
      <c r="G15" s="139"/>
      <c r="H15" s="137">
        <v>32835060.789999999</v>
      </c>
      <c r="I15" s="137">
        <v>1148244.3199999998</v>
      </c>
      <c r="J15" s="137">
        <v>603215.37</v>
      </c>
      <c r="K15" s="139">
        <f t="shared" si="2"/>
        <v>34586520.479999997</v>
      </c>
      <c r="L15" s="139"/>
      <c r="M15" s="139">
        <f t="shared" si="3"/>
        <v>177309329.07000002</v>
      </c>
      <c r="N15" s="139">
        <f t="shared" si="4"/>
        <v>8956231.2399999984</v>
      </c>
      <c r="O15" s="139">
        <f t="shared" si="5"/>
        <v>4705041.54</v>
      </c>
      <c r="P15" s="204">
        <f t="shared" si="6"/>
        <v>190970601.85000002</v>
      </c>
      <c r="Q15" s="167"/>
      <c r="R15" s="137">
        <v>437800.81</v>
      </c>
      <c r="S15" s="137">
        <v>15309.96</v>
      </c>
      <c r="T15" s="137">
        <v>8042.89</v>
      </c>
      <c r="U15" s="205">
        <f t="shared" si="7"/>
        <v>461153.66000000003</v>
      </c>
    </row>
    <row r="16" spans="1:23">
      <c r="A16" s="202">
        <f t="shared" si="0"/>
        <v>6</v>
      </c>
      <c r="B16" s="203" t="s">
        <v>906</v>
      </c>
      <c r="C16" s="137">
        <v>210144389.86000001</v>
      </c>
      <c r="D16" s="137">
        <v>10104475.559999999</v>
      </c>
      <c r="E16" s="137">
        <v>5308256.91</v>
      </c>
      <c r="F16" s="139">
        <f t="shared" si="1"/>
        <v>225557122.33000001</v>
      </c>
      <c r="G16" s="139"/>
      <c r="H16" s="137">
        <v>33272861.600000001</v>
      </c>
      <c r="I16" s="137">
        <v>1163554.28</v>
      </c>
      <c r="J16" s="137">
        <v>611258.26</v>
      </c>
      <c r="K16" s="139">
        <f t="shared" si="2"/>
        <v>35047674.140000001</v>
      </c>
      <c r="L16" s="139"/>
      <c r="M16" s="139">
        <f t="shared" si="3"/>
        <v>176871528.26000002</v>
      </c>
      <c r="N16" s="139">
        <f t="shared" si="4"/>
        <v>8940921.2799999993</v>
      </c>
      <c r="O16" s="139">
        <f>E16-J16</f>
        <v>4696998.6500000004</v>
      </c>
      <c r="P16" s="204">
        <f t="shared" si="6"/>
        <v>190509448.19000003</v>
      </c>
      <c r="Q16" s="167"/>
      <c r="R16" s="137">
        <v>437800.81</v>
      </c>
      <c r="S16" s="137">
        <v>15309.96</v>
      </c>
      <c r="T16" s="137">
        <v>8042.89</v>
      </c>
      <c r="U16" s="205">
        <f t="shared" si="7"/>
        <v>461153.66000000003</v>
      </c>
    </row>
    <row r="17" spans="1:21">
      <c r="A17" s="202">
        <f t="shared" si="0"/>
        <v>7</v>
      </c>
      <c r="B17" s="203" t="s">
        <v>907</v>
      </c>
      <c r="C17" s="137">
        <v>210144389.86000001</v>
      </c>
      <c r="D17" s="137">
        <v>10104475.559999999</v>
      </c>
      <c r="E17" s="137">
        <v>5308256.91</v>
      </c>
      <c r="F17" s="139">
        <f t="shared" si="1"/>
        <v>225557122.33000001</v>
      </c>
      <c r="G17" s="139"/>
      <c r="H17" s="137">
        <v>33710662.409999996</v>
      </c>
      <c r="I17" s="137">
        <v>1178864.24</v>
      </c>
      <c r="J17" s="137">
        <v>619301.15</v>
      </c>
      <c r="K17" s="139">
        <f t="shared" si="2"/>
        <v>35508827.799999997</v>
      </c>
      <c r="L17" s="139"/>
      <c r="M17" s="139">
        <f t="shared" si="3"/>
        <v>176433727.45000002</v>
      </c>
      <c r="N17" s="139">
        <f t="shared" si="4"/>
        <v>8925611.3199999984</v>
      </c>
      <c r="O17" s="139">
        <f t="shared" si="5"/>
        <v>4688955.76</v>
      </c>
      <c r="P17" s="204">
        <f t="shared" si="6"/>
        <v>190048294.53</v>
      </c>
      <c r="Q17" s="167"/>
      <c r="R17" s="137">
        <v>437800.81</v>
      </c>
      <c r="S17" s="137">
        <v>15309.96</v>
      </c>
      <c r="T17" s="137">
        <v>8042.89</v>
      </c>
      <c r="U17" s="205">
        <f t="shared" si="7"/>
        <v>461153.66000000003</v>
      </c>
    </row>
    <row r="18" spans="1:21">
      <c r="A18" s="202">
        <f t="shared" si="0"/>
        <v>8</v>
      </c>
      <c r="B18" s="203" t="s">
        <v>908</v>
      </c>
      <c r="C18" s="137">
        <v>210144389.86000001</v>
      </c>
      <c r="D18" s="137">
        <v>10104475.559999999</v>
      </c>
      <c r="E18" s="137">
        <v>5308256.91</v>
      </c>
      <c r="F18" s="139">
        <f t="shared" si="1"/>
        <v>225557122.33000001</v>
      </c>
      <c r="G18" s="139"/>
      <c r="H18" s="137">
        <v>34148463.219999999</v>
      </c>
      <c r="I18" s="137">
        <v>1194174.2</v>
      </c>
      <c r="J18" s="137">
        <v>627344.04</v>
      </c>
      <c r="K18" s="139">
        <f t="shared" si="2"/>
        <v>35969981.460000001</v>
      </c>
      <c r="L18" s="139"/>
      <c r="M18" s="139">
        <f t="shared" si="3"/>
        <v>175995926.64000002</v>
      </c>
      <c r="N18" s="139">
        <f t="shared" si="4"/>
        <v>8910301.3599999994</v>
      </c>
      <c r="O18" s="139">
        <f t="shared" si="5"/>
        <v>4680912.87</v>
      </c>
      <c r="P18" s="204">
        <f t="shared" si="6"/>
        <v>189587140.87</v>
      </c>
      <c r="Q18" s="167"/>
      <c r="R18" s="137">
        <v>437800.81</v>
      </c>
      <c r="S18" s="137">
        <v>15309.96</v>
      </c>
      <c r="T18" s="137">
        <v>8042.89</v>
      </c>
      <c r="U18" s="205">
        <f t="shared" si="7"/>
        <v>461153.66000000003</v>
      </c>
    </row>
    <row r="19" spans="1:21">
      <c r="A19" s="202">
        <f t="shared" si="0"/>
        <v>9</v>
      </c>
      <c r="B19" s="203" t="s">
        <v>909</v>
      </c>
      <c r="C19" s="137">
        <v>210144389.86000001</v>
      </c>
      <c r="D19" s="137">
        <v>10104475.559999999</v>
      </c>
      <c r="E19" s="137">
        <v>5308256.91</v>
      </c>
      <c r="F19" s="139">
        <f t="shared" si="1"/>
        <v>225557122.33000001</v>
      </c>
      <c r="G19" s="139"/>
      <c r="H19" s="137">
        <v>34586264.030000001</v>
      </c>
      <c r="I19" s="137">
        <v>1209484.1600000001</v>
      </c>
      <c r="J19" s="137">
        <v>635386.93000000005</v>
      </c>
      <c r="K19" s="139">
        <f t="shared" si="2"/>
        <v>36431135.119999997</v>
      </c>
      <c r="L19" s="139"/>
      <c r="M19" s="139">
        <f t="shared" si="3"/>
        <v>175558125.83000001</v>
      </c>
      <c r="N19" s="139">
        <f t="shared" si="4"/>
        <v>8894991.3999999985</v>
      </c>
      <c r="O19" s="139">
        <f t="shared" si="5"/>
        <v>4672869.9800000004</v>
      </c>
      <c r="P19" s="204">
        <f t="shared" si="6"/>
        <v>189125987.21000001</v>
      </c>
      <c r="Q19" s="167"/>
      <c r="R19" s="137">
        <v>437800.81</v>
      </c>
      <c r="S19" s="137">
        <v>15309.96</v>
      </c>
      <c r="T19" s="137">
        <v>8042.89</v>
      </c>
      <c r="U19" s="205">
        <f t="shared" si="7"/>
        <v>461153.66000000003</v>
      </c>
    </row>
    <row r="20" spans="1:21">
      <c r="A20" s="202">
        <f t="shared" si="0"/>
        <v>10</v>
      </c>
      <c r="B20" s="203" t="s">
        <v>910</v>
      </c>
      <c r="C20" s="137">
        <v>210144389.86000001</v>
      </c>
      <c r="D20" s="137">
        <v>10104475.559999999</v>
      </c>
      <c r="E20" s="137">
        <v>5308256.91</v>
      </c>
      <c r="F20" s="139">
        <f t="shared" si="1"/>
        <v>225557122.33000001</v>
      </c>
      <c r="G20" s="139"/>
      <c r="H20" s="137">
        <v>35024064.839999996</v>
      </c>
      <c r="I20" s="137">
        <v>1224794.1199999999</v>
      </c>
      <c r="J20" s="137">
        <v>643429.81999999995</v>
      </c>
      <c r="K20" s="139">
        <f t="shared" si="2"/>
        <v>36892288.779999994</v>
      </c>
      <c r="L20" s="139"/>
      <c r="M20" s="139">
        <f t="shared" si="3"/>
        <v>175120325.02000001</v>
      </c>
      <c r="N20" s="139">
        <f t="shared" si="4"/>
        <v>8879681.4399999995</v>
      </c>
      <c r="O20" s="139">
        <f t="shared" si="5"/>
        <v>4664827.09</v>
      </c>
      <c r="P20" s="204">
        <f t="shared" si="6"/>
        <v>188664833.55000001</v>
      </c>
      <c r="Q20" s="167"/>
      <c r="R20" s="137">
        <v>437800.81</v>
      </c>
      <c r="S20" s="137">
        <v>15309.96</v>
      </c>
      <c r="T20" s="137">
        <v>8042.89</v>
      </c>
      <c r="U20" s="205">
        <f t="shared" si="7"/>
        <v>461153.66000000003</v>
      </c>
    </row>
    <row r="21" spans="1:21">
      <c r="A21" s="202">
        <f t="shared" si="0"/>
        <v>11</v>
      </c>
      <c r="B21" s="203" t="s">
        <v>911</v>
      </c>
      <c r="C21" s="137">
        <v>210144389.86000001</v>
      </c>
      <c r="D21" s="137">
        <v>10104475.559999999</v>
      </c>
      <c r="E21" s="137">
        <v>5308256.91</v>
      </c>
      <c r="F21" s="139">
        <f t="shared" si="1"/>
        <v>225557122.33000001</v>
      </c>
      <c r="G21" s="139"/>
      <c r="H21" s="137">
        <v>35461865.649999999</v>
      </c>
      <c r="I21" s="137">
        <v>1240104.08</v>
      </c>
      <c r="J21" s="137">
        <v>651472.71</v>
      </c>
      <c r="K21" s="139">
        <f t="shared" si="2"/>
        <v>37353442.439999998</v>
      </c>
      <c r="L21" s="139"/>
      <c r="M21" s="139">
        <f t="shared" si="3"/>
        <v>174682524.21000001</v>
      </c>
      <c r="N21" s="139">
        <f t="shared" si="4"/>
        <v>8864371.4799999986</v>
      </c>
      <c r="O21" s="139">
        <f t="shared" si="5"/>
        <v>4656784.2</v>
      </c>
      <c r="P21" s="204">
        <f t="shared" si="6"/>
        <v>188203679.88999999</v>
      </c>
      <c r="Q21" s="167"/>
      <c r="R21" s="137">
        <v>437800.81</v>
      </c>
      <c r="S21" s="137">
        <v>15309.96</v>
      </c>
      <c r="T21" s="137">
        <v>8042.89</v>
      </c>
      <c r="U21" s="205">
        <f t="shared" si="7"/>
        <v>461153.66000000003</v>
      </c>
    </row>
    <row r="22" spans="1:21">
      <c r="A22" s="202">
        <f t="shared" si="0"/>
        <v>12</v>
      </c>
      <c r="B22" s="203" t="s">
        <v>912</v>
      </c>
      <c r="C22" s="137">
        <v>210144389.86000001</v>
      </c>
      <c r="D22" s="137">
        <v>10104475.559999999</v>
      </c>
      <c r="E22" s="137">
        <v>5308256.91</v>
      </c>
      <c r="F22" s="139">
        <f t="shared" si="1"/>
        <v>225557122.33000001</v>
      </c>
      <c r="G22" s="139"/>
      <c r="H22" s="137">
        <v>35899666.460000001</v>
      </c>
      <c r="I22" s="137">
        <v>1255414.04</v>
      </c>
      <c r="J22" s="137">
        <v>659515.6</v>
      </c>
      <c r="K22" s="139">
        <f t="shared" si="2"/>
        <v>37814596.100000001</v>
      </c>
      <c r="L22" s="139"/>
      <c r="M22" s="139">
        <f t="shared" si="3"/>
        <v>174244723.40000001</v>
      </c>
      <c r="N22" s="139">
        <f t="shared" si="4"/>
        <v>8849061.5199999996</v>
      </c>
      <c r="O22" s="139">
        <f t="shared" si="5"/>
        <v>4648741.3100000005</v>
      </c>
      <c r="P22" s="204">
        <f t="shared" si="6"/>
        <v>187742526.23000002</v>
      </c>
      <c r="Q22" s="167"/>
      <c r="R22" s="137">
        <v>437800.81</v>
      </c>
      <c r="S22" s="137">
        <v>15309.96</v>
      </c>
      <c r="T22" s="137">
        <v>8042.89</v>
      </c>
      <c r="U22" s="205">
        <f t="shared" si="7"/>
        <v>461153.66000000003</v>
      </c>
    </row>
    <row r="23" spans="1:21">
      <c r="A23" s="202">
        <f t="shared" si="0"/>
        <v>13</v>
      </c>
      <c r="B23" s="203" t="s">
        <v>913</v>
      </c>
      <c r="C23" s="137">
        <v>210144389.86000001</v>
      </c>
      <c r="D23" s="137">
        <v>10104475.559999999</v>
      </c>
      <c r="E23" s="137">
        <v>5308256.91</v>
      </c>
      <c r="F23" s="139">
        <f t="shared" si="1"/>
        <v>225557122.33000001</v>
      </c>
      <c r="G23" s="139"/>
      <c r="H23" s="137">
        <v>36337467.269999996</v>
      </c>
      <c r="I23" s="137">
        <v>1270724</v>
      </c>
      <c r="J23" s="137">
        <v>667558.49</v>
      </c>
      <c r="K23" s="139">
        <f t="shared" si="2"/>
        <v>38275749.759999998</v>
      </c>
      <c r="L23" s="139"/>
      <c r="M23" s="139">
        <f t="shared" si="3"/>
        <v>173806922.59000003</v>
      </c>
      <c r="N23" s="139">
        <f t="shared" si="4"/>
        <v>8833751.5599999987</v>
      </c>
      <c r="O23" s="139">
        <f t="shared" si="5"/>
        <v>4640698.42</v>
      </c>
      <c r="P23" s="204">
        <f t="shared" si="6"/>
        <v>187281372.57000002</v>
      </c>
      <c r="Q23" s="167"/>
      <c r="R23" s="137">
        <v>437800.81</v>
      </c>
      <c r="S23" s="137">
        <v>15309.96</v>
      </c>
      <c r="T23" s="137">
        <v>8042.89</v>
      </c>
      <c r="U23" s="205">
        <f t="shared" si="7"/>
        <v>461153.66000000003</v>
      </c>
    </row>
    <row r="24" spans="1:21" ht="13.5" thickBot="1">
      <c r="A24" s="202">
        <f t="shared" si="0"/>
        <v>14</v>
      </c>
      <c r="B24" s="203" t="s">
        <v>914</v>
      </c>
      <c r="C24" s="138">
        <v>210144389.86000001</v>
      </c>
      <c r="D24" s="138">
        <v>10104475.559999999</v>
      </c>
      <c r="E24" s="138">
        <v>5308256.91</v>
      </c>
      <c r="F24" s="189">
        <f t="shared" si="1"/>
        <v>225557122.33000001</v>
      </c>
      <c r="G24" s="139"/>
      <c r="H24" s="138">
        <v>36775268.079999998</v>
      </c>
      <c r="I24" s="138">
        <v>1286033.96</v>
      </c>
      <c r="J24" s="138">
        <v>675601.38</v>
      </c>
      <c r="K24" s="189">
        <f t="shared" si="2"/>
        <v>38736903.420000002</v>
      </c>
      <c r="L24" s="139"/>
      <c r="M24" s="139">
        <f t="shared" si="3"/>
        <v>173369121.78000003</v>
      </c>
      <c r="N24" s="139">
        <f t="shared" si="4"/>
        <v>8818441.5999999978</v>
      </c>
      <c r="O24" s="139">
        <f t="shared" si="5"/>
        <v>4632655.53</v>
      </c>
      <c r="P24" s="185">
        <f t="shared" si="6"/>
        <v>186820218.91000003</v>
      </c>
      <c r="Q24" s="167"/>
      <c r="R24" s="147">
        <v>437800.81</v>
      </c>
      <c r="S24" s="147">
        <v>15309.96</v>
      </c>
      <c r="T24" s="137">
        <v>8042.89</v>
      </c>
      <c r="U24" s="207">
        <f t="shared" si="7"/>
        <v>461153.66000000003</v>
      </c>
    </row>
    <row r="25" spans="1:21" ht="26.25" thickBot="1">
      <c r="A25" s="202">
        <f t="shared" si="0"/>
        <v>15</v>
      </c>
      <c r="B25" s="537" t="str">
        <f>"13 Month Avg.     (Lns "&amp;A12&amp;" - "&amp;A24&amp;")"</f>
        <v>13 Month Avg.     (Lns 2 - 14)</v>
      </c>
      <c r="C25" s="139">
        <f>IF(C24=0,0,AVERAGE(C12:C24))</f>
        <v>210144389.86000007</v>
      </c>
      <c r="D25" s="139">
        <f>IF(D24=0,0,AVERAGE(D12:D24))</f>
        <v>10104475.560000001</v>
      </c>
      <c r="E25" s="139">
        <f>IF(E24=0,0,AVERAGE(E12:E24))</f>
        <v>5308256.9099999983</v>
      </c>
      <c r="F25" s="139">
        <f>IF(F24=0,0,AVERAGE(F12:F24))</f>
        <v>225557122.32999995</v>
      </c>
      <c r="G25" s="139"/>
      <c r="H25" s="139">
        <f>IF(H24=0,0,AVERAGE(H12:H24))</f>
        <v>34148463.219999991</v>
      </c>
      <c r="I25" s="139">
        <f>IF(I24=0,0,AVERAGE(I12:I24))</f>
        <v>1194174.2000000002</v>
      </c>
      <c r="J25" s="139">
        <f>IF(J24=0,0,AVERAGE(J12:J24))</f>
        <v>627344.03999999992</v>
      </c>
      <c r="K25" s="139">
        <f>IF(K24=0,0,AVERAGE(K12:K24))</f>
        <v>35969981.459999993</v>
      </c>
      <c r="L25" s="139"/>
      <c r="M25" s="142">
        <f>IF(M24=0,0,AVERAGE(M12:M24))</f>
        <v>175995926.64000005</v>
      </c>
      <c r="N25" s="142">
        <f>IF(N24=0,0,AVERAGE(N12:N24))</f>
        <v>8910301.3599999994</v>
      </c>
      <c r="O25" s="142">
        <f>IF(O24=0,0,AVERAGE(O12:O24))</f>
        <v>4680912.87</v>
      </c>
      <c r="P25" s="139">
        <f>IF(P24=0,0,AVERAGE(P12:P24))</f>
        <v>189587140.87000003</v>
      </c>
      <c r="Q25" s="204"/>
      <c r="R25" s="186">
        <f>SUM(R13:R24)</f>
        <v>5253609.7199999988</v>
      </c>
      <c r="S25" s="186">
        <f>SUM(S13:S24)</f>
        <v>183719.51999999993</v>
      </c>
      <c r="T25" s="186">
        <f>SUM(T13:T24)</f>
        <v>96514.680000000008</v>
      </c>
      <c r="U25" s="205">
        <f>SUM(U13:U24)</f>
        <v>5533843.9200000009</v>
      </c>
    </row>
    <row r="26" spans="1:21">
      <c r="A26" s="202"/>
      <c r="B26" s="208"/>
      <c r="C26" s="139"/>
      <c r="D26" s="139"/>
      <c r="E26" s="139"/>
      <c r="F26" s="139"/>
      <c r="G26" s="139"/>
      <c r="H26" s="139"/>
      <c r="I26" s="139"/>
      <c r="J26" s="139"/>
      <c r="K26" s="139"/>
      <c r="L26" s="139"/>
      <c r="M26" s="139"/>
      <c r="N26" s="139"/>
      <c r="O26" s="139"/>
      <c r="P26" s="139"/>
      <c r="Q26" s="204"/>
      <c r="R26" s="167"/>
      <c r="S26" s="167"/>
      <c r="T26" s="167"/>
      <c r="U26" s="198"/>
    </row>
    <row r="27" spans="1:21">
      <c r="A27" s="202"/>
      <c r="B27" s="181"/>
      <c r="C27" s="167"/>
      <c r="D27" s="167"/>
      <c r="E27" s="654"/>
      <c r="H27" s="167"/>
      <c r="I27" s="167"/>
      <c r="J27" s="167"/>
      <c r="K27" s="209"/>
      <c r="L27" s="209"/>
      <c r="M27" s="209"/>
      <c r="N27" s="209"/>
      <c r="O27" s="209"/>
      <c r="P27" s="209"/>
      <c r="Q27" s="209"/>
      <c r="R27" s="167"/>
      <c r="S27" s="167"/>
      <c r="T27" s="167"/>
      <c r="U27" s="198"/>
    </row>
    <row r="28" spans="1:21" ht="33.75" customHeight="1">
      <c r="A28" s="1220" t="s">
        <v>924</v>
      </c>
      <c r="B28" s="1221"/>
      <c r="C28" s="1221"/>
      <c r="D28" s="1221"/>
      <c r="E28" s="1221"/>
      <c r="F28" s="1221"/>
      <c r="G28" s="1221"/>
      <c r="H28" s="1221"/>
      <c r="I28" s="1221"/>
      <c r="J28" s="1221"/>
      <c r="K28" s="1221"/>
      <c r="L28" s="1221"/>
      <c r="M28" s="1221"/>
      <c r="N28" s="1221"/>
      <c r="O28" s="1221"/>
      <c r="P28" s="1221"/>
      <c r="Q28" s="1221"/>
      <c r="R28" s="1221"/>
      <c r="S28" s="1221"/>
      <c r="T28" s="1221"/>
      <c r="U28" s="1222"/>
    </row>
    <row r="29" spans="1:21">
      <c r="A29" s="210"/>
      <c r="B29" s="211"/>
      <c r="C29" s="211"/>
      <c r="D29" s="211"/>
      <c r="E29" s="211"/>
      <c r="F29" s="211"/>
      <c r="G29" s="211"/>
      <c r="H29" s="211"/>
      <c r="I29" s="211"/>
      <c r="J29" s="211"/>
      <c r="K29" s="211"/>
      <c r="L29" s="211"/>
      <c r="M29" s="211"/>
      <c r="N29" s="211"/>
      <c r="O29" s="211"/>
      <c r="P29" s="211"/>
      <c r="Q29" s="211"/>
      <c r="R29" s="167"/>
      <c r="S29" s="167"/>
      <c r="T29" s="167"/>
      <c r="U29" s="198"/>
    </row>
    <row r="30" spans="1:21">
      <c r="A30" s="210" t="s">
        <v>1390</v>
      </c>
      <c r="B30" s="211"/>
      <c r="C30" s="211"/>
      <c r="D30" s="211"/>
      <c r="E30" s="211"/>
      <c r="F30" s="211"/>
      <c r="G30" s="211"/>
      <c r="H30" s="211"/>
      <c r="I30" s="211"/>
      <c r="J30" s="211"/>
      <c r="K30" s="211"/>
      <c r="L30" s="211"/>
      <c r="M30" s="211"/>
      <c r="N30" s="211"/>
      <c r="O30" s="211"/>
      <c r="P30" s="211"/>
      <c r="Q30" s="211"/>
      <c r="R30" s="167"/>
      <c r="S30" s="167"/>
      <c r="T30" s="167"/>
      <c r="U30" s="198"/>
    </row>
    <row r="31" spans="1:21">
      <c r="A31" s="212" t="s">
        <v>392</v>
      </c>
      <c r="B31" s="211"/>
      <c r="C31" s="211"/>
      <c r="D31" s="211"/>
      <c r="E31" s="211"/>
      <c r="F31" s="211"/>
      <c r="G31" s="211"/>
      <c r="H31" s="211"/>
      <c r="I31" s="211"/>
      <c r="J31" s="211"/>
      <c r="K31" s="211"/>
      <c r="L31" s="211"/>
      <c r="M31" s="211"/>
      <c r="N31" s="211"/>
      <c r="O31" s="211"/>
      <c r="P31" s="211"/>
      <c r="Q31" s="211"/>
      <c r="R31" s="167"/>
      <c r="S31" s="167"/>
      <c r="T31" s="167"/>
      <c r="U31" s="198"/>
    </row>
    <row r="32" spans="1:21">
      <c r="A32" s="212" t="s">
        <v>393</v>
      </c>
      <c r="B32" s="211"/>
      <c r="C32" s="211"/>
      <c r="D32" s="211"/>
      <c r="E32" s="211"/>
      <c r="F32" s="211"/>
      <c r="G32" s="211"/>
      <c r="H32" s="211"/>
      <c r="I32" s="211"/>
      <c r="J32" s="211"/>
      <c r="K32" s="211"/>
      <c r="L32" s="211"/>
      <c r="M32" s="211"/>
      <c r="N32" s="211"/>
      <c r="O32" s="211"/>
      <c r="P32" s="211"/>
      <c r="Q32" s="211"/>
      <c r="R32" s="167"/>
      <c r="S32" s="167"/>
      <c r="T32" s="167"/>
      <c r="U32" s="198"/>
    </row>
    <row r="33" spans="1:21">
      <c r="A33" s="212" t="s">
        <v>394</v>
      </c>
      <c r="B33" s="211"/>
      <c r="C33" s="211"/>
      <c r="D33" s="211"/>
      <c r="E33" s="211"/>
      <c r="F33" s="211"/>
      <c r="G33" s="211"/>
      <c r="H33" s="211"/>
      <c r="I33" s="211"/>
      <c r="J33" s="211"/>
      <c r="K33" s="211"/>
      <c r="L33" s="211"/>
      <c r="M33" s="211"/>
      <c r="N33" s="211"/>
      <c r="O33" s="211"/>
      <c r="P33" s="211"/>
      <c r="Q33" s="211"/>
      <c r="R33" s="167"/>
      <c r="S33" s="167"/>
      <c r="T33" s="167"/>
      <c r="U33" s="198"/>
    </row>
    <row r="34" spans="1:21">
      <c r="A34" s="214"/>
      <c r="B34" s="215"/>
      <c r="C34" s="215"/>
      <c r="D34" s="215"/>
      <c r="E34" s="215"/>
      <c r="F34" s="216"/>
      <c r="G34" s="216"/>
      <c r="H34" s="215"/>
      <c r="I34" s="215"/>
      <c r="J34" s="215"/>
      <c r="K34" s="215"/>
      <c r="L34" s="215"/>
      <c r="M34" s="215"/>
      <c r="N34" s="215"/>
      <c r="O34" s="215"/>
      <c r="P34" s="215"/>
      <c r="Q34" s="215"/>
      <c r="R34" s="215"/>
      <c r="S34" s="215"/>
      <c r="T34" s="215"/>
      <c r="U34" s="217"/>
    </row>
    <row r="35" spans="1:21">
      <c r="A35" s="167"/>
      <c r="B35" s="167"/>
      <c r="C35" s="167"/>
      <c r="D35" s="167"/>
      <c r="E35" s="167"/>
      <c r="H35" s="167"/>
      <c r="I35" s="167"/>
      <c r="J35" s="167"/>
      <c r="K35" s="167"/>
      <c r="L35" s="167"/>
      <c r="M35" s="167"/>
      <c r="N35" s="167"/>
      <c r="O35" s="167"/>
      <c r="P35" s="167"/>
      <c r="Q35" s="167"/>
    </row>
    <row r="36" spans="1:21">
      <c r="A36" s="167"/>
      <c r="B36" s="167"/>
      <c r="C36" s="167"/>
      <c r="D36" s="167"/>
      <c r="E36" s="167"/>
      <c r="H36" s="167"/>
      <c r="I36" s="167"/>
      <c r="J36" s="167"/>
      <c r="K36" s="167"/>
      <c r="L36" s="167"/>
      <c r="M36" s="167"/>
      <c r="N36" s="167"/>
      <c r="O36" s="167"/>
      <c r="P36" s="167"/>
      <c r="Q36" s="167"/>
    </row>
    <row r="37" spans="1:21">
      <c r="A37" s="167"/>
      <c r="B37" s="167"/>
      <c r="C37" s="167"/>
      <c r="D37" s="167"/>
      <c r="E37" s="167"/>
      <c r="H37" s="167"/>
      <c r="I37" s="167"/>
      <c r="J37" s="167"/>
      <c r="K37" s="167"/>
      <c r="L37" s="167"/>
      <c r="M37" s="167"/>
      <c r="N37" s="167"/>
      <c r="O37" s="167"/>
      <c r="P37" s="167"/>
      <c r="Q37" s="167"/>
    </row>
    <row r="38" spans="1:21">
      <c r="A38" s="167"/>
      <c r="B38" s="167"/>
      <c r="C38" s="143"/>
      <c r="D38" s="143"/>
      <c r="E38" s="143"/>
      <c r="H38" s="167"/>
      <c r="I38" s="167"/>
      <c r="J38" s="167"/>
      <c r="K38" s="167"/>
      <c r="L38" s="167"/>
      <c r="M38" s="167"/>
      <c r="N38" s="167"/>
      <c r="O38" s="167"/>
      <c r="P38" s="167"/>
      <c r="Q38" s="167"/>
    </row>
    <row r="39" spans="1:21">
      <c r="A39" s="192" t="s">
        <v>1071</v>
      </c>
      <c r="B39" s="193"/>
      <c r="C39" s="193"/>
      <c r="D39" s="193"/>
      <c r="E39" s="193"/>
      <c r="F39" s="194"/>
      <c r="G39" s="194"/>
      <c r="H39" s="193"/>
      <c r="I39" s="193"/>
      <c r="J39" s="193"/>
      <c r="K39" s="193"/>
      <c r="L39" s="193"/>
      <c r="M39" s="193"/>
      <c r="N39" s="193"/>
      <c r="O39" s="193"/>
      <c r="P39" s="193"/>
      <c r="Q39" s="193"/>
      <c r="R39" s="193"/>
      <c r="S39" s="193"/>
      <c r="T39" s="193"/>
      <c r="U39" s="195"/>
    </row>
    <row r="40" spans="1:21" ht="39" customHeight="1">
      <c r="A40" s="196"/>
      <c r="B40" s="167"/>
      <c r="C40" s="1223" t="s">
        <v>1349</v>
      </c>
      <c r="D40" s="1224"/>
      <c r="E40" s="1224"/>
      <c r="F40" s="1225"/>
      <c r="H40" s="1223" t="s">
        <v>1350</v>
      </c>
      <c r="I40" s="1224"/>
      <c r="J40" s="1224"/>
      <c r="K40" s="1225"/>
      <c r="L40" s="197"/>
      <c r="M40" s="1223" t="s">
        <v>1383</v>
      </c>
      <c r="N40" s="1224"/>
      <c r="O40" s="1224"/>
      <c r="P40" s="1225"/>
      <c r="Q40" s="198"/>
      <c r="R40" s="1223" t="s">
        <v>1384</v>
      </c>
      <c r="S40" s="1224"/>
      <c r="T40" s="1224"/>
      <c r="U40" s="1225"/>
    </row>
    <row r="41" spans="1:21" ht="51">
      <c r="A41" s="199" t="s">
        <v>1385</v>
      </c>
      <c r="B41" s="1" t="s">
        <v>917</v>
      </c>
      <c r="C41" s="148" t="s">
        <v>1386</v>
      </c>
      <c r="D41" s="148" t="s">
        <v>1387</v>
      </c>
      <c r="E41" s="148" t="s">
        <v>1388</v>
      </c>
      <c r="F41" s="188" t="s">
        <v>1097</v>
      </c>
      <c r="G41" s="1"/>
      <c r="H41" s="148" t="s">
        <v>1386</v>
      </c>
      <c r="I41" s="148" t="s">
        <v>1387</v>
      </c>
      <c r="J41" s="148" t="s">
        <v>1388</v>
      </c>
      <c r="K41" s="188" t="s">
        <v>1103</v>
      </c>
      <c r="L41" s="188"/>
      <c r="M41" s="148" t="s">
        <v>1104</v>
      </c>
      <c r="N41" s="148" t="s">
        <v>1105</v>
      </c>
      <c r="O41" s="148" t="s">
        <v>1106</v>
      </c>
      <c r="P41" s="188" t="s">
        <v>1107</v>
      </c>
      <c r="Q41" s="1"/>
      <c r="R41" s="148" t="s">
        <v>1386</v>
      </c>
      <c r="S41" s="148" t="s">
        <v>1387</v>
      </c>
      <c r="T41" s="148" t="s">
        <v>1388</v>
      </c>
      <c r="U41" s="200" t="s">
        <v>1109</v>
      </c>
    </row>
    <row r="42" spans="1:21">
      <c r="A42" s="196"/>
      <c r="B42" s="167"/>
      <c r="C42" s="115" t="s">
        <v>363</v>
      </c>
      <c r="D42" s="115" t="s">
        <v>362</v>
      </c>
      <c r="E42" s="115" t="s">
        <v>364</v>
      </c>
      <c r="F42" s="115" t="s">
        <v>365</v>
      </c>
      <c r="G42" s="115"/>
      <c r="H42" s="115" t="s">
        <v>366</v>
      </c>
      <c r="I42" s="115" t="s">
        <v>367</v>
      </c>
      <c r="J42" s="115" t="s">
        <v>368</v>
      </c>
      <c r="K42" s="115" t="s">
        <v>369</v>
      </c>
      <c r="L42" s="115"/>
      <c r="M42" s="115" t="s">
        <v>370</v>
      </c>
      <c r="N42" s="115" t="s">
        <v>371</v>
      </c>
      <c r="O42" s="115" t="s">
        <v>372</v>
      </c>
      <c r="P42" s="115" t="s">
        <v>373</v>
      </c>
      <c r="Q42" s="115"/>
      <c r="R42" s="115" t="s">
        <v>374</v>
      </c>
      <c r="S42" s="115" t="s">
        <v>375</v>
      </c>
      <c r="T42" s="115" t="s">
        <v>1108</v>
      </c>
      <c r="U42" s="691" t="s">
        <v>1110</v>
      </c>
    </row>
    <row r="43" spans="1:21">
      <c r="A43" s="196"/>
      <c r="B43" s="179" t="s">
        <v>1391</v>
      </c>
      <c r="C43" s="167"/>
      <c r="D43" s="167"/>
      <c r="E43" s="167"/>
      <c r="H43" s="167"/>
      <c r="I43" s="167"/>
      <c r="J43" s="167"/>
      <c r="K43" s="143"/>
      <c r="L43" s="143"/>
      <c r="M43" s="143"/>
      <c r="N43" s="143"/>
      <c r="O43" s="143"/>
      <c r="P43" s="167"/>
      <c r="Q43" s="167"/>
      <c r="R43" s="167"/>
      <c r="S43" s="167"/>
      <c r="T43" s="167"/>
      <c r="U43" s="198"/>
    </row>
    <row r="44" spans="1:21">
      <c r="A44" s="202">
        <v>1</v>
      </c>
      <c r="B44" s="167"/>
      <c r="C44" s="167"/>
      <c r="D44" s="167"/>
      <c r="E44" s="167"/>
      <c r="H44" s="167"/>
      <c r="I44" s="167"/>
      <c r="J44" s="167"/>
      <c r="K44" s="143"/>
      <c r="L44" s="143"/>
      <c r="M44" s="143"/>
      <c r="N44" s="143"/>
      <c r="O44" s="143"/>
      <c r="P44" s="167"/>
      <c r="Q44" s="167"/>
      <c r="R44" s="167"/>
      <c r="S44" s="167"/>
      <c r="T44" s="167"/>
      <c r="U44" s="198"/>
    </row>
    <row r="45" spans="1:21">
      <c r="A45" s="202">
        <f t="shared" ref="A45:A58" si="8">A44+1</f>
        <v>2</v>
      </c>
      <c r="B45" s="203" t="s">
        <v>914</v>
      </c>
      <c r="C45" s="137"/>
      <c r="D45" s="137"/>
      <c r="E45" s="137"/>
      <c r="F45" s="139">
        <f>SUM(C45:E45)</f>
        <v>0</v>
      </c>
      <c r="G45" s="139"/>
      <c r="H45" s="137"/>
      <c r="I45" s="137"/>
      <c r="J45" s="137"/>
      <c r="K45" s="139">
        <f>SUM(H45:J45)</f>
        <v>0</v>
      </c>
      <c r="L45" s="139"/>
      <c r="M45" s="139">
        <f t="shared" ref="M45:M57" si="9">C45-H45</f>
        <v>0</v>
      </c>
      <c r="N45" s="139">
        <f t="shared" ref="N45:N57" si="10">D45-I45</f>
        <v>0</v>
      </c>
      <c r="O45" s="139">
        <f t="shared" ref="O45:O57" si="11">E45-J45</f>
        <v>0</v>
      </c>
      <c r="P45" s="204">
        <f t="shared" ref="P45:P57" si="12">SUM(M45:O45)</f>
        <v>0</v>
      </c>
      <c r="Q45" s="167"/>
      <c r="R45" s="167"/>
      <c r="S45" s="167"/>
      <c r="T45" s="167"/>
      <c r="U45" s="198"/>
    </row>
    <row r="46" spans="1:21">
      <c r="A46" s="202">
        <f t="shared" si="8"/>
        <v>3</v>
      </c>
      <c r="B46" s="203" t="s">
        <v>956</v>
      </c>
      <c r="C46" s="137"/>
      <c r="D46" s="137"/>
      <c r="E46" s="137"/>
      <c r="F46" s="139">
        <f t="shared" ref="F46:F57" si="13">SUM(C46:E46)</f>
        <v>0</v>
      </c>
      <c r="G46" s="139"/>
      <c r="H46" s="137"/>
      <c r="I46" s="137"/>
      <c r="J46" s="137"/>
      <c r="K46" s="139">
        <f t="shared" ref="K46:K57" si="14">SUM(H46:J46)</f>
        <v>0</v>
      </c>
      <c r="L46" s="139"/>
      <c r="M46" s="139">
        <f t="shared" si="9"/>
        <v>0</v>
      </c>
      <c r="N46" s="139">
        <f t="shared" si="10"/>
        <v>0</v>
      </c>
      <c r="O46" s="139">
        <f t="shared" si="11"/>
        <v>0</v>
      </c>
      <c r="P46" s="204">
        <f t="shared" si="12"/>
        <v>0</v>
      </c>
      <c r="Q46" s="167"/>
      <c r="R46" s="137"/>
      <c r="S46" s="137"/>
      <c r="T46" s="137"/>
      <c r="U46" s="205">
        <f t="shared" ref="U46:U57" si="15">SUM(R46:T46)</f>
        <v>0</v>
      </c>
    </row>
    <row r="47" spans="1:21">
      <c r="A47" s="202">
        <f t="shared" si="8"/>
        <v>4</v>
      </c>
      <c r="B47" s="203" t="s">
        <v>904</v>
      </c>
      <c r="C47" s="137"/>
      <c r="D47" s="137"/>
      <c r="E47" s="137"/>
      <c r="F47" s="139">
        <f t="shared" si="13"/>
        <v>0</v>
      </c>
      <c r="G47" s="139"/>
      <c r="H47" s="137"/>
      <c r="I47" s="137"/>
      <c r="J47" s="137"/>
      <c r="K47" s="139">
        <f t="shared" si="14"/>
        <v>0</v>
      </c>
      <c r="L47" s="139"/>
      <c r="M47" s="139">
        <f t="shared" si="9"/>
        <v>0</v>
      </c>
      <c r="N47" s="139">
        <f t="shared" si="10"/>
        <v>0</v>
      </c>
      <c r="O47" s="139">
        <f t="shared" si="11"/>
        <v>0</v>
      </c>
      <c r="P47" s="204">
        <f t="shared" si="12"/>
        <v>0</v>
      </c>
      <c r="Q47" s="167"/>
      <c r="R47" s="137"/>
      <c r="S47" s="137"/>
      <c r="T47" s="137"/>
      <c r="U47" s="205">
        <f t="shared" si="15"/>
        <v>0</v>
      </c>
    </row>
    <row r="48" spans="1:21">
      <c r="A48" s="202">
        <f t="shared" si="8"/>
        <v>5</v>
      </c>
      <c r="B48" s="203" t="s">
        <v>905</v>
      </c>
      <c r="C48" s="137"/>
      <c r="D48" s="137"/>
      <c r="E48" s="137"/>
      <c r="F48" s="139">
        <f t="shared" si="13"/>
        <v>0</v>
      </c>
      <c r="G48" s="139"/>
      <c r="H48" s="137"/>
      <c r="I48" s="137"/>
      <c r="J48" s="137"/>
      <c r="K48" s="139">
        <f t="shared" si="14"/>
        <v>0</v>
      </c>
      <c r="L48" s="139"/>
      <c r="M48" s="139">
        <f t="shared" si="9"/>
        <v>0</v>
      </c>
      <c r="N48" s="139">
        <f t="shared" si="10"/>
        <v>0</v>
      </c>
      <c r="O48" s="139">
        <f t="shared" si="11"/>
        <v>0</v>
      </c>
      <c r="P48" s="204">
        <f t="shared" si="12"/>
        <v>0</v>
      </c>
      <c r="Q48" s="167"/>
      <c r="R48" s="137"/>
      <c r="S48" s="137"/>
      <c r="T48" s="137"/>
      <c r="U48" s="205">
        <f t="shared" si="15"/>
        <v>0</v>
      </c>
    </row>
    <row r="49" spans="1:21">
      <c r="A49" s="202">
        <f t="shared" si="8"/>
        <v>6</v>
      </c>
      <c r="B49" s="203" t="s">
        <v>906</v>
      </c>
      <c r="C49" s="137"/>
      <c r="D49" s="137"/>
      <c r="E49" s="137"/>
      <c r="F49" s="139">
        <f t="shared" si="13"/>
        <v>0</v>
      </c>
      <c r="G49" s="139"/>
      <c r="H49" s="137"/>
      <c r="I49" s="137"/>
      <c r="J49" s="137"/>
      <c r="K49" s="139">
        <f t="shared" si="14"/>
        <v>0</v>
      </c>
      <c r="L49" s="139"/>
      <c r="M49" s="139">
        <f t="shared" si="9"/>
        <v>0</v>
      </c>
      <c r="N49" s="139">
        <f t="shared" si="10"/>
        <v>0</v>
      </c>
      <c r="O49" s="139">
        <f t="shared" si="11"/>
        <v>0</v>
      </c>
      <c r="P49" s="204">
        <f t="shared" si="12"/>
        <v>0</v>
      </c>
      <c r="Q49" s="167"/>
      <c r="R49" s="137"/>
      <c r="S49" s="137"/>
      <c r="T49" s="137"/>
      <c r="U49" s="205">
        <f t="shared" si="15"/>
        <v>0</v>
      </c>
    </row>
    <row r="50" spans="1:21">
      <c r="A50" s="202">
        <f t="shared" si="8"/>
        <v>7</v>
      </c>
      <c r="B50" s="203" t="s">
        <v>907</v>
      </c>
      <c r="C50" s="137"/>
      <c r="D50" s="137"/>
      <c r="E50" s="137"/>
      <c r="F50" s="139">
        <f t="shared" si="13"/>
        <v>0</v>
      </c>
      <c r="G50" s="139"/>
      <c r="H50" s="137"/>
      <c r="I50" s="137"/>
      <c r="J50" s="137"/>
      <c r="K50" s="139">
        <f t="shared" si="14"/>
        <v>0</v>
      </c>
      <c r="L50" s="139"/>
      <c r="M50" s="139">
        <f t="shared" si="9"/>
        <v>0</v>
      </c>
      <c r="N50" s="139">
        <f t="shared" si="10"/>
        <v>0</v>
      </c>
      <c r="O50" s="139">
        <f t="shared" si="11"/>
        <v>0</v>
      </c>
      <c r="P50" s="204">
        <f t="shared" si="12"/>
        <v>0</v>
      </c>
      <c r="Q50" s="167"/>
      <c r="R50" s="137"/>
      <c r="S50" s="137"/>
      <c r="T50" s="137"/>
      <c r="U50" s="205">
        <f t="shared" si="15"/>
        <v>0</v>
      </c>
    </row>
    <row r="51" spans="1:21">
      <c r="A51" s="202">
        <f t="shared" si="8"/>
        <v>8</v>
      </c>
      <c r="B51" s="203" t="s">
        <v>908</v>
      </c>
      <c r="C51" s="137"/>
      <c r="D51" s="137"/>
      <c r="E51" s="137"/>
      <c r="F51" s="139">
        <f t="shared" si="13"/>
        <v>0</v>
      </c>
      <c r="G51" s="139"/>
      <c r="H51" s="137"/>
      <c r="I51" s="137"/>
      <c r="J51" s="137"/>
      <c r="K51" s="139">
        <f t="shared" si="14"/>
        <v>0</v>
      </c>
      <c r="L51" s="139"/>
      <c r="M51" s="139">
        <f t="shared" si="9"/>
        <v>0</v>
      </c>
      <c r="N51" s="139">
        <f t="shared" si="10"/>
        <v>0</v>
      </c>
      <c r="O51" s="139">
        <f t="shared" si="11"/>
        <v>0</v>
      </c>
      <c r="P51" s="204">
        <f t="shared" si="12"/>
        <v>0</v>
      </c>
      <c r="Q51" s="167"/>
      <c r="R51" s="137"/>
      <c r="S51" s="137"/>
      <c r="T51" s="137"/>
      <c r="U51" s="205">
        <f t="shared" si="15"/>
        <v>0</v>
      </c>
    </row>
    <row r="52" spans="1:21">
      <c r="A52" s="202">
        <f t="shared" si="8"/>
        <v>9</v>
      </c>
      <c r="B52" s="203" t="s">
        <v>909</v>
      </c>
      <c r="C52" s="137"/>
      <c r="D52" s="137"/>
      <c r="E52" s="137"/>
      <c r="F52" s="139">
        <f t="shared" si="13"/>
        <v>0</v>
      </c>
      <c r="G52" s="139"/>
      <c r="H52" s="137"/>
      <c r="I52" s="137"/>
      <c r="J52" s="137"/>
      <c r="K52" s="139">
        <f t="shared" si="14"/>
        <v>0</v>
      </c>
      <c r="L52" s="139"/>
      <c r="M52" s="139">
        <f t="shared" si="9"/>
        <v>0</v>
      </c>
      <c r="N52" s="139">
        <f t="shared" si="10"/>
        <v>0</v>
      </c>
      <c r="O52" s="139">
        <f t="shared" si="11"/>
        <v>0</v>
      </c>
      <c r="P52" s="204">
        <f t="shared" si="12"/>
        <v>0</v>
      </c>
      <c r="Q52" s="167"/>
      <c r="R52" s="137"/>
      <c r="S52" s="137"/>
      <c r="T52" s="137"/>
      <c r="U52" s="205">
        <f t="shared" si="15"/>
        <v>0</v>
      </c>
    </row>
    <row r="53" spans="1:21">
      <c r="A53" s="202">
        <f t="shared" si="8"/>
        <v>10</v>
      </c>
      <c r="B53" s="203" t="s">
        <v>910</v>
      </c>
      <c r="C53" s="137"/>
      <c r="D53" s="137"/>
      <c r="E53" s="137"/>
      <c r="F53" s="139">
        <f t="shared" si="13"/>
        <v>0</v>
      </c>
      <c r="G53" s="139"/>
      <c r="H53" s="137"/>
      <c r="I53" s="137"/>
      <c r="J53" s="137"/>
      <c r="K53" s="139">
        <f t="shared" si="14"/>
        <v>0</v>
      </c>
      <c r="L53" s="139"/>
      <c r="M53" s="139">
        <f t="shared" si="9"/>
        <v>0</v>
      </c>
      <c r="N53" s="139">
        <f t="shared" si="10"/>
        <v>0</v>
      </c>
      <c r="O53" s="139">
        <f t="shared" si="11"/>
        <v>0</v>
      </c>
      <c r="P53" s="204">
        <f t="shared" si="12"/>
        <v>0</v>
      </c>
      <c r="Q53" s="167"/>
      <c r="R53" s="137"/>
      <c r="S53" s="137"/>
      <c r="T53" s="137"/>
      <c r="U53" s="205">
        <f t="shared" si="15"/>
        <v>0</v>
      </c>
    </row>
    <row r="54" spans="1:21">
      <c r="A54" s="202">
        <f t="shared" si="8"/>
        <v>11</v>
      </c>
      <c r="B54" s="203" t="s">
        <v>911</v>
      </c>
      <c r="C54" s="137"/>
      <c r="D54" s="137"/>
      <c r="E54" s="137"/>
      <c r="F54" s="139">
        <f t="shared" si="13"/>
        <v>0</v>
      </c>
      <c r="G54" s="139"/>
      <c r="H54" s="137"/>
      <c r="I54" s="137"/>
      <c r="J54" s="137"/>
      <c r="K54" s="139">
        <f t="shared" si="14"/>
        <v>0</v>
      </c>
      <c r="L54" s="139"/>
      <c r="M54" s="139">
        <f t="shared" si="9"/>
        <v>0</v>
      </c>
      <c r="N54" s="139">
        <f t="shared" si="10"/>
        <v>0</v>
      </c>
      <c r="O54" s="139">
        <f t="shared" si="11"/>
        <v>0</v>
      </c>
      <c r="P54" s="204">
        <f t="shared" si="12"/>
        <v>0</v>
      </c>
      <c r="Q54" s="167"/>
      <c r="R54" s="137"/>
      <c r="S54" s="137"/>
      <c r="T54" s="137"/>
      <c r="U54" s="205">
        <f t="shared" si="15"/>
        <v>0</v>
      </c>
    </row>
    <row r="55" spans="1:21">
      <c r="A55" s="202">
        <f t="shared" si="8"/>
        <v>12</v>
      </c>
      <c r="B55" s="203" t="s">
        <v>912</v>
      </c>
      <c r="C55" s="137"/>
      <c r="D55" s="137"/>
      <c r="E55" s="137"/>
      <c r="F55" s="139">
        <f t="shared" si="13"/>
        <v>0</v>
      </c>
      <c r="G55" s="139"/>
      <c r="H55" s="137"/>
      <c r="I55" s="137"/>
      <c r="J55" s="137"/>
      <c r="K55" s="139">
        <f t="shared" si="14"/>
        <v>0</v>
      </c>
      <c r="L55" s="139"/>
      <c r="M55" s="139">
        <f t="shared" si="9"/>
        <v>0</v>
      </c>
      <c r="N55" s="139">
        <f t="shared" si="10"/>
        <v>0</v>
      </c>
      <c r="O55" s="139">
        <f t="shared" si="11"/>
        <v>0</v>
      </c>
      <c r="P55" s="204">
        <f t="shared" si="12"/>
        <v>0</v>
      </c>
      <c r="Q55" s="167"/>
      <c r="R55" s="137"/>
      <c r="S55" s="137"/>
      <c r="T55" s="137"/>
      <c r="U55" s="205">
        <f t="shared" si="15"/>
        <v>0</v>
      </c>
    </row>
    <row r="56" spans="1:21">
      <c r="A56" s="202">
        <f t="shared" si="8"/>
        <v>13</v>
      </c>
      <c r="B56" s="203" t="s">
        <v>913</v>
      </c>
      <c r="C56" s="137"/>
      <c r="D56" s="137"/>
      <c r="E56" s="137"/>
      <c r="F56" s="139">
        <f t="shared" si="13"/>
        <v>0</v>
      </c>
      <c r="G56" s="139"/>
      <c r="H56" s="137"/>
      <c r="I56" s="137"/>
      <c r="J56" s="137"/>
      <c r="K56" s="139">
        <f t="shared" si="14"/>
        <v>0</v>
      </c>
      <c r="L56" s="139"/>
      <c r="M56" s="139">
        <f t="shared" si="9"/>
        <v>0</v>
      </c>
      <c r="N56" s="139">
        <f t="shared" si="10"/>
        <v>0</v>
      </c>
      <c r="O56" s="139">
        <f t="shared" si="11"/>
        <v>0</v>
      </c>
      <c r="P56" s="204">
        <f t="shared" si="12"/>
        <v>0</v>
      </c>
      <c r="Q56" s="167"/>
      <c r="R56" s="137"/>
      <c r="S56" s="137"/>
      <c r="T56" s="137"/>
      <c r="U56" s="205">
        <f t="shared" si="15"/>
        <v>0</v>
      </c>
    </row>
    <row r="57" spans="1:21" ht="13.5" thickBot="1">
      <c r="A57" s="202">
        <f t="shared" si="8"/>
        <v>14</v>
      </c>
      <c r="B57" s="203" t="s">
        <v>914</v>
      </c>
      <c r="C57" s="138"/>
      <c r="D57" s="206"/>
      <c r="E57" s="138"/>
      <c r="F57" s="653">
        <f t="shared" si="13"/>
        <v>0</v>
      </c>
      <c r="G57" s="139"/>
      <c r="H57" s="138"/>
      <c r="I57" s="206"/>
      <c r="J57" s="138"/>
      <c r="K57" s="653">
        <f t="shared" si="14"/>
        <v>0</v>
      </c>
      <c r="L57" s="139"/>
      <c r="M57" s="139">
        <f t="shared" si="9"/>
        <v>0</v>
      </c>
      <c r="N57" s="139">
        <f t="shared" si="10"/>
        <v>0</v>
      </c>
      <c r="O57" s="139">
        <f t="shared" si="11"/>
        <v>0</v>
      </c>
      <c r="P57" s="185">
        <f t="shared" si="12"/>
        <v>0</v>
      </c>
      <c r="Q57" s="167"/>
      <c r="R57" s="138"/>
      <c r="S57" s="206"/>
      <c r="T57" s="147"/>
      <c r="U57" s="207">
        <f t="shared" si="15"/>
        <v>0</v>
      </c>
    </row>
    <row r="58" spans="1:21" ht="26.25" thickBot="1">
      <c r="A58" s="202">
        <f t="shared" si="8"/>
        <v>15</v>
      </c>
      <c r="B58" s="537" t="str">
        <f>"13 Month Avg.     (Lns "&amp;A45&amp;" - "&amp;A57&amp;")"</f>
        <v>13 Month Avg.     (Lns 2 - 14)</v>
      </c>
      <c r="C58" s="139">
        <f>IF(C57=0,0,AVERAGE(C45:C57))</f>
        <v>0</v>
      </c>
      <c r="D58" s="139">
        <f>IF(D57=0,0,AVERAGE(D45:D57))</f>
        <v>0</v>
      </c>
      <c r="E58" s="139">
        <f>IF(E57=0,0,AVERAGE(E45:E57))</f>
        <v>0</v>
      </c>
      <c r="F58" s="139">
        <f>IF(F57=0,0,AVERAGE(F45:F57))</f>
        <v>0</v>
      </c>
      <c r="G58" s="139"/>
      <c r="H58" s="139">
        <f>IF(H57=0,0,AVERAGE(H45:H57))</f>
        <v>0</v>
      </c>
      <c r="I58" s="139">
        <f>IF(I57=0,0,AVERAGE(I45:I57))</f>
        <v>0</v>
      </c>
      <c r="J58" s="139">
        <f>IF(J57=0,0,AVERAGE(J45:J57))</f>
        <v>0</v>
      </c>
      <c r="K58" s="139">
        <f>IF(K57=0,0,AVERAGE(K45:K57))</f>
        <v>0</v>
      </c>
      <c r="L58" s="139"/>
      <c r="M58" s="142">
        <f>IF(M57=0,0,AVERAGE(M45:M57))</f>
        <v>0</v>
      </c>
      <c r="N58" s="142">
        <f>IF(N57=0,0,AVERAGE(N45:N57))</f>
        <v>0</v>
      </c>
      <c r="O58" s="142">
        <f>IF(O57=0,0,AVERAGE(O45:O57))</f>
        <v>0</v>
      </c>
      <c r="P58" s="139">
        <f>IF(P57=0,0,AVERAGE(P45:P57))</f>
        <v>0</v>
      </c>
      <c r="Q58" s="204"/>
      <c r="R58" s="204">
        <f>SUM(R46:R57)</f>
        <v>0</v>
      </c>
      <c r="S58" s="204">
        <f>SUM(S46:S57)</f>
        <v>0</v>
      </c>
      <c r="T58" s="186">
        <f>SUM(T46:T57)</f>
        <v>0</v>
      </c>
      <c r="U58" s="205">
        <f>SUM(U46:U57)</f>
        <v>0</v>
      </c>
    </row>
    <row r="59" spans="1:21">
      <c r="A59" s="202"/>
      <c r="B59" s="208"/>
      <c r="C59" s="139"/>
      <c r="D59" s="139"/>
      <c r="E59" s="139"/>
      <c r="F59" s="139"/>
      <c r="G59" s="139"/>
      <c r="H59" s="139"/>
      <c r="I59" s="139"/>
      <c r="J59" s="139"/>
      <c r="K59" s="139"/>
      <c r="L59" s="139"/>
      <c r="M59" s="139"/>
      <c r="N59" s="139"/>
      <c r="O59" s="139"/>
      <c r="P59" s="139"/>
      <c r="Q59" s="204"/>
      <c r="R59" s="167"/>
      <c r="S59" s="167"/>
      <c r="T59" s="167"/>
      <c r="U59" s="198"/>
    </row>
    <row r="60" spans="1:21">
      <c r="A60" s="202"/>
      <c r="B60" s="181"/>
      <c r="C60" s="167"/>
      <c r="D60" s="167"/>
      <c r="E60" s="167"/>
      <c r="H60" s="167"/>
      <c r="I60" s="167"/>
      <c r="J60" s="167"/>
      <c r="K60" s="209"/>
      <c r="L60" s="209"/>
      <c r="M60" s="209"/>
      <c r="N60" s="209"/>
      <c r="O60" s="209"/>
      <c r="P60" s="209"/>
      <c r="Q60" s="209"/>
      <c r="R60" s="167"/>
      <c r="S60" s="167"/>
      <c r="T60" s="167"/>
      <c r="U60" s="198"/>
    </row>
    <row r="61" spans="1:21" ht="32.25" customHeight="1">
      <c r="A61" s="1220" t="s">
        <v>924</v>
      </c>
      <c r="B61" s="1221"/>
      <c r="C61" s="1221"/>
      <c r="D61" s="1221"/>
      <c r="E61" s="1221"/>
      <c r="F61" s="1221"/>
      <c r="G61" s="1221"/>
      <c r="H61" s="1221"/>
      <c r="I61" s="1221"/>
      <c r="J61" s="1221"/>
      <c r="K61" s="1221"/>
      <c r="L61" s="1221"/>
      <c r="M61" s="1221"/>
      <c r="N61" s="1221"/>
      <c r="O61" s="1221"/>
      <c r="P61" s="1221"/>
      <c r="Q61" s="1221"/>
      <c r="R61" s="1221"/>
      <c r="S61" s="1221"/>
      <c r="T61" s="1221"/>
      <c r="U61" s="1222"/>
    </row>
    <row r="62" spans="1:21">
      <c r="A62" s="210"/>
      <c r="B62" s="211"/>
      <c r="C62" s="211"/>
      <c r="D62" s="211"/>
      <c r="E62" s="211"/>
      <c r="F62" s="211"/>
      <c r="G62" s="211"/>
      <c r="H62" s="211"/>
      <c r="I62" s="211"/>
      <c r="J62" s="211"/>
      <c r="K62" s="211"/>
      <c r="L62" s="211"/>
      <c r="M62" s="211"/>
      <c r="N62" s="211"/>
      <c r="O62" s="211"/>
      <c r="P62" s="211"/>
      <c r="Q62" s="211"/>
      <c r="R62" s="167"/>
      <c r="S62" s="167"/>
      <c r="T62" s="167"/>
      <c r="U62" s="198"/>
    </row>
    <row r="63" spans="1:21">
      <c r="A63" s="210" t="s">
        <v>1390</v>
      </c>
      <c r="B63" s="211"/>
      <c r="C63" s="211"/>
      <c r="D63" s="211"/>
      <c r="E63" s="211"/>
      <c r="F63" s="211"/>
      <c r="G63" s="211"/>
      <c r="H63" s="211"/>
      <c r="I63" s="211"/>
      <c r="J63" s="211"/>
      <c r="K63" s="211"/>
      <c r="L63" s="211"/>
      <c r="M63" s="211"/>
      <c r="N63" s="211"/>
      <c r="O63" s="211"/>
      <c r="P63" s="211"/>
      <c r="Q63" s="211"/>
      <c r="R63" s="167"/>
      <c r="S63" s="167"/>
      <c r="T63" s="167"/>
      <c r="U63" s="198"/>
    </row>
    <row r="64" spans="1:21">
      <c r="A64" s="212" t="s">
        <v>377</v>
      </c>
      <c r="B64" s="211"/>
      <c r="C64" s="211"/>
      <c r="D64" s="211"/>
      <c r="E64" s="211"/>
      <c r="F64" s="211"/>
      <c r="G64" s="211"/>
      <c r="H64" s="211"/>
      <c r="I64" s="211"/>
      <c r="J64" s="658"/>
      <c r="K64" s="211"/>
      <c r="L64" s="211"/>
      <c r="M64" s="211"/>
      <c r="N64" s="211"/>
      <c r="O64" s="211"/>
      <c r="P64" s="211"/>
      <c r="Q64" s="211"/>
      <c r="R64" s="167"/>
      <c r="S64" s="167"/>
      <c r="T64" s="167"/>
      <c r="U64" s="198"/>
    </row>
    <row r="65" spans="1:21">
      <c r="A65" s="212" t="s">
        <v>378</v>
      </c>
      <c r="B65" s="211"/>
      <c r="C65" s="211"/>
      <c r="D65" s="211"/>
      <c r="E65" s="211"/>
      <c r="F65" s="211"/>
      <c r="G65" s="211"/>
      <c r="H65" s="211"/>
      <c r="I65" s="211"/>
      <c r="J65" s="211"/>
      <c r="K65" s="211"/>
      <c r="L65" s="211"/>
      <c r="M65" s="211"/>
      <c r="N65" s="211"/>
      <c r="O65" s="211"/>
      <c r="P65" s="211"/>
      <c r="Q65" s="211"/>
      <c r="R65" s="167"/>
      <c r="S65" s="167"/>
      <c r="T65" s="167"/>
      <c r="U65" s="198"/>
    </row>
    <row r="66" spans="1:21">
      <c r="A66" s="213" t="s">
        <v>379</v>
      </c>
      <c r="B66" s="211"/>
      <c r="C66" s="211"/>
      <c r="D66" s="211"/>
      <c r="E66" s="211"/>
      <c r="F66" s="211"/>
      <c r="G66" s="211"/>
      <c r="H66" s="211"/>
      <c r="I66" s="211"/>
      <c r="J66" s="211"/>
      <c r="K66" s="211"/>
      <c r="L66" s="211"/>
      <c r="M66" s="211"/>
      <c r="N66" s="211"/>
      <c r="O66" s="211"/>
      <c r="P66" s="211"/>
      <c r="Q66" s="211"/>
      <c r="R66" s="167"/>
      <c r="S66" s="167"/>
      <c r="T66" s="167"/>
      <c r="U66" s="198"/>
    </row>
    <row r="67" spans="1:21">
      <c r="A67" s="214"/>
      <c r="B67" s="215"/>
      <c r="C67" s="215"/>
      <c r="D67" s="215"/>
      <c r="E67" s="215"/>
      <c r="F67" s="216"/>
      <c r="G67" s="216"/>
      <c r="H67" s="215"/>
      <c r="I67" s="215"/>
      <c r="J67" s="215"/>
      <c r="K67" s="215"/>
      <c r="L67" s="215"/>
      <c r="M67" s="215"/>
      <c r="N67" s="215"/>
      <c r="O67" s="215"/>
      <c r="P67" s="215"/>
      <c r="Q67" s="215"/>
      <c r="R67" s="215"/>
      <c r="S67" s="215"/>
      <c r="T67" s="215"/>
      <c r="U67" s="217"/>
    </row>
  </sheetData>
  <mergeCells count="10">
    <mergeCell ref="A61:U61"/>
    <mergeCell ref="R7:U7"/>
    <mergeCell ref="A28:U28"/>
    <mergeCell ref="C40:F40"/>
    <mergeCell ref="H40:K40"/>
    <mergeCell ref="M40:P40"/>
    <mergeCell ref="R40:U40"/>
    <mergeCell ref="C7:F7"/>
    <mergeCell ref="H7:K7"/>
    <mergeCell ref="M7:P7"/>
  </mergeCells>
  <phoneticPr fontId="2" type="noConversion"/>
  <printOptions horizontalCentered="1"/>
  <pageMargins left="0.5" right="0.5" top="1" bottom="0.5" header="0.5" footer="0.5"/>
  <pageSetup scale="46" fitToHeight="2" orientation="landscape" r:id="rId1"/>
  <headerFooter alignWithMargins="0">
    <oddHeader>&amp;RPage &amp;P of &amp;N</oddHeader>
  </headerFooter>
  <rowBreaks count="1" manualBreakCount="1">
    <brk id="36"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dimension ref="A1:W130"/>
  <sheetViews>
    <sheetView zoomScale="70" zoomScaleNormal="70" workbookViewId="0">
      <selection activeCell="B13" sqref="B13"/>
    </sheetView>
  </sheetViews>
  <sheetFormatPr defaultRowHeight="12.75"/>
  <cols>
    <col min="2" max="2" width="77.28515625" bestFit="1" customWidth="1"/>
    <col min="3" max="3" width="2.7109375" style="109" customWidth="1"/>
    <col min="4" max="4" width="22.28515625" bestFit="1" customWidth="1"/>
    <col min="5" max="5" width="13.7109375" bestFit="1" customWidth="1"/>
    <col min="6" max="7" width="12.85546875" bestFit="1" customWidth="1"/>
    <col min="8" max="8" width="12.42578125" bestFit="1" customWidth="1"/>
    <col min="9" max="9" width="12.85546875" bestFit="1" customWidth="1"/>
    <col min="10" max="10" width="12.28515625" bestFit="1" customWidth="1"/>
    <col min="11" max="12" width="12.85546875" bestFit="1" customWidth="1"/>
    <col min="13" max="13" width="12.28515625" bestFit="1" customWidth="1"/>
    <col min="14" max="14" width="12.85546875" bestFit="1" customWidth="1"/>
    <col min="15" max="16" width="12.42578125" bestFit="1" customWidth="1"/>
    <col min="17" max="17" width="13.85546875" customWidth="1"/>
    <col min="18" max="18" width="16" style="143" bestFit="1" customWidth="1"/>
    <col min="19" max="19" width="17.7109375" bestFit="1" customWidth="1"/>
    <col min="20" max="21" width="13.140625" bestFit="1" customWidth="1"/>
    <col min="22" max="22" width="12.28515625" bestFit="1" customWidth="1"/>
  </cols>
  <sheetData>
    <row r="1" spans="1:18">
      <c r="A1" s="98" t="str">
        <f>'Cover Page'!A5</f>
        <v>Public Service Company of Colorado</v>
      </c>
      <c r="R1" s="133" t="str">
        <f>'Table of Contents'!A19</f>
        <v>Table 11</v>
      </c>
    </row>
    <row r="2" spans="1:18">
      <c r="A2" s="98" t="str">
        <f>'Cover Page'!A6</f>
        <v>Transmission Formula Rate Template</v>
      </c>
      <c r="R2" s="133" t="str">
        <f ca="1">MID(CELL("filename",$A$1),FIND("]",CELL("filename",$A$1))+1,LEN(CELL("filename",$A$1))-FIND("]",CELL("filename",$A$1)))</f>
        <v>WP_B-5</v>
      </c>
    </row>
    <row r="3" spans="1:18">
      <c r="A3" s="98" t="str">
        <f>'Cover Page'!A7</f>
        <v>Twelve Months Ended December 31, 2018</v>
      </c>
    </row>
    <row r="4" spans="1:18">
      <c r="A4" s="525" t="s">
        <v>767</v>
      </c>
      <c r="B4" s="109"/>
    </row>
    <row r="6" spans="1:18">
      <c r="A6" s="651" t="s">
        <v>990</v>
      </c>
      <c r="E6" s="651"/>
      <c r="F6" s="651"/>
      <c r="G6" s="651"/>
      <c r="H6" s="651"/>
      <c r="I6" s="651"/>
      <c r="J6" s="651"/>
      <c r="K6" s="651"/>
      <c r="L6" s="651"/>
      <c r="M6" s="651"/>
      <c r="N6" s="651"/>
      <c r="O6" s="651"/>
      <c r="P6" s="651"/>
      <c r="Q6" s="651"/>
    </row>
    <row r="8" spans="1:18">
      <c r="A8" s="1" t="s">
        <v>868</v>
      </c>
      <c r="B8" s="1" t="s">
        <v>917</v>
      </c>
      <c r="C8" s="277"/>
      <c r="D8" s="1" t="s">
        <v>870</v>
      </c>
      <c r="E8" s="237">
        <v>43100</v>
      </c>
      <c r="F8" s="237">
        <v>43131</v>
      </c>
      <c r="G8" s="237">
        <v>43159</v>
      </c>
      <c r="H8" s="237">
        <v>43190</v>
      </c>
      <c r="I8" s="237">
        <v>43220</v>
      </c>
      <c r="J8" s="237">
        <v>43251</v>
      </c>
      <c r="K8" s="237">
        <v>43281</v>
      </c>
      <c r="L8" s="237">
        <v>43312</v>
      </c>
      <c r="M8" s="237">
        <v>43343</v>
      </c>
      <c r="N8" s="237">
        <v>43373</v>
      </c>
      <c r="O8" s="237">
        <v>43404</v>
      </c>
      <c r="P8" s="237">
        <v>43434</v>
      </c>
      <c r="Q8" s="237">
        <v>43465</v>
      </c>
      <c r="R8" s="188" t="s">
        <v>957</v>
      </c>
    </row>
    <row r="9" spans="1:18">
      <c r="E9" s="110" t="s">
        <v>363</v>
      </c>
      <c r="F9" s="110" t="s">
        <v>362</v>
      </c>
      <c r="G9" s="110" t="s">
        <v>363</v>
      </c>
      <c r="H9" s="110" t="s">
        <v>365</v>
      </c>
      <c r="I9" s="110" t="s">
        <v>366</v>
      </c>
      <c r="J9" s="110" t="s">
        <v>367</v>
      </c>
      <c r="K9" s="110" t="s">
        <v>368</v>
      </c>
      <c r="L9" s="110" t="s">
        <v>369</v>
      </c>
      <c r="M9" s="110" t="s">
        <v>370</v>
      </c>
      <c r="N9" s="110" t="s">
        <v>371</v>
      </c>
      <c r="O9" s="110" t="s">
        <v>372</v>
      </c>
      <c r="P9" s="110" t="s">
        <v>373</v>
      </c>
      <c r="Q9" s="110" t="s">
        <v>374</v>
      </c>
      <c r="R9" s="115" t="s">
        <v>375</v>
      </c>
    </row>
    <row r="10" spans="1:18">
      <c r="B10" s="98" t="s">
        <v>1046</v>
      </c>
      <c r="C10" s="177"/>
    </row>
    <row r="12" spans="1:18">
      <c r="A12" s="105">
        <v>1</v>
      </c>
      <c r="B12" s="145" t="s">
        <v>985</v>
      </c>
      <c r="C12" s="507"/>
      <c r="D12" s="98"/>
      <c r="E12" s="98"/>
      <c r="F12" s="98"/>
      <c r="G12" s="98"/>
      <c r="H12" s="98"/>
      <c r="I12" s="98"/>
      <c r="J12" s="98"/>
      <c r="K12" s="98"/>
      <c r="L12" s="98"/>
      <c r="M12" s="98"/>
      <c r="N12" s="98"/>
      <c r="O12" s="98"/>
      <c r="P12" s="98"/>
      <c r="Q12" s="98"/>
    </row>
    <row r="13" spans="1:18">
      <c r="A13" s="105">
        <f t="shared" ref="A13:A63" si="0">A12+1</f>
        <v>2</v>
      </c>
      <c r="B13" s="505" t="s">
        <v>986</v>
      </c>
      <c r="C13" s="508"/>
      <c r="D13" s="218" t="s">
        <v>1393</v>
      </c>
      <c r="E13" s="219">
        <v>4017056.0100000012</v>
      </c>
      <c r="F13" s="219">
        <v>3438589.6800000011</v>
      </c>
      <c r="G13" s="219">
        <v>2933264.3400000012</v>
      </c>
      <c r="H13" s="219">
        <v>2461360.7000000011</v>
      </c>
      <c r="I13" s="219">
        <v>1893710.7100000011</v>
      </c>
      <c r="J13" s="219">
        <v>1307139.080000001</v>
      </c>
      <c r="K13" s="219">
        <v>739489.10000000102</v>
      </c>
      <c r="L13" s="219">
        <v>4864762.7200000007</v>
      </c>
      <c r="M13" s="219">
        <v>4291999.4500000011</v>
      </c>
      <c r="N13" s="219">
        <v>3730247.4000000013</v>
      </c>
      <c r="O13" s="219">
        <v>3154157.6900000013</v>
      </c>
      <c r="P13" s="219">
        <v>8573689.8400000017</v>
      </c>
      <c r="Q13" s="219">
        <v>7612514.3900000015</v>
      </c>
      <c r="R13" s="220">
        <f>AVERAGE(E13:Q13)</f>
        <v>3770613.9315384631</v>
      </c>
    </row>
    <row r="14" spans="1:18">
      <c r="A14" s="105">
        <f t="shared" si="0"/>
        <v>3</v>
      </c>
      <c r="B14" s="506" t="s">
        <v>1398</v>
      </c>
      <c r="C14" s="509"/>
      <c r="D14" s="221" t="s">
        <v>1393</v>
      </c>
      <c r="E14" s="147">
        <v>546431.81000000006</v>
      </c>
      <c r="F14" s="147">
        <v>602147.95000000007</v>
      </c>
      <c r="G14" s="147">
        <v>789822.6100000001</v>
      </c>
      <c r="H14" s="147">
        <v>1183171.7600000002</v>
      </c>
      <c r="I14" s="147">
        <v>1062150.8500000003</v>
      </c>
      <c r="J14" s="147">
        <v>940398.12000000034</v>
      </c>
      <c r="K14" s="147">
        <v>821024.77000000037</v>
      </c>
      <c r="L14" s="147">
        <v>701651.42000000039</v>
      </c>
      <c r="M14" s="147">
        <v>583010.61000000034</v>
      </c>
      <c r="N14" s="147">
        <v>464369.80000000034</v>
      </c>
      <c r="O14" s="147">
        <v>353377.29000000033</v>
      </c>
      <c r="P14" s="147">
        <v>234935.17000000027</v>
      </c>
      <c r="Q14" s="147">
        <v>164573.79000000027</v>
      </c>
      <c r="R14" s="139">
        <f>AVERAGE(E14:Q14)</f>
        <v>649774.30384615425</v>
      </c>
    </row>
    <row r="15" spans="1:18">
      <c r="A15" s="105">
        <f t="shared" si="0"/>
        <v>4</v>
      </c>
      <c r="B15" s="506" t="s">
        <v>1399</v>
      </c>
      <c r="C15" s="509"/>
      <c r="D15" s="516" t="s">
        <v>1393</v>
      </c>
      <c r="E15" s="147">
        <v>211536</v>
      </c>
      <c r="F15" s="147">
        <v>141024</v>
      </c>
      <c r="G15" s="147">
        <v>70512</v>
      </c>
      <c r="H15" s="147">
        <v>0</v>
      </c>
      <c r="I15" s="147">
        <v>-70512</v>
      </c>
      <c r="J15" s="147">
        <v>-141024</v>
      </c>
      <c r="K15" s="147">
        <v>-211536</v>
      </c>
      <c r="L15" s="147">
        <v>564096</v>
      </c>
      <c r="M15" s="147">
        <v>493584</v>
      </c>
      <c r="N15" s="147">
        <v>423072</v>
      </c>
      <c r="O15" s="147">
        <v>352560</v>
      </c>
      <c r="P15" s="147">
        <v>282048</v>
      </c>
      <c r="Q15" s="147">
        <v>211536</v>
      </c>
      <c r="R15" s="139">
        <f>AVERAGE(E15:Q15)</f>
        <v>178992</v>
      </c>
    </row>
    <row r="16" spans="1:18">
      <c r="A16" s="110">
        <f t="shared" si="0"/>
        <v>5</v>
      </c>
      <c r="B16" s="506" t="s">
        <v>1790</v>
      </c>
      <c r="C16" s="509"/>
      <c r="D16" s="516" t="s">
        <v>1393</v>
      </c>
      <c r="E16" s="138">
        <v>2393845.5700000003</v>
      </c>
      <c r="F16" s="138">
        <v>2339138.2700000005</v>
      </c>
      <c r="G16" s="138">
        <v>2287960.4800000004</v>
      </c>
      <c r="H16" s="138">
        <v>2233253.1800000006</v>
      </c>
      <c r="I16" s="138">
        <v>2180310.6300000008</v>
      </c>
      <c r="J16" s="138">
        <v>2125603.330000001</v>
      </c>
      <c r="K16" s="138">
        <v>3101249.1800000011</v>
      </c>
      <c r="L16" s="138">
        <v>3054159.4700000011</v>
      </c>
      <c r="M16" s="138">
        <v>3000041.4200000013</v>
      </c>
      <c r="N16" s="138">
        <v>2947669.1100000013</v>
      </c>
      <c r="O16" s="138">
        <v>2893551.0600000015</v>
      </c>
      <c r="P16" s="138">
        <v>2841178.7500000014</v>
      </c>
      <c r="Q16" s="138">
        <v>2834486.0400000014</v>
      </c>
      <c r="R16" s="189">
        <f>AVERAGE(E16:Q16)</f>
        <v>2633265.1146153854</v>
      </c>
    </row>
    <row r="17" spans="1:23">
      <c r="A17" s="105">
        <f t="shared" si="0"/>
        <v>6</v>
      </c>
      <c r="B17" s="184" t="s">
        <v>1394</v>
      </c>
      <c r="C17" s="510"/>
      <c r="D17" s="104"/>
      <c r="E17" s="222">
        <f>SUM(E13:E16)</f>
        <v>7168869.3900000015</v>
      </c>
      <c r="F17" s="222">
        <f t="shared" ref="F17:P17" si="1">SUM(F13:F16)</f>
        <v>6520899.9000000022</v>
      </c>
      <c r="G17" s="222">
        <f t="shared" si="1"/>
        <v>6081559.4300000016</v>
      </c>
      <c r="H17" s="222">
        <f t="shared" si="1"/>
        <v>5877785.6400000025</v>
      </c>
      <c r="I17" s="222">
        <f t="shared" si="1"/>
        <v>5065660.1900000023</v>
      </c>
      <c r="J17" s="222">
        <f t="shared" si="1"/>
        <v>4232116.5300000021</v>
      </c>
      <c r="K17" s="222">
        <f t="shared" si="1"/>
        <v>4450227.0500000026</v>
      </c>
      <c r="L17" s="222">
        <f t="shared" si="1"/>
        <v>9184669.6100000013</v>
      </c>
      <c r="M17" s="222">
        <f t="shared" si="1"/>
        <v>8368635.4800000023</v>
      </c>
      <c r="N17" s="222">
        <f t="shared" si="1"/>
        <v>7565358.3100000033</v>
      </c>
      <c r="O17" s="222">
        <f t="shared" si="1"/>
        <v>6753646.0400000028</v>
      </c>
      <c r="P17" s="222">
        <f t="shared" si="1"/>
        <v>11931851.760000004</v>
      </c>
      <c r="Q17" s="222">
        <f>SUM(Q13:Q16)</f>
        <v>10823110.220000003</v>
      </c>
      <c r="R17" s="220">
        <f>SUM(R13:R16)</f>
        <v>7232645.3500000024</v>
      </c>
    </row>
    <row r="18" spans="1:23" ht="13.5" thickBot="1">
      <c r="A18" s="105">
        <f t="shared" si="0"/>
        <v>7</v>
      </c>
      <c r="B18" s="184" t="s">
        <v>1395</v>
      </c>
      <c r="C18" s="510"/>
      <c r="D18" s="105" t="str">
        <f ca="1">'ATRR Est.'!G2&amp;" Line "&amp;'ATRR Est.'!A192</f>
        <v>ATRR Est. Line 171</v>
      </c>
      <c r="E18" s="105"/>
      <c r="F18" s="105"/>
      <c r="G18" s="105"/>
      <c r="H18" s="105"/>
      <c r="I18" s="105"/>
      <c r="J18" s="105"/>
      <c r="K18" s="105"/>
      <c r="L18" s="105"/>
      <c r="M18" s="105"/>
      <c r="N18" s="105"/>
      <c r="O18" s="105"/>
      <c r="P18" s="105"/>
      <c r="Q18" s="105"/>
      <c r="R18" s="187">
        <f>'ATRR Est.'!D192</f>
        <v>0.75544832110649052</v>
      </c>
      <c r="W18" s="99"/>
    </row>
    <row r="19" spans="1:23" ht="13.5" thickBot="1">
      <c r="A19" s="105">
        <f t="shared" si="0"/>
        <v>8</v>
      </c>
      <c r="B19" s="184" t="s">
        <v>1396</v>
      </c>
      <c r="C19" s="510"/>
      <c r="D19" s="104"/>
      <c r="E19" s="104"/>
      <c r="F19" s="104"/>
      <c r="G19" s="104"/>
      <c r="H19" s="104"/>
      <c r="I19" s="104"/>
      <c r="J19" s="104"/>
      <c r="K19" s="104"/>
      <c r="L19" s="104"/>
      <c r="M19" s="104"/>
      <c r="N19" s="104"/>
      <c r="O19" s="104"/>
      <c r="P19" s="104"/>
      <c r="Q19" s="104"/>
      <c r="R19" s="224">
        <f>R17*R18</f>
        <v>5463889.7868161676</v>
      </c>
    </row>
    <row r="20" spans="1:23">
      <c r="A20" s="105">
        <f t="shared" si="0"/>
        <v>9</v>
      </c>
      <c r="B20" s="104"/>
      <c r="C20" s="118"/>
      <c r="D20" s="121"/>
      <c r="E20" s="121"/>
      <c r="F20" s="121"/>
      <c r="G20" s="121"/>
      <c r="H20" s="121"/>
      <c r="I20" s="121"/>
      <c r="J20" s="121"/>
      <c r="K20" s="121"/>
      <c r="L20" s="121"/>
      <c r="M20" s="121"/>
      <c r="N20" s="121"/>
      <c r="O20" s="121"/>
      <c r="P20" s="121"/>
      <c r="Q20" s="121"/>
      <c r="R20" s="139"/>
    </row>
    <row r="21" spans="1:23">
      <c r="A21" s="105">
        <f t="shared" si="0"/>
        <v>10</v>
      </c>
      <c r="B21" s="145" t="s">
        <v>987</v>
      </c>
      <c r="C21" s="507"/>
      <c r="D21" s="131"/>
      <c r="E21" s="131"/>
      <c r="F21" s="131"/>
      <c r="G21" s="131"/>
      <c r="H21" s="131"/>
      <c r="I21" s="131"/>
      <c r="J21" s="131"/>
      <c r="K21" s="131"/>
      <c r="L21" s="131"/>
      <c r="M21" s="131"/>
      <c r="N21" s="131"/>
      <c r="O21" s="131"/>
      <c r="P21" s="131"/>
      <c r="Q21" s="131"/>
      <c r="R21" s="139"/>
    </row>
    <row r="22" spans="1:23">
      <c r="A22" s="105">
        <f t="shared" si="0"/>
        <v>11</v>
      </c>
      <c r="B22" s="667" t="s">
        <v>298</v>
      </c>
      <c r="D22" s="662" t="s">
        <v>1393</v>
      </c>
      <c r="E22" s="219">
        <v>817048.33</v>
      </c>
      <c r="F22" s="219">
        <v>817048.33</v>
      </c>
      <c r="G22" s="219">
        <v>817048.33</v>
      </c>
      <c r="H22" s="219">
        <v>817048.33</v>
      </c>
      <c r="I22" s="219">
        <v>817048.33</v>
      </c>
      <c r="J22" s="219">
        <v>817048.33</v>
      </c>
      <c r="K22" s="219">
        <v>817048.33</v>
      </c>
      <c r="L22" s="219">
        <v>817048.33</v>
      </c>
      <c r="M22" s="219">
        <v>817048.33</v>
      </c>
      <c r="N22" s="219">
        <v>817048.33</v>
      </c>
      <c r="O22" s="219">
        <v>817048.33</v>
      </c>
      <c r="P22" s="219">
        <v>0</v>
      </c>
      <c r="Q22" s="219">
        <v>0</v>
      </c>
      <c r="R22" s="220">
        <f>IF(Q22=0,0,AVERAGE(E22:Q22))</f>
        <v>0</v>
      </c>
    </row>
    <row r="23" spans="1:23">
      <c r="A23" s="105">
        <f t="shared" si="0"/>
        <v>12</v>
      </c>
      <c r="B23" s="667" t="s">
        <v>299</v>
      </c>
      <c r="D23" s="662" t="s">
        <v>1393</v>
      </c>
      <c r="E23" s="147">
        <v>180006.24</v>
      </c>
      <c r="F23" s="147">
        <v>321459.28999999998</v>
      </c>
      <c r="G23" s="147">
        <v>314052.86</v>
      </c>
      <c r="H23" s="147">
        <v>155535.12</v>
      </c>
      <c r="I23" s="147">
        <v>220655.52</v>
      </c>
      <c r="J23" s="147">
        <v>204183.24</v>
      </c>
      <c r="K23" s="147">
        <v>240384.91999999998</v>
      </c>
      <c r="L23" s="147">
        <v>171238.68</v>
      </c>
      <c r="M23" s="147">
        <v>154766.39999999999</v>
      </c>
      <c r="N23" s="147">
        <v>138294.12</v>
      </c>
      <c r="O23" s="147">
        <v>167902.46</v>
      </c>
      <c r="P23" s="147">
        <v>121821.84</v>
      </c>
      <c r="Q23" s="147">
        <v>354620.97</v>
      </c>
      <c r="R23" s="139">
        <f>IF(Q23=0,0,AVERAGE(E23:Q23))</f>
        <v>211147.81999999995</v>
      </c>
    </row>
    <row r="24" spans="1:23">
      <c r="A24" s="105">
        <f t="shared" si="0"/>
        <v>13</v>
      </c>
      <c r="B24" s="667" t="s">
        <v>300</v>
      </c>
      <c r="D24" s="662" t="s">
        <v>1393</v>
      </c>
      <c r="E24" s="138">
        <v>97364.78</v>
      </c>
      <c r="F24" s="138">
        <v>88148.67</v>
      </c>
      <c r="G24" s="138">
        <v>79140.569999999992</v>
      </c>
      <c r="H24" s="138">
        <v>69575.25</v>
      </c>
      <c r="I24" s="138">
        <v>60291.6</v>
      </c>
      <c r="J24" s="138">
        <v>50595.43</v>
      </c>
      <c r="K24" s="138">
        <v>40899.26</v>
      </c>
      <c r="L24" s="138">
        <v>31384.590000000004</v>
      </c>
      <c r="M24" s="138">
        <v>22026.670000000006</v>
      </c>
      <c r="N24" s="138">
        <v>12186.120000000006</v>
      </c>
      <c r="O24" s="138">
        <v>35571.780000000006</v>
      </c>
      <c r="P24" s="138">
        <v>26107.230000000003</v>
      </c>
      <c r="Q24" s="138">
        <v>16112.930000000004</v>
      </c>
      <c r="R24" s="189">
        <f>IF(Q24=0,0,AVERAGE(E24:Q24))</f>
        <v>48415.760000000009</v>
      </c>
    </row>
    <row r="25" spans="1:23">
      <c r="A25" s="105">
        <f t="shared" si="0"/>
        <v>14</v>
      </c>
      <c r="B25" s="184" t="s">
        <v>1264</v>
      </c>
      <c r="C25" s="510"/>
      <c r="D25" s="104"/>
      <c r="E25" s="222">
        <f>SUM(E22:E24)</f>
        <v>1094419.3499999999</v>
      </c>
      <c r="F25" s="222">
        <f t="shared" ref="F25:P25" si="2">SUM(F22:F24)</f>
        <v>1226656.2899999998</v>
      </c>
      <c r="G25" s="222">
        <f t="shared" si="2"/>
        <v>1210241.76</v>
      </c>
      <c r="H25" s="222">
        <f t="shared" si="2"/>
        <v>1042158.7</v>
      </c>
      <c r="I25" s="222">
        <f t="shared" si="2"/>
        <v>1097995.45</v>
      </c>
      <c r="J25" s="222">
        <f t="shared" si="2"/>
        <v>1071827</v>
      </c>
      <c r="K25" s="222">
        <f t="shared" si="2"/>
        <v>1098332.51</v>
      </c>
      <c r="L25" s="222">
        <f t="shared" si="2"/>
        <v>1019671.6</v>
      </c>
      <c r="M25" s="222">
        <f t="shared" si="2"/>
        <v>993841.4</v>
      </c>
      <c r="N25" s="222">
        <f t="shared" si="2"/>
        <v>967528.57</v>
      </c>
      <c r="O25" s="222">
        <f t="shared" si="2"/>
        <v>1020522.57</v>
      </c>
      <c r="P25" s="222">
        <f t="shared" si="2"/>
        <v>147929.07</v>
      </c>
      <c r="Q25" s="222">
        <f>SUM(Q22:Q24)</f>
        <v>370733.89999999997</v>
      </c>
      <c r="R25" s="222">
        <f>SUM(R22:R24)</f>
        <v>259563.57999999996</v>
      </c>
    </row>
    <row r="26" spans="1:23" ht="13.5" thickBot="1">
      <c r="A26" s="105">
        <f t="shared" si="0"/>
        <v>15</v>
      </c>
      <c r="B26" s="184" t="s">
        <v>1395</v>
      </c>
      <c r="C26" s="510"/>
      <c r="D26" s="104" t="str">
        <f ca="1">'ATRR Est.'!G2&amp;" Line "&amp;'ATRR Est.'!A192</f>
        <v>ATRR Est. Line 171</v>
      </c>
      <c r="E26" s="104"/>
      <c r="F26" s="104"/>
      <c r="G26" s="104"/>
      <c r="H26" s="104"/>
      <c r="I26" s="104"/>
      <c r="J26" s="104"/>
      <c r="K26" s="104"/>
      <c r="L26" s="104"/>
      <c r="M26" s="104"/>
      <c r="N26" s="104"/>
      <c r="O26" s="104"/>
      <c r="P26" s="104"/>
      <c r="Q26" s="104"/>
      <c r="R26" s="187">
        <f>R18</f>
        <v>0.75544832110649052</v>
      </c>
    </row>
    <row r="27" spans="1:23" ht="13.5" thickBot="1">
      <c r="A27" s="105">
        <f t="shared" si="0"/>
        <v>16</v>
      </c>
      <c r="B27" s="184" t="s">
        <v>1397</v>
      </c>
      <c r="C27" s="510"/>
      <c r="D27" s="104"/>
      <c r="E27" s="104"/>
      <c r="F27" s="104"/>
      <c r="G27" s="104"/>
      <c r="H27" s="104"/>
      <c r="I27" s="104"/>
      <c r="J27" s="104"/>
      <c r="K27" s="104"/>
      <c r="L27" s="104"/>
      <c r="M27" s="104"/>
      <c r="N27" s="104"/>
      <c r="O27" s="104"/>
      <c r="P27" s="104"/>
      <c r="Q27" s="104"/>
      <c r="R27" s="224">
        <f>R25*R26</f>
        <v>196086.8707313902</v>
      </c>
    </row>
    <row r="28" spans="1:23">
      <c r="A28" s="105">
        <f t="shared" si="0"/>
        <v>17</v>
      </c>
      <c r="B28" s="104"/>
      <c r="C28" s="118"/>
      <c r="R28" s="139"/>
    </row>
    <row r="29" spans="1:23">
      <c r="A29" s="105">
        <f t="shared" si="0"/>
        <v>18</v>
      </c>
      <c r="B29" s="145" t="s">
        <v>988</v>
      </c>
      <c r="C29" s="507"/>
      <c r="R29" s="139"/>
    </row>
    <row r="30" spans="1:23" ht="13.5" thickBot="1">
      <c r="A30" s="110">
        <f t="shared" si="0"/>
        <v>19</v>
      </c>
      <c r="B30" s="666" t="s">
        <v>301</v>
      </c>
      <c r="D30" s="662" t="s">
        <v>1393</v>
      </c>
      <c r="E30" s="138">
        <v>2931828.85</v>
      </c>
      <c r="F30" s="138">
        <v>2688606.0700000003</v>
      </c>
      <c r="G30" s="138">
        <v>2446889.4000000004</v>
      </c>
      <c r="H30" s="138">
        <v>2189274.0700000003</v>
      </c>
      <c r="I30" s="138">
        <v>1957418.7800000003</v>
      </c>
      <c r="J30" s="138">
        <v>1711575.9800000002</v>
      </c>
      <c r="K30" s="138">
        <v>1473905.7000000002</v>
      </c>
      <c r="L30" s="138">
        <v>1225070.9300000002</v>
      </c>
      <c r="M30" s="138">
        <v>1056175.0700000003</v>
      </c>
      <c r="N30" s="138">
        <v>759333.37000000034</v>
      </c>
      <c r="O30" s="138">
        <v>520371.31000000035</v>
      </c>
      <c r="P30" s="138">
        <v>259725.03000000035</v>
      </c>
      <c r="Q30" s="138">
        <v>3640752.16</v>
      </c>
      <c r="R30" s="139">
        <f>AVERAGE(E30:Q30)</f>
        <v>1758532.8246153849</v>
      </c>
    </row>
    <row r="31" spans="1:23" ht="13.5" thickBot="1">
      <c r="A31" s="105">
        <f t="shared" si="0"/>
        <v>20</v>
      </c>
      <c r="B31" s="184" t="s">
        <v>117</v>
      </c>
      <c r="C31" s="510"/>
      <c r="E31" s="222">
        <f>SUM(E30:E30)</f>
        <v>2931828.85</v>
      </c>
      <c r="F31" s="222">
        <f t="shared" ref="F31:P31" si="3">SUM(F30:F30)</f>
        <v>2688606.0700000003</v>
      </c>
      <c r="G31" s="222">
        <f t="shared" si="3"/>
        <v>2446889.4000000004</v>
      </c>
      <c r="H31" s="222">
        <f t="shared" si="3"/>
        <v>2189274.0700000003</v>
      </c>
      <c r="I31" s="222">
        <f t="shared" si="3"/>
        <v>1957418.7800000003</v>
      </c>
      <c r="J31" s="222">
        <f t="shared" si="3"/>
        <v>1711575.9800000002</v>
      </c>
      <c r="K31" s="222">
        <f t="shared" si="3"/>
        <v>1473905.7000000002</v>
      </c>
      <c r="L31" s="222">
        <f t="shared" si="3"/>
        <v>1225070.9300000002</v>
      </c>
      <c r="M31" s="222">
        <f t="shared" si="3"/>
        <v>1056175.0700000003</v>
      </c>
      <c r="N31" s="222">
        <f t="shared" si="3"/>
        <v>759333.37000000034</v>
      </c>
      <c r="O31" s="222">
        <f t="shared" si="3"/>
        <v>520371.31000000035</v>
      </c>
      <c r="P31" s="222">
        <f t="shared" si="3"/>
        <v>259725.03000000035</v>
      </c>
      <c r="Q31" s="222">
        <f>SUM(Q30:Q30)</f>
        <v>3640752.16</v>
      </c>
      <c r="R31" s="446">
        <f>SUM(R30:R30)</f>
        <v>1758532.8246153849</v>
      </c>
    </row>
    <row r="32" spans="1:23">
      <c r="A32" s="105">
        <f t="shared" si="0"/>
        <v>21</v>
      </c>
      <c r="B32" s="184"/>
      <c r="C32" s="510"/>
      <c r="R32" s="139"/>
    </row>
    <row r="33" spans="1:18">
      <c r="A33" s="105">
        <f t="shared" si="0"/>
        <v>22</v>
      </c>
      <c r="B33" s="145" t="s">
        <v>1240</v>
      </c>
      <c r="C33" s="507"/>
      <c r="D33" s="98"/>
      <c r="E33" s="98"/>
      <c r="F33" s="98"/>
      <c r="G33" s="98"/>
      <c r="H33" s="98"/>
      <c r="I33" s="98"/>
      <c r="J33" s="98"/>
      <c r="K33" s="98"/>
      <c r="L33" s="98"/>
      <c r="M33" s="98"/>
      <c r="N33" s="98"/>
      <c r="O33" s="98"/>
      <c r="P33" s="98"/>
      <c r="Q33" s="98"/>
      <c r="R33" s="139"/>
    </row>
    <row r="34" spans="1:18">
      <c r="A34" s="105">
        <f t="shared" si="0"/>
        <v>23</v>
      </c>
      <c r="B34" s="665" t="s">
        <v>1741</v>
      </c>
      <c r="D34" s="662" t="s">
        <v>1393</v>
      </c>
      <c r="E34" s="219">
        <v>106527.00000000003</v>
      </c>
      <c r="F34" s="219">
        <v>115243.00000000003</v>
      </c>
      <c r="G34" s="219">
        <v>123397.00000000003</v>
      </c>
      <c r="H34" s="219">
        <v>132113.00000000003</v>
      </c>
      <c r="I34" s="219">
        <v>140548.00000000003</v>
      </c>
      <c r="J34" s="219">
        <v>149264.00000000003</v>
      </c>
      <c r="K34" s="219">
        <v>157699.00000000003</v>
      </c>
      <c r="L34" s="219">
        <v>166415.00000000003</v>
      </c>
      <c r="M34" s="219">
        <v>68604.000000000029</v>
      </c>
      <c r="N34" s="219">
        <v>77039.000000000029</v>
      </c>
      <c r="O34" s="219">
        <v>85755.000000000029</v>
      </c>
      <c r="P34" s="219">
        <v>94190.000000000029</v>
      </c>
      <c r="Q34" s="219">
        <v>102906.00000000003</v>
      </c>
      <c r="R34" s="220">
        <f>AVERAGE(E34:Q34)</f>
        <v>116900.00000000001</v>
      </c>
    </row>
    <row r="35" spans="1:18">
      <c r="A35" s="105">
        <f t="shared" si="0"/>
        <v>24</v>
      </c>
      <c r="B35" s="665" t="s">
        <v>1742</v>
      </c>
      <c r="D35" s="662" t="s">
        <v>1393</v>
      </c>
      <c r="E35" s="147">
        <v>0</v>
      </c>
      <c r="F35" s="147">
        <v>1626463.07</v>
      </c>
      <c r="G35" s="147">
        <v>813231.54</v>
      </c>
      <c r="H35" s="147">
        <v>0</v>
      </c>
      <c r="I35" s="147">
        <v>1626459.98</v>
      </c>
      <c r="J35" s="147">
        <v>813229.98</v>
      </c>
      <c r="K35" s="147">
        <v>-2.0000000018626451E-2</v>
      </c>
      <c r="L35" s="147">
        <v>1613448.3699999999</v>
      </c>
      <c r="M35" s="147">
        <v>806724.16999999993</v>
      </c>
      <c r="N35" s="147">
        <v>0</v>
      </c>
      <c r="O35" s="147">
        <v>1611545.52</v>
      </c>
      <c r="P35" s="147">
        <v>805772.76</v>
      </c>
      <c r="Q35" s="147">
        <v>0</v>
      </c>
      <c r="R35" s="220">
        <f>AVERAGE(E35:Q35)</f>
        <v>747451.95153846161</v>
      </c>
    </row>
    <row r="36" spans="1:18">
      <c r="A36" s="105">
        <f t="shared" si="0"/>
        <v>25</v>
      </c>
      <c r="B36" s="665" t="s">
        <v>1743</v>
      </c>
      <c r="D36" s="662" t="s">
        <v>1393</v>
      </c>
      <c r="E36" s="147">
        <v>2716820</v>
      </c>
      <c r="F36" s="147">
        <v>1481385</v>
      </c>
      <c r="G36" s="147">
        <v>987730</v>
      </c>
      <c r="H36" s="147">
        <v>480015</v>
      </c>
      <c r="I36" s="147">
        <v>941580</v>
      </c>
      <c r="J36" s="147">
        <v>841550</v>
      </c>
      <c r="K36" s="147">
        <v>1050215</v>
      </c>
      <c r="L36" s="147">
        <v>978560</v>
      </c>
      <c r="M36" s="147">
        <v>1426925</v>
      </c>
      <c r="N36" s="147">
        <v>983900</v>
      </c>
      <c r="O36" s="147">
        <v>1277805</v>
      </c>
      <c r="P36" s="147">
        <v>1224135</v>
      </c>
      <c r="Q36" s="147">
        <v>1557070</v>
      </c>
      <c r="R36" s="220">
        <f t="shared" ref="R36:R43" si="4">AVERAGE(E36:Q36)</f>
        <v>1226745.3846153845</v>
      </c>
    </row>
    <row r="37" spans="1:18">
      <c r="A37" s="105">
        <f t="shared" si="0"/>
        <v>26</v>
      </c>
      <c r="B37" s="665" t="s">
        <v>1744</v>
      </c>
      <c r="D37" s="662" t="s">
        <v>1393</v>
      </c>
      <c r="E37" s="147">
        <v>147739.61999999997</v>
      </c>
      <c r="F37" s="147">
        <v>130858.08999999997</v>
      </c>
      <c r="G37" s="147">
        <v>118908.27999999997</v>
      </c>
      <c r="H37" s="147">
        <v>105744.46999999997</v>
      </c>
      <c r="I37" s="147">
        <v>81054.409999999974</v>
      </c>
      <c r="J37" s="147">
        <v>56849.599999999977</v>
      </c>
      <c r="K37" s="147">
        <v>178927.36999999997</v>
      </c>
      <c r="L37" s="147">
        <v>170844.68999999997</v>
      </c>
      <c r="M37" s="147">
        <v>142075.27999999997</v>
      </c>
      <c r="N37" s="147">
        <v>115443.61999999997</v>
      </c>
      <c r="O37" s="147">
        <v>151534.55999999997</v>
      </c>
      <c r="P37" s="147">
        <v>115771.24999999997</v>
      </c>
      <c r="Q37" s="147">
        <v>228500.49999999997</v>
      </c>
      <c r="R37" s="220">
        <f t="shared" si="4"/>
        <v>134173.21076923076</v>
      </c>
    </row>
    <row r="38" spans="1:18">
      <c r="A38" s="105">
        <f t="shared" si="0"/>
        <v>27</v>
      </c>
      <c r="B38" s="665" t="s">
        <v>1745</v>
      </c>
      <c r="D38" s="662" t="s">
        <v>1393</v>
      </c>
      <c r="E38" s="147">
        <v>0</v>
      </c>
      <c r="F38" s="147">
        <v>0</v>
      </c>
      <c r="G38" s="147">
        <v>0</v>
      </c>
      <c r="H38" s="147">
        <v>0</v>
      </c>
      <c r="I38" s="147">
        <v>0</v>
      </c>
      <c r="J38" s="147">
        <v>0</v>
      </c>
      <c r="K38" s="147">
        <v>0</v>
      </c>
      <c r="L38" s="147">
        <v>0</v>
      </c>
      <c r="M38" s="147">
        <v>0</v>
      </c>
      <c r="N38" s="147">
        <v>0</v>
      </c>
      <c r="O38" s="147">
        <v>0</v>
      </c>
      <c r="P38" s="147">
        <v>0</v>
      </c>
      <c r="Q38" s="147">
        <v>-36000</v>
      </c>
      <c r="R38" s="220">
        <f t="shared" si="4"/>
        <v>-2769.2307692307691</v>
      </c>
    </row>
    <row r="39" spans="1:18">
      <c r="A39" s="105">
        <f t="shared" si="0"/>
        <v>28</v>
      </c>
      <c r="B39" s="665" t="s">
        <v>1746</v>
      </c>
      <c r="D39" s="662" t="s">
        <v>1393</v>
      </c>
      <c r="E39" s="147">
        <v>0</v>
      </c>
      <c r="F39" s="147">
        <v>0</v>
      </c>
      <c r="G39" s="147">
        <v>0</v>
      </c>
      <c r="H39" s="147">
        <v>150000</v>
      </c>
      <c r="I39" s="147">
        <v>284670.91000000003</v>
      </c>
      <c r="J39" s="147">
        <v>141242.32000000004</v>
      </c>
      <c r="K39" s="147">
        <v>1367540.72</v>
      </c>
      <c r="L39" s="147">
        <v>1081692.72</v>
      </c>
      <c r="M39" s="147">
        <v>795850.29</v>
      </c>
      <c r="N39" s="147">
        <v>508911.96</v>
      </c>
      <c r="O39" s="147">
        <v>343635.97000000003</v>
      </c>
      <c r="P39" s="147">
        <v>171817.98000000004</v>
      </c>
      <c r="Q39" s="147">
        <v>-9.9999999511055648E-3</v>
      </c>
      <c r="R39" s="220">
        <f t="shared" si="4"/>
        <v>372720.22000000003</v>
      </c>
    </row>
    <row r="40" spans="1:18">
      <c r="A40" s="105">
        <f t="shared" si="0"/>
        <v>29</v>
      </c>
      <c r="B40" s="665" t="s">
        <v>1747</v>
      </c>
      <c r="D40" s="662" t="s">
        <v>1393</v>
      </c>
      <c r="E40" s="147">
        <v>35960.659999999945</v>
      </c>
      <c r="F40" s="147">
        <v>73240.659999999945</v>
      </c>
      <c r="G40" s="147">
        <v>73240.659999999945</v>
      </c>
      <c r="H40" s="147">
        <v>0</v>
      </c>
      <c r="I40" s="147">
        <v>0</v>
      </c>
      <c r="J40" s="147">
        <v>0</v>
      </c>
      <c r="K40" s="147">
        <v>0</v>
      </c>
      <c r="L40" s="147">
        <v>0</v>
      </c>
      <c r="M40" s="147">
        <v>0</v>
      </c>
      <c r="N40" s="147">
        <v>0</v>
      </c>
      <c r="O40" s="147">
        <v>24657.11</v>
      </c>
      <c r="P40" s="147">
        <v>397769.41000000003</v>
      </c>
      <c r="Q40" s="147">
        <v>397769.41000000003</v>
      </c>
      <c r="R40" s="220">
        <f t="shared" si="4"/>
        <v>77125.99307692307</v>
      </c>
    </row>
    <row r="41" spans="1:18">
      <c r="A41" s="105">
        <f t="shared" si="0"/>
        <v>30</v>
      </c>
      <c r="B41" s="665" t="s">
        <v>1748</v>
      </c>
      <c r="D41" s="662" t="s">
        <v>1393</v>
      </c>
      <c r="E41" s="147">
        <v>113590.65000000001</v>
      </c>
      <c r="F41" s="147">
        <v>104124.73000000001</v>
      </c>
      <c r="G41" s="147">
        <v>94658.810000000012</v>
      </c>
      <c r="H41" s="147">
        <v>85192.890000000014</v>
      </c>
      <c r="I41" s="147">
        <v>75726.970000000016</v>
      </c>
      <c r="J41" s="147">
        <v>66261.050000000017</v>
      </c>
      <c r="K41" s="147">
        <v>56795.130000000019</v>
      </c>
      <c r="L41" s="147">
        <v>47329.210000000021</v>
      </c>
      <c r="M41" s="147">
        <v>37863.290000000023</v>
      </c>
      <c r="N41" s="147">
        <v>28397.370000000024</v>
      </c>
      <c r="O41" s="147">
        <v>18931.450000000026</v>
      </c>
      <c r="P41" s="147">
        <v>9465.5300000000279</v>
      </c>
      <c r="Q41" s="147">
        <v>606933.53</v>
      </c>
      <c r="R41" s="220">
        <f t="shared" si="4"/>
        <v>103482.35461538464</v>
      </c>
    </row>
    <row r="42" spans="1:18">
      <c r="A42" s="105">
        <f t="shared" si="0"/>
        <v>31</v>
      </c>
      <c r="B42" s="665" t="s">
        <v>1749</v>
      </c>
      <c r="D42" s="662" t="s">
        <v>1393</v>
      </c>
      <c r="E42" s="147">
        <v>0</v>
      </c>
      <c r="F42" s="147">
        <v>0</v>
      </c>
      <c r="G42" s="147">
        <v>0</v>
      </c>
      <c r="H42" s="147">
        <v>0</v>
      </c>
      <c r="I42" s="147">
        <v>0</v>
      </c>
      <c r="J42" s="147">
        <v>0</v>
      </c>
      <c r="K42" s="147">
        <v>0</v>
      </c>
      <c r="L42" s="147">
        <v>0</v>
      </c>
      <c r="M42" s="147">
        <v>0</v>
      </c>
      <c r="N42" s="147">
        <v>0</v>
      </c>
      <c r="O42" s="147">
        <v>1173.33</v>
      </c>
      <c r="P42" s="147">
        <v>0</v>
      </c>
      <c r="Q42" s="147">
        <v>17587.5</v>
      </c>
      <c r="R42" s="220">
        <f t="shared" si="4"/>
        <v>1443.1407692307694</v>
      </c>
    </row>
    <row r="43" spans="1:18">
      <c r="A43" s="105">
        <f t="shared" si="0"/>
        <v>32</v>
      </c>
      <c r="B43" s="665" t="s">
        <v>1750</v>
      </c>
      <c r="D43" s="662" t="s">
        <v>1393</v>
      </c>
      <c r="E43" s="147">
        <v>0</v>
      </c>
      <c r="F43" s="147">
        <v>0</v>
      </c>
      <c r="G43" s="147">
        <v>0</v>
      </c>
      <c r="H43" s="147">
        <v>0</v>
      </c>
      <c r="I43" s="147">
        <v>0</v>
      </c>
      <c r="J43" s="147">
        <v>0</v>
      </c>
      <c r="K43" s="147">
        <v>0</v>
      </c>
      <c r="L43" s="147">
        <v>0</v>
      </c>
      <c r="M43" s="147">
        <v>0</v>
      </c>
      <c r="N43" s="147">
        <v>0</v>
      </c>
      <c r="O43" s="147">
        <v>0</v>
      </c>
      <c r="P43" s="147">
        <v>0</v>
      </c>
      <c r="Q43" s="147">
        <v>171440.43</v>
      </c>
      <c r="R43" s="220">
        <f t="shared" si="4"/>
        <v>13187.725384615384</v>
      </c>
    </row>
    <row r="44" spans="1:18">
      <c r="A44" s="105">
        <f t="shared" si="0"/>
        <v>33</v>
      </c>
      <c r="B44" s="665" t="s">
        <v>1751</v>
      </c>
      <c r="D44" s="662" t="s">
        <v>1393</v>
      </c>
      <c r="E44" s="147">
        <v>19364.999999999884</v>
      </c>
      <c r="F44" s="147">
        <v>-1.1641532182693481E-10</v>
      </c>
      <c r="G44" s="147">
        <v>-1.1641532182693481E-10</v>
      </c>
      <c r="H44" s="147">
        <v>799187.99999999988</v>
      </c>
      <c r="I44" s="147">
        <v>532791.99999999988</v>
      </c>
      <c r="J44" s="147">
        <v>266395.99999999988</v>
      </c>
      <c r="K44" s="147">
        <v>802857.00999999989</v>
      </c>
      <c r="L44" s="147">
        <v>669047.47999999986</v>
      </c>
      <c r="M44" s="147">
        <v>535237.94999999984</v>
      </c>
      <c r="N44" s="147">
        <v>401428.41999999981</v>
      </c>
      <c r="O44" s="147">
        <v>267618.88999999978</v>
      </c>
      <c r="P44" s="147">
        <v>133809.35999999978</v>
      </c>
      <c r="Q44" s="147">
        <v>-0.1700000002165325</v>
      </c>
      <c r="R44" s="220">
        <f t="shared" ref="R44:R49" si="5">AVERAGE(E44:Q44)</f>
        <v>340595.37999999989</v>
      </c>
    </row>
    <row r="45" spans="1:18">
      <c r="A45" s="105">
        <f t="shared" si="0"/>
        <v>34</v>
      </c>
      <c r="B45" s="665" t="s">
        <v>1752</v>
      </c>
      <c r="D45" s="662" t="s">
        <v>1393</v>
      </c>
      <c r="E45" s="147">
        <v>39148.629999999997</v>
      </c>
      <c r="F45" s="147">
        <v>0</v>
      </c>
      <c r="G45" s="147">
        <v>0</v>
      </c>
      <c r="H45" s="147">
        <v>0</v>
      </c>
      <c r="I45" s="147">
        <v>0</v>
      </c>
      <c r="J45" s="147">
        <v>0</v>
      </c>
      <c r="K45" s="147">
        <v>0</v>
      </c>
      <c r="L45" s="147">
        <v>0</v>
      </c>
      <c r="M45" s="147">
        <v>0</v>
      </c>
      <c r="N45" s="147">
        <v>0</v>
      </c>
      <c r="O45" s="147">
        <v>0</v>
      </c>
      <c r="P45" s="147">
        <v>0</v>
      </c>
      <c r="Q45" s="147">
        <v>0</v>
      </c>
      <c r="R45" s="220">
        <f t="shared" si="5"/>
        <v>3011.4330769230769</v>
      </c>
    </row>
    <row r="46" spans="1:18">
      <c r="A46" s="105">
        <f t="shared" si="0"/>
        <v>35</v>
      </c>
      <c r="B46" s="665" t="s">
        <v>1753</v>
      </c>
      <c r="D46" s="662" t="s">
        <v>1393</v>
      </c>
      <c r="E46" s="147">
        <v>2037914</v>
      </c>
      <c r="F46" s="147">
        <v>2037914</v>
      </c>
      <c r="G46" s="147">
        <v>2037914</v>
      </c>
      <c r="H46" s="147">
        <v>2355643</v>
      </c>
      <c r="I46" s="147">
        <v>2355643</v>
      </c>
      <c r="J46" s="147">
        <v>2355643</v>
      </c>
      <c r="K46" s="147">
        <v>2688423</v>
      </c>
      <c r="L46" s="147">
        <v>2688423</v>
      </c>
      <c r="M46" s="147">
        <v>2688423</v>
      </c>
      <c r="N46" s="147">
        <v>3028728</v>
      </c>
      <c r="O46" s="147">
        <v>3028728</v>
      </c>
      <c r="P46" s="147">
        <v>3028728</v>
      </c>
      <c r="Q46" s="147">
        <v>3369033</v>
      </c>
      <c r="R46" s="220">
        <f t="shared" si="5"/>
        <v>2592396.6923076925</v>
      </c>
    </row>
    <row r="47" spans="1:18">
      <c r="A47" s="105">
        <f t="shared" si="0"/>
        <v>36</v>
      </c>
      <c r="B47" s="665" t="s">
        <v>1754</v>
      </c>
      <c r="D47" s="662" t="s">
        <v>1393</v>
      </c>
      <c r="E47" s="147">
        <v>236112.19999999978</v>
      </c>
      <c r="F47" s="147">
        <v>222223.23999999979</v>
      </c>
      <c r="G47" s="147">
        <v>208334.2799999998</v>
      </c>
      <c r="H47" s="147">
        <v>194445.3199999998</v>
      </c>
      <c r="I47" s="147">
        <v>180556.35999999981</v>
      </c>
      <c r="J47" s="147">
        <v>166667.39999999982</v>
      </c>
      <c r="K47" s="147">
        <v>152778.43999999983</v>
      </c>
      <c r="L47" s="147">
        <v>138889.47999999984</v>
      </c>
      <c r="M47" s="147">
        <v>125000.51999999984</v>
      </c>
      <c r="N47" s="147">
        <v>111111.55999999985</v>
      </c>
      <c r="O47" s="147">
        <v>97222.599999999875</v>
      </c>
      <c r="P47" s="147">
        <v>83333.639999999868</v>
      </c>
      <c r="Q47" s="147">
        <v>69444.679999999877</v>
      </c>
      <c r="R47" s="220">
        <f t="shared" si="5"/>
        <v>152778.43999999983</v>
      </c>
    </row>
    <row r="48" spans="1:18">
      <c r="A48" s="105">
        <f t="shared" si="0"/>
        <v>37</v>
      </c>
      <c r="B48" s="665" t="s">
        <v>1755</v>
      </c>
      <c r="D48" s="662" t="s">
        <v>1393</v>
      </c>
      <c r="E48" s="147">
        <v>2848666.600000001</v>
      </c>
      <c r="F48" s="147">
        <v>2700749.9300000011</v>
      </c>
      <c r="G48" s="147">
        <v>2552833.2600000012</v>
      </c>
      <c r="H48" s="147">
        <v>2404916.5900000012</v>
      </c>
      <c r="I48" s="147">
        <v>3910499.9200000013</v>
      </c>
      <c r="J48" s="147">
        <v>3762583.2500000014</v>
      </c>
      <c r="K48" s="147">
        <v>3614666.5800000015</v>
      </c>
      <c r="L48" s="147">
        <v>3466749.9100000015</v>
      </c>
      <c r="M48" s="147">
        <v>3318833.2400000016</v>
      </c>
      <c r="N48" s="147">
        <v>3170916.5700000017</v>
      </c>
      <c r="O48" s="147">
        <v>3022999.9000000018</v>
      </c>
      <c r="P48" s="147">
        <v>2875083.2300000018</v>
      </c>
      <c r="Q48" s="147">
        <v>2727166.5600000019</v>
      </c>
      <c r="R48" s="220">
        <f>AVERAGE(E48:Q48)</f>
        <v>3105897.349230771</v>
      </c>
    </row>
    <row r="49" spans="1:18">
      <c r="A49" s="105">
        <f t="shared" si="0"/>
        <v>38</v>
      </c>
      <c r="B49" s="665" t="s">
        <v>302</v>
      </c>
      <c r="D49" s="662" t="s">
        <v>1393</v>
      </c>
      <c r="E49" s="147">
        <v>248462</v>
      </c>
      <c r="F49" s="147">
        <v>248462</v>
      </c>
      <c r="G49" s="147">
        <v>248462</v>
      </c>
      <c r="H49" s="147">
        <v>248462</v>
      </c>
      <c r="I49" s="147">
        <v>248462</v>
      </c>
      <c r="J49" s="147">
        <v>248462</v>
      </c>
      <c r="K49" s="147">
        <v>248462</v>
      </c>
      <c r="L49" s="147">
        <v>248462</v>
      </c>
      <c r="M49" s="147">
        <v>248462</v>
      </c>
      <c r="N49" s="147">
        <v>248462</v>
      </c>
      <c r="O49" s="147">
        <v>248462</v>
      </c>
      <c r="P49" s="147">
        <v>248462</v>
      </c>
      <c r="Q49" s="147">
        <v>248462</v>
      </c>
      <c r="R49" s="220">
        <f t="shared" si="5"/>
        <v>248462</v>
      </c>
    </row>
    <row r="50" spans="1:18">
      <c r="A50" s="105">
        <f t="shared" si="0"/>
        <v>39</v>
      </c>
      <c r="B50" s="665"/>
      <c r="D50" s="662"/>
      <c r="E50" s="147"/>
      <c r="F50" s="147"/>
      <c r="G50" s="147"/>
      <c r="H50" s="147"/>
      <c r="I50" s="147"/>
      <c r="J50" s="147"/>
      <c r="K50" s="147"/>
      <c r="L50" s="147"/>
      <c r="M50" s="147"/>
      <c r="N50" s="147"/>
      <c r="O50" s="147"/>
      <c r="P50" s="147"/>
      <c r="Q50" s="147"/>
      <c r="R50" s="220"/>
    </row>
    <row r="51" spans="1:18">
      <c r="A51" s="105">
        <f t="shared" si="0"/>
        <v>40</v>
      </c>
      <c r="B51" s="665"/>
      <c r="D51" s="662"/>
      <c r="E51" s="147"/>
      <c r="F51" s="147"/>
      <c r="G51" s="147"/>
      <c r="H51" s="147"/>
      <c r="I51" s="147"/>
      <c r="J51" s="147"/>
      <c r="K51" s="147"/>
      <c r="L51" s="147"/>
      <c r="M51" s="147"/>
      <c r="N51" s="147"/>
      <c r="O51" s="147"/>
      <c r="P51" s="147"/>
      <c r="Q51" s="147"/>
      <c r="R51" s="220"/>
    </row>
    <row r="52" spans="1:18">
      <c r="A52" s="105">
        <f t="shared" si="0"/>
        <v>41</v>
      </c>
      <c r="B52" s="665"/>
      <c r="D52" s="662"/>
      <c r="E52" s="138"/>
      <c r="F52" s="138"/>
      <c r="G52" s="138"/>
      <c r="H52" s="138"/>
      <c r="I52" s="138"/>
      <c r="J52" s="138"/>
      <c r="K52" s="138"/>
      <c r="L52" s="138"/>
      <c r="M52" s="138"/>
      <c r="N52" s="138"/>
      <c r="O52" s="138"/>
      <c r="P52" s="138"/>
      <c r="Q52" s="138"/>
      <c r="R52" s="220"/>
    </row>
    <row r="53" spans="1:18">
      <c r="A53" s="105">
        <f t="shared" si="0"/>
        <v>42</v>
      </c>
      <c r="B53" s="184" t="s">
        <v>1304</v>
      </c>
      <c r="C53" s="510"/>
      <c r="D53" s="104"/>
      <c r="E53" s="222">
        <f>SUM(E34:E52)</f>
        <v>8550306.3600000013</v>
      </c>
      <c r="F53" s="222">
        <f t="shared" ref="F53:P53" si="6">SUM(F34:F52)</f>
        <v>8740663.7200000025</v>
      </c>
      <c r="G53" s="222">
        <f t="shared" si="6"/>
        <v>7258709.8300000019</v>
      </c>
      <c r="H53" s="222">
        <f t="shared" si="6"/>
        <v>6955720.2700000014</v>
      </c>
      <c r="I53" s="222">
        <f t="shared" si="6"/>
        <v>10377993.550000001</v>
      </c>
      <c r="J53" s="222">
        <f t="shared" si="6"/>
        <v>8868148.6000000015</v>
      </c>
      <c r="K53" s="222">
        <f t="shared" si="6"/>
        <v>10318364.23</v>
      </c>
      <c r="L53" s="222">
        <f t="shared" si="6"/>
        <v>11269861.860000001</v>
      </c>
      <c r="M53" s="222">
        <f t="shared" si="6"/>
        <v>10193998.74</v>
      </c>
      <c r="N53" s="222">
        <f t="shared" si="6"/>
        <v>8674338.5</v>
      </c>
      <c r="O53" s="222">
        <f t="shared" si="6"/>
        <v>10180069.330000002</v>
      </c>
      <c r="P53" s="222">
        <f t="shared" si="6"/>
        <v>9188338.1600000001</v>
      </c>
      <c r="Q53" s="222">
        <f>SUM(Q34:Q52)</f>
        <v>9460313.4300000016</v>
      </c>
      <c r="R53" s="815">
        <f>SUM(R34:R52)</f>
        <v>9233602.0446153879</v>
      </c>
    </row>
    <row r="54" spans="1:18" ht="13.5" thickBot="1">
      <c r="A54" s="105">
        <f t="shared" si="0"/>
        <v>43</v>
      </c>
      <c r="B54" s="184" t="s">
        <v>1395</v>
      </c>
      <c r="C54" s="510"/>
      <c r="D54" s="104" t="str">
        <f ca="1">'ATRR Est.'!G2&amp;" Line "&amp;'ATRR Est.'!A192</f>
        <v>ATRR Est. Line 171</v>
      </c>
      <c r="E54" s="222"/>
      <c r="F54" s="222"/>
      <c r="G54" s="222"/>
      <c r="H54" s="222"/>
      <c r="I54" s="222"/>
      <c r="J54" s="222"/>
      <c r="K54" s="222"/>
      <c r="L54" s="222"/>
      <c r="M54" s="222"/>
      <c r="N54" s="222"/>
      <c r="O54" s="222"/>
      <c r="P54" s="222"/>
      <c r="Q54" s="222"/>
      <c r="R54" s="187">
        <f>R26</f>
        <v>0.75544832110649052</v>
      </c>
    </row>
    <row r="55" spans="1:18" ht="13.5" thickBot="1">
      <c r="A55" s="105">
        <f t="shared" si="0"/>
        <v>44</v>
      </c>
      <c r="B55" s="184" t="s">
        <v>327</v>
      </c>
      <c r="C55" s="510"/>
      <c r="D55" s="104"/>
      <c r="E55" s="222"/>
      <c r="F55" s="222"/>
      <c r="G55" s="222"/>
      <c r="H55" s="222"/>
      <c r="I55" s="222"/>
      <c r="J55" s="222"/>
      <c r="K55" s="222"/>
      <c r="L55" s="222"/>
      <c r="M55" s="222"/>
      <c r="N55" s="222"/>
      <c r="O55" s="222"/>
      <c r="P55" s="222"/>
      <c r="Q55" s="222"/>
      <c r="R55" s="814">
        <f>R53*R54</f>
        <v>6975509.1623701528</v>
      </c>
    </row>
    <row r="56" spans="1:18" ht="13.5" thickBot="1">
      <c r="A56" s="105">
        <f t="shared" si="0"/>
        <v>45</v>
      </c>
      <c r="B56" s="145" t="s">
        <v>211</v>
      </c>
      <c r="C56" s="507"/>
      <c r="D56" s="105" t="str">
        <f>"Lines "&amp;A17&amp;" + "&amp;A25&amp;" + "&amp;A31&amp;" + "&amp;A53</f>
        <v>Lines 6 + 14 + 20 + 42</v>
      </c>
      <c r="E56" s="447">
        <f>E53+E31+E25+E17</f>
        <v>19745423.950000003</v>
      </c>
      <c r="F56" s="447">
        <f t="shared" ref="F56:P56" si="7">F53+F31+F25+F17</f>
        <v>19176825.980000004</v>
      </c>
      <c r="G56" s="447">
        <f t="shared" si="7"/>
        <v>16997400.420000002</v>
      </c>
      <c r="H56" s="447">
        <f t="shared" si="7"/>
        <v>16064938.680000003</v>
      </c>
      <c r="I56" s="447">
        <f t="shared" si="7"/>
        <v>18499067.970000003</v>
      </c>
      <c r="J56" s="447">
        <f t="shared" si="7"/>
        <v>15883668.110000003</v>
      </c>
      <c r="K56" s="447">
        <f t="shared" si="7"/>
        <v>17340829.490000002</v>
      </c>
      <c r="L56" s="447">
        <f t="shared" si="7"/>
        <v>22699274</v>
      </c>
      <c r="M56" s="447">
        <f t="shared" si="7"/>
        <v>20612650.690000005</v>
      </c>
      <c r="N56" s="447">
        <f t="shared" si="7"/>
        <v>17966558.750000004</v>
      </c>
      <c r="O56" s="447">
        <f t="shared" si="7"/>
        <v>18474609.250000007</v>
      </c>
      <c r="P56" s="447">
        <f t="shared" si="7"/>
        <v>21527844.020000003</v>
      </c>
      <c r="Q56" s="447">
        <f>Q53+Q31+Q25+Q17</f>
        <v>24294909.710000005</v>
      </c>
      <c r="R56" s="223"/>
    </row>
    <row r="57" spans="1:18" ht="13.5" thickTop="1">
      <c r="A57" s="105">
        <f t="shared" si="0"/>
        <v>46</v>
      </c>
      <c r="C57" s="507"/>
      <c r="E57" s="267"/>
      <c r="F57" s="267"/>
      <c r="G57" s="267"/>
      <c r="H57" s="267"/>
      <c r="I57" s="267"/>
      <c r="J57" s="267"/>
      <c r="K57" s="267"/>
      <c r="L57" s="267"/>
      <c r="M57" s="267"/>
      <c r="N57" s="267"/>
      <c r="O57" s="267"/>
      <c r="P57" s="267"/>
      <c r="Q57" s="267"/>
      <c r="R57" s="223"/>
    </row>
    <row r="58" spans="1:18">
      <c r="A58" s="105">
        <f t="shared" si="0"/>
        <v>47</v>
      </c>
      <c r="B58" s="525" t="s">
        <v>1049</v>
      </c>
      <c r="C58" s="507"/>
      <c r="D58" s="109"/>
      <c r="E58" s="220"/>
      <c r="F58" s="267"/>
      <c r="G58" s="267"/>
      <c r="H58" s="267"/>
      <c r="I58" s="267"/>
      <c r="J58" s="267"/>
      <c r="K58" s="267"/>
      <c r="L58" s="267"/>
      <c r="M58" s="267"/>
      <c r="N58" s="267"/>
      <c r="O58" s="267"/>
      <c r="P58" s="267"/>
      <c r="Q58" s="267"/>
      <c r="R58" s="223"/>
    </row>
    <row r="59" spans="1:18">
      <c r="A59" s="105">
        <f t="shared" si="0"/>
        <v>48</v>
      </c>
      <c r="B59" s="506" t="s">
        <v>1047</v>
      </c>
      <c r="D59" s="662" t="s">
        <v>1393</v>
      </c>
      <c r="E59" s="219">
        <v>75494538</v>
      </c>
      <c r="F59" s="219">
        <v>47871642.880000003</v>
      </c>
      <c r="G59" s="219">
        <v>30190441.070000004</v>
      </c>
      <c r="H59" s="219">
        <v>5173491.4800000042</v>
      </c>
      <c r="I59" s="219">
        <v>9060939.4200000037</v>
      </c>
      <c r="J59" s="219">
        <v>0</v>
      </c>
      <c r="K59" s="219">
        <v>45519747.270000003</v>
      </c>
      <c r="L59" s="219">
        <v>9732117.9600000009</v>
      </c>
      <c r="M59" s="219">
        <v>0</v>
      </c>
      <c r="N59" s="219">
        <v>30519755</v>
      </c>
      <c r="O59" s="219">
        <v>21630580.25</v>
      </c>
      <c r="P59" s="219">
        <v>6575300.2100000009</v>
      </c>
      <c r="Q59" s="219">
        <v>9215270.4600000009</v>
      </c>
      <c r="R59" s="223"/>
    </row>
    <row r="60" spans="1:18">
      <c r="A60" s="105">
        <f t="shared" si="0"/>
        <v>49</v>
      </c>
      <c r="B60" s="506" t="s">
        <v>1048</v>
      </c>
      <c r="D60" s="662" t="s">
        <v>1393</v>
      </c>
      <c r="E60" s="219">
        <v>5667515</v>
      </c>
      <c r="F60" s="219">
        <v>1843064.1600000001</v>
      </c>
      <c r="G60" s="219">
        <v>0</v>
      </c>
      <c r="H60" s="219">
        <v>0</v>
      </c>
      <c r="I60" s="219">
        <v>0</v>
      </c>
      <c r="J60" s="219">
        <v>0</v>
      </c>
      <c r="K60" s="219">
        <v>0</v>
      </c>
      <c r="L60" s="219">
        <v>0</v>
      </c>
      <c r="M60" s="219">
        <v>0</v>
      </c>
      <c r="N60" s="219">
        <v>0</v>
      </c>
      <c r="O60" s="219">
        <v>0</v>
      </c>
      <c r="P60" s="219">
        <v>0</v>
      </c>
      <c r="Q60" s="219">
        <v>0</v>
      </c>
      <c r="R60" s="223"/>
    </row>
    <row r="61" spans="1:18">
      <c r="A61" s="105">
        <f t="shared" si="0"/>
        <v>50</v>
      </c>
      <c r="B61" s="506"/>
      <c r="C61" s="509"/>
      <c r="D61" s="221"/>
      <c r="E61" s="137"/>
      <c r="F61" s="221"/>
      <c r="G61" s="221"/>
      <c r="H61" s="221"/>
      <c r="I61" s="221"/>
      <c r="J61" s="221"/>
      <c r="K61" s="221"/>
      <c r="L61" s="221"/>
      <c r="M61" s="221"/>
      <c r="N61" s="221"/>
      <c r="O61" s="221"/>
      <c r="P61" s="221"/>
      <c r="Q61" s="221"/>
      <c r="R61" s="223"/>
    </row>
    <row r="62" spans="1:18">
      <c r="A62" s="105">
        <f t="shared" si="0"/>
        <v>51</v>
      </c>
      <c r="B62" s="145"/>
      <c r="C62" s="507"/>
      <c r="D62" s="140"/>
      <c r="E62" s="267"/>
      <c r="F62" s="267"/>
      <c r="G62" s="267"/>
      <c r="H62" s="267"/>
      <c r="I62" s="267"/>
      <c r="J62" s="267"/>
      <c r="K62" s="267"/>
      <c r="L62" s="267"/>
      <c r="M62" s="267"/>
      <c r="N62" s="267"/>
      <c r="O62" s="267"/>
      <c r="P62" s="267"/>
      <c r="Q62" s="267"/>
      <c r="R62" s="223"/>
    </row>
    <row r="63" spans="1:18" ht="39" thickBot="1">
      <c r="A63" s="105">
        <f t="shared" si="0"/>
        <v>52</v>
      </c>
      <c r="B63" s="145" t="s">
        <v>795</v>
      </c>
      <c r="C63" s="507"/>
      <c r="D63" s="140" t="s">
        <v>380</v>
      </c>
      <c r="E63" s="447">
        <f t="shared" ref="E63:Q63" si="8">SUM(E56:E62)</f>
        <v>100907476.95</v>
      </c>
      <c r="F63" s="447">
        <f t="shared" si="8"/>
        <v>68891533.020000011</v>
      </c>
      <c r="G63" s="447">
        <f t="shared" si="8"/>
        <v>47187841.49000001</v>
      </c>
      <c r="H63" s="447">
        <f t="shared" si="8"/>
        <v>21238430.160000008</v>
      </c>
      <c r="I63" s="447">
        <f t="shared" si="8"/>
        <v>27560007.390000008</v>
      </c>
      <c r="J63" s="447">
        <f t="shared" si="8"/>
        <v>15883668.110000003</v>
      </c>
      <c r="K63" s="447">
        <f t="shared" si="8"/>
        <v>62860576.760000005</v>
      </c>
      <c r="L63" s="447">
        <f t="shared" si="8"/>
        <v>32431391.960000001</v>
      </c>
      <c r="M63" s="447">
        <f t="shared" si="8"/>
        <v>20612650.690000005</v>
      </c>
      <c r="N63" s="447">
        <f t="shared" si="8"/>
        <v>48486313.75</v>
      </c>
      <c r="O63" s="447">
        <f t="shared" si="8"/>
        <v>40105189.500000007</v>
      </c>
      <c r="P63" s="447">
        <f t="shared" si="8"/>
        <v>28103144.230000004</v>
      </c>
      <c r="Q63" s="447">
        <f t="shared" si="8"/>
        <v>33510180.170000006</v>
      </c>
      <c r="R63" s="223"/>
    </row>
    <row r="64" spans="1:18" ht="13.5" thickTop="1">
      <c r="A64" s="105"/>
      <c r="E64" s="134"/>
      <c r="F64" s="134"/>
      <c r="G64" s="134"/>
      <c r="H64" s="134"/>
      <c r="I64" s="134"/>
      <c r="J64" s="134"/>
      <c r="K64" s="134"/>
      <c r="L64" s="134"/>
      <c r="M64" s="134"/>
      <c r="N64" s="134"/>
      <c r="O64" s="134"/>
      <c r="P64" s="134"/>
      <c r="Q64" s="134"/>
    </row>
    <row r="65" spans="1:18">
      <c r="A65" s="105"/>
      <c r="B65" s="190" t="s">
        <v>768</v>
      </c>
      <c r="E65" s="134"/>
      <c r="F65" s="134"/>
      <c r="G65" s="134"/>
      <c r="H65" s="134"/>
      <c r="I65" s="134"/>
      <c r="J65" s="134"/>
      <c r="K65" s="134"/>
      <c r="L65" s="134"/>
      <c r="M65" s="134"/>
      <c r="N65" s="134"/>
      <c r="O65" s="134"/>
      <c r="P65" s="134"/>
      <c r="Q65" s="134"/>
    </row>
    <row r="66" spans="1:18">
      <c r="B66" s="190"/>
    </row>
    <row r="68" spans="1:18">
      <c r="A68" s="651" t="s">
        <v>1071</v>
      </c>
      <c r="E68" s="651"/>
      <c r="F68" s="651"/>
    </row>
    <row r="70" spans="1:18">
      <c r="A70" s="1" t="s">
        <v>868</v>
      </c>
      <c r="B70" s="1" t="s">
        <v>917</v>
      </c>
      <c r="C70" s="277"/>
      <c r="D70" s="1" t="s">
        <v>870</v>
      </c>
      <c r="E70" s="237">
        <v>43100</v>
      </c>
      <c r="F70" s="237">
        <v>43131</v>
      </c>
      <c r="G70" s="237">
        <v>43159</v>
      </c>
      <c r="H70" s="237">
        <v>43190</v>
      </c>
      <c r="I70" s="237">
        <v>43220</v>
      </c>
      <c r="J70" s="237">
        <v>43251</v>
      </c>
      <c r="K70" s="237">
        <v>43281</v>
      </c>
      <c r="L70" s="237">
        <v>43312</v>
      </c>
      <c r="M70" s="237">
        <v>43343</v>
      </c>
      <c r="N70" s="237">
        <v>43373</v>
      </c>
      <c r="O70" s="237">
        <v>43404</v>
      </c>
      <c r="P70" s="237">
        <v>43434</v>
      </c>
      <c r="Q70" s="237">
        <v>43465</v>
      </c>
      <c r="R70" s="188" t="s">
        <v>957</v>
      </c>
    </row>
    <row r="71" spans="1:18">
      <c r="E71" s="110" t="s">
        <v>363</v>
      </c>
      <c r="F71" s="110" t="s">
        <v>362</v>
      </c>
      <c r="G71" s="110" t="s">
        <v>363</v>
      </c>
      <c r="H71" s="110" t="s">
        <v>365</v>
      </c>
      <c r="I71" s="110" t="s">
        <v>366</v>
      </c>
      <c r="J71" s="110" t="s">
        <v>367</v>
      </c>
      <c r="K71" s="110" t="s">
        <v>368</v>
      </c>
      <c r="L71" s="110" t="s">
        <v>369</v>
      </c>
      <c r="M71" s="110" t="s">
        <v>370</v>
      </c>
      <c r="N71" s="110" t="s">
        <v>371</v>
      </c>
      <c r="O71" s="110" t="s">
        <v>372</v>
      </c>
      <c r="P71" s="110" t="s">
        <v>373</v>
      </c>
      <c r="Q71" s="110" t="s">
        <v>374</v>
      </c>
      <c r="R71" s="115" t="s">
        <v>375</v>
      </c>
    </row>
    <row r="72" spans="1:18">
      <c r="B72" s="98" t="s">
        <v>1046</v>
      </c>
    </row>
    <row r="74" spans="1:18">
      <c r="A74" s="105">
        <v>1</v>
      </c>
      <c r="B74" s="145" t="s">
        <v>985</v>
      </c>
      <c r="D74" s="98"/>
      <c r="E74" s="98"/>
      <c r="Q74" s="98"/>
    </row>
    <row r="75" spans="1:18">
      <c r="A75" s="105">
        <f t="shared" ref="A75:A122" si="9">A74+1</f>
        <v>2</v>
      </c>
      <c r="B75" s="665" t="str">
        <f>B13</f>
        <v>Insurance</v>
      </c>
      <c r="D75" s="662" t="str">
        <f>D13</f>
        <v>Company Records</v>
      </c>
      <c r="E75" s="219"/>
      <c r="F75" s="219"/>
      <c r="G75" s="219"/>
      <c r="H75" s="219"/>
      <c r="I75" s="219"/>
      <c r="J75" s="219"/>
      <c r="K75" s="219"/>
      <c r="L75" s="219"/>
      <c r="M75" s="219"/>
      <c r="N75" s="219"/>
      <c r="O75" s="219"/>
      <c r="P75" s="219"/>
      <c r="Q75" s="219"/>
      <c r="R75" s="220">
        <f>IF(E75=0,0,AVERAGE(E75:Q75))</f>
        <v>0</v>
      </c>
    </row>
    <row r="76" spans="1:18">
      <c r="A76" s="105">
        <f t="shared" si="9"/>
        <v>3</v>
      </c>
      <c r="B76" s="665" t="str">
        <f>B14</f>
        <v>Auto Licensing</v>
      </c>
      <c r="D76" s="662" t="str">
        <f>D14</f>
        <v>Company Records</v>
      </c>
      <c r="E76" s="137"/>
      <c r="F76" s="137"/>
      <c r="G76" s="137"/>
      <c r="H76" s="137"/>
      <c r="I76" s="137"/>
      <c r="J76" s="137"/>
      <c r="K76" s="137"/>
      <c r="L76" s="137"/>
      <c r="M76" s="137"/>
      <c r="N76" s="137"/>
      <c r="O76" s="137"/>
      <c r="P76" s="137"/>
      <c r="Q76" s="137"/>
      <c r="R76" s="139">
        <f>IF(E76=0,0,AVERAGE(E76:Q76))</f>
        <v>0</v>
      </c>
    </row>
    <row r="77" spans="1:18">
      <c r="A77" s="105">
        <f t="shared" si="9"/>
        <v>4</v>
      </c>
      <c r="B77" s="665" t="str">
        <f>B15</f>
        <v>Dark Fiber Lease</v>
      </c>
      <c r="D77" s="662" t="str">
        <f>D15</f>
        <v>Company Records</v>
      </c>
      <c r="E77" s="137"/>
      <c r="F77" s="137"/>
      <c r="G77" s="137"/>
      <c r="H77" s="137"/>
      <c r="I77" s="137"/>
      <c r="J77" s="137"/>
      <c r="K77" s="137"/>
      <c r="L77" s="137"/>
      <c r="M77" s="137"/>
      <c r="N77" s="137"/>
      <c r="O77" s="137"/>
      <c r="P77" s="137"/>
      <c r="Q77" s="137"/>
      <c r="R77" s="139">
        <f>IF(E77=0,0,AVERAGE(E77:Q77))</f>
        <v>0</v>
      </c>
    </row>
    <row r="78" spans="1:18">
      <c r="A78" s="115">
        <f t="shared" si="9"/>
        <v>5</v>
      </c>
      <c r="B78" s="665" t="str">
        <f>B16</f>
        <v>Prepaids - Facility Fees</v>
      </c>
      <c r="D78" s="662" t="str">
        <f>D16</f>
        <v>Company Records</v>
      </c>
      <c r="E78" s="138"/>
      <c r="F78" s="138"/>
      <c r="G78" s="138"/>
      <c r="H78" s="138"/>
      <c r="I78" s="138"/>
      <c r="J78" s="138"/>
      <c r="K78" s="138"/>
      <c r="L78" s="138"/>
      <c r="M78" s="138"/>
      <c r="N78" s="138"/>
      <c r="O78" s="138"/>
      <c r="P78" s="138"/>
      <c r="Q78" s="138"/>
      <c r="R78" s="653">
        <f>IF(E78=0,0,AVERAGE(E78:Q78))</f>
        <v>0</v>
      </c>
    </row>
    <row r="79" spans="1:18">
      <c r="A79" s="115">
        <f t="shared" si="9"/>
        <v>6</v>
      </c>
      <c r="B79" s="184" t="s">
        <v>1394</v>
      </c>
      <c r="D79" s="104"/>
      <c r="E79" s="222">
        <f>SUM(E75:E78)</f>
        <v>0</v>
      </c>
      <c r="F79" s="222">
        <f t="shared" ref="F79:P79" si="10">SUM(F75:F78)</f>
        <v>0</v>
      </c>
      <c r="G79" s="222">
        <f t="shared" si="10"/>
        <v>0</v>
      </c>
      <c r="H79" s="222">
        <f t="shared" si="10"/>
        <v>0</v>
      </c>
      <c r="I79" s="222">
        <f t="shared" si="10"/>
        <v>0</v>
      </c>
      <c r="J79" s="222">
        <f t="shared" si="10"/>
        <v>0</v>
      </c>
      <c r="K79" s="222">
        <f t="shared" si="10"/>
        <v>0</v>
      </c>
      <c r="L79" s="222">
        <f t="shared" si="10"/>
        <v>0</v>
      </c>
      <c r="M79" s="222">
        <f t="shared" si="10"/>
        <v>0</v>
      </c>
      <c r="N79" s="222">
        <f t="shared" si="10"/>
        <v>0</v>
      </c>
      <c r="O79" s="222">
        <f t="shared" si="10"/>
        <v>0</v>
      </c>
      <c r="P79" s="222">
        <f t="shared" si="10"/>
        <v>0</v>
      </c>
      <c r="Q79" s="222">
        <f>SUM(Q75:Q78)</f>
        <v>0</v>
      </c>
      <c r="R79" s="220">
        <f>SUM(R75:R78)</f>
        <v>0</v>
      </c>
    </row>
    <row r="80" spans="1:18" ht="13.5" thickBot="1">
      <c r="A80" s="115">
        <f t="shared" si="9"/>
        <v>7</v>
      </c>
      <c r="B80" s="184" t="s">
        <v>1395</v>
      </c>
      <c r="D80" s="105" t="str">
        <f ca="1">'ATRR Act'!G2&amp;" Line "&amp;'ATRR Act'!A193</f>
        <v>ATRR Act Line 172</v>
      </c>
      <c r="E80" s="105"/>
      <c r="Q80" s="105"/>
      <c r="R80" s="187">
        <f>'ATRR Act'!D193</f>
        <v>0.75544832110649052</v>
      </c>
    </row>
    <row r="81" spans="1:18" ht="13.5" thickBot="1">
      <c r="A81" s="115">
        <f t="shared" si="9"/>
        <v>8</v>
      </c>
      <c r="B81" s="184" t="s">
        <v>1396</v>
      </c>
      <c r="D81" s="104"/>
      <c r="E81" s="104"/>
      <c r="Q81" s="104"/>
      <c r="R81" s="224">
        <f>R79*R80</f>
        <v>0</v>
      </c>
    </row>
    <row r="82" spans="1:18">
      <c r="A82" s="115">
        <f t="shared" si="9"/>
        <v>9</v>
      </c>
      <c r="B82" s="104"/>
      <c r="D82" s="121"/>
      <c r="E82" s="121"/>
      <c r="Q82" s="121"/>
      <c r="R82" s="139"/>
    </row>
    <row r="83" spans="1:18">
      <c r="A83" s="115">
        <f t="shared" si="9"/>
        <v>10</v>
      </c>
      <c r="B83" s="145" t="s">
        <v>987</v>
      </c>
      <c r="D83" s="131"/>
      <c r="E83" s="131"/>
      <c r="Q83" s="131"/>
      <c r="R83" s="139"/>
    </row>
    <row r="84" spans="1:18">
      <c r="A84" s="115">
        <f t="shared" si="9"/>
        <v>11</v>
      </c>
      <c r="B84" s="667" t="str">
        <f>B22</f>
        <v>Other Prepaid (Rent)</v>
      </c>
      <c r="D84" s="662" t="str">
        <f>D22</f>
        <v>Company Records</v>
      </c>
      <c r="E84" s="219"/>
      <c r="F84" s="219"/>
      <c r="G84" s="219"/>
      <c r="H84" s="219"/>
      <c r="I84" s="219"/>
      <c r="J84" s="219"/>
      <c r="K84" s="219"/>
      <c r="L84" s="219"/>
      <c r="M84" s="219"/>
      <c r="N84" s="219"/>
      <c r="O84" s="219"/>
      <c r="P84" s="219"/>
      <c r="Q84" s="219"/>
      <c r="R84" s="139" t="e">
        <f>AVERAGE(E84:Q84)</f>
        <v>#DIV/0!</v>
      </c>
    </row>
    <row r="85" spans="1:18">
      <c r="A85" s="115">
        <f t="shared" si="9"/>
        <v>12</v>
      </c>
      <c r="B85" s="667" t="str">
        <f>B23</f>
        <v xml:space="preserve">Hardware Maintenance Prepaids </v>
      </c>
      <c r="D85" s="662" t="str">
        <f>D23</f>
        <v>Company Records</v>
      </c>
      <c r="E85" s="137"/>
      <c r="F85" s="137"/>
      <c r="G85" s="137"/>
      <c r="H85" s="137"/>
      <c r="I85" s="137"/>
      <c r="J85" s="137"/>
      <c r="K85" s="137"/>
      <c r="L85" s="137"/>
      <c r="M85" s="137"/>
      <c r="N85" s="137"/>
      <c r="O85" s="137"/>
      <c r="P85" s="137"/>
      <c r="Q85" s="137"/>
      <c r="R85" s="139" t="e">
        <f>AVERAGE(E85:Q85)</f>
        <v>#DIV/0!</v>
      </c>
    </row>
    <row r="86" spans="1:18">
      <c r="A86" s="115">
        <f t="shared" si="9"/>
        <v>13</v>
      </c>
      <c r="B86" s="667" t="str">
        <f>B24</f>
        <v xml:space="preserve">Other Prepaid - Benefits      </v>
      </c>
      <c r="D86" s="662" t="str">
        <f>D24</f>
        <v>Company Records</v>
      </c>
      <c r="E86" s="147"/>
      <c r="F86" s="147"/>
      <c r="G86" s="147"/>
      <c r="H86" s="147"/>
      <c r="I86" s="147"/>
      <c r="J86" s="147"/>
      <c r="K86" s="147"/>
      <c r="L86" s="147"/>
      <c r="M86" s="147"/>
      <c r="N86" s="147"/>
      <c r="O86" s="147"/>
      <c r="P86" s="147"/>
      <c r="Q86" s="147"/>
      <c r="R86" s="139" t="e">
        <f>AVERAGE(E86:Q86)</f>
        <v>#DIV/0!</v>
      </c>
    </row>
    <row r="87" spans="1:18">
      <c r="A87" s="115">
        <f t="shared" si="9"/>
        <v>14</v>
      </c>
      <c r="B87" s="184" t="s">
        <v>1264</v>
      </c>
      <c r="D87" s="104"/>
      <c r="E87" s="222">
        <f t="shared" ref="E87:R87" si="11">SUM(E84:E86)</f>
        <v>0</v>
      </c>
      <c r="F87" s="222">
        <f t="shared" si="11"/>
        <v>0</v>
      </c>
      <c r="G87" s="222">
        <f t="shared" si="11"/>
        <v>0</v>
      </c>
      <c r="H87" s="222">
        <f t="shared" si="11"/>
        <v>0</v>
      </c>
      <c r="I87" s="222">
        <f t="shared" si="11"/>
        <v>0</v>
      </c>
      <c r="J87" s="222">
        <f t="shared" si="11"/>
        <v>0</v>
      </c>
      <c r="K87" s="222">
        <f t="shared" si="11"/>
        <v>0</v>
      </c>
      <c r="L87" s="222">
        <f t="shared" si="11"/>
        <v>0</v>
      </c>
      <c r="M87" s="222">
        <f t="shared" si="11"/>
        <v>0</v>
      </c>
      <c r="N87" s="222">
        <f t="shared" si="11"/>
        <v>0</v>
      </c>
      <c r="O87" s="222">
        <f t="shared" si="11"/>
        <v>0</v>
      </c>
      <c r="P87" s="222">
        <f t="shared" si="11"/>
        <v>0</v>
      </c>
      <c r="Q87" s="222">
        <f t="shared" si="11"/>
        <v>0</v>
      </c>
      <c r="R87" s="222" t="e">
        <f t="shared" si="11"/>
        <v>#DIV/0!</v>
      </c>
    </row>
    <row r="88" spans="1:18" ht="13.5" thickBot="1">
      <c r="A88" s="115">
        <f t="shared" si="9"/>
        <v>15</v>
      </c>
      <c r="B88" s="184" t="s">
        <v>1395</v>
      </c>
      <c r="D88" s="104" t="str">
        <f ca="1">'ATRR Act'!G2&amp;" Line "&amp;'ATRR Act'!A193</f>
        <v>ATRR Act Line 172</v>
      </c>
      <c r="E88" s="104"/>
      <c r="Q88" s="104"/>
      <c r="R88" s="187">
        <f>R80</f>
        <v>0.75544832110649052</v>
      </c>
    </row>
    <row r="89" spans="1:18" ht="13.5" thickBot="1">
      <c r="A89" s="115">
        <f t="shared" si="9"/>
        <v>16</v>
      </c>
      <c r="B89" s="184" t="s">
        <v>1397</v>
      </c>
      <c r="D89" s="104"/>
      <c r="E89" s="104"/>
      <c r="Q89" s="104"/>
      <c r="R89" s="224" t="e">
        <f>R87*R88</f>
        <v>#DIV/0!</v>
      </c>
    </row>
    <row r="90" spans="1:18">
      <c r="A90" s="115">
        <f t="shared" si="9"/>
        <v>17</v>
      </c>
      <c r="B90" s="104"/>
      <c r="R90" s="139"/>
    </row>
    <row r="91" spans="1:18">
      <c r="A91" s="115">
        <f t="shared" si="9"/>
        <v>18</v>
      </c>
      <c r="B91" s="145" t="s">
        <v>988</v>
      </c>
      <c r="R91" s="139"/>
    </row>
    <row r="92" spans="1:18" ht="13.5" thickBot="1">
      <c r="A92" s="115">
        <f t="shared" si="9"/>
        <v>19</v>
      </c>
      <c r="B92" s="506" t="str">
        <f>B30</f>
        <v xml:space="preserve">Prepaid Transmission Exp      </v>
      </c>
      <c r="D92" s="662" t="str">
        <f>D30</f>
        <v>Company Records</v>
      </c>
      <c r="E92" s="219"/>
      <c r="F92" s="219"/>
      <c r="G92" s="219"/>
      <c r="H92" s="219"/>
      <c r="I92" s="219"/>
      <c r="J92" s="219"/>
      <c r="K92" s="219"/>
      <c r="L92" s="219"/>
      <c r="M92" s="219"/>
      <c r="N92" s="219"/>
      <c r="O92" s="219"/>
      <c r="P92" s="219"/>
      <c r="Q92" s="219"/>
      <c r="R92" s="220" t="e">
        <f>AVERAGE(E92:Q92)</f>
        <v>#DIV/0!</v>
      </c>
    </row>
    <row r="93" spans="1:18" ht="13.5" thickBot="1">
      <c r="A93" s="115">
        <f t="shared" si="9"/>
        <v>20</v>
      </c>
      <c r="B93" s="184" t="s">
        <v>117</v>
      </c>
      <c r="E93" s="222">
        <f t="shared" ref="E93:R93" si="12">SUM(E92:E92)</f>
        <v>0</v>
      </c>
      <c r="F93" s="222">
        <f t="shared" si="12"/>
        <v>0</v>
      </c>
      <c r="G93" s="222">
        <f t="shared" si="12"/>
        <v>0</v>
      </c>
      <c r="H93" s="222">
        <f t="shared" si="12"/>
        <v>0</v>
      </c>
      <c r="I93" s="222">
        <f t="shared" si="12"/>
        <v>0</v>
      </c>
      <c r="J93" s="222">
        <f t="shared" si="12"/>
        <v>0</v>
      </c>
      <c r="K93" s="222">
        <f t="shared" si="12"/>
        <v>0</v>
      </c>
      <c r="L93" s="222">
        <f t="shared" si="12"/>
        <v>0</v>
      </c>
      <c r="M93" s="222">
        <f t="shared" si="12"/>
        <v>0</v>
      </c>
      <c r="N93" s="222">
        <f t="shared" si="12"/>
        <v>0</v>
      </c>
      <c r="O93" s="222">
        <f t="shared" si="12"/>
        <v>0</v>
      </c>
      <c r="P93" s="222">
        <f t="shared" si="12"/>
        <v>0</v>
      </c>
      <c r="Q93" s="222">
        <f t="shared" si="12"/>
        <v>0</v>
      </c>
      <c r="R93" s="446" t="e">
        <f t="shared" si="12"/>
        <v>#DIV/0!</v>
      </c>
    </row>
    <row r="94" spans="1:18">
      <c r="A94" s="105">
        <f t="shared" si="9"/>
        <v>21</v>
      </c>
      <c r="B94" s="184"/>
      <c r="R94" s="139"/>
    </row>
    <row r="95" spans="1:18">
      <c r="A95" s="105">
        <f t="shared" si="9"/>
        <v>22</v>
      </c>
      <c r="B95" s="145" t="s">
        <v>1240</v>
      </c>
      <c r="D95" s="98"/>
      <c r="E95" s="98"/>
      <c r="Q95" s="98"/>
      <c r="R95" s="139"/>
    </row>
    <row r="96" spans="1:18">
      <c r="A96" s="105">
        <f t="shared" si="9"/>
        <v>23</v>
      </c>
      <c r="B96" s="665" t="s">
        <v>1741</v>
      </c>
      <c r="D96" s="662" t="str">
        <f t="shared" ref="D96:D111" si="13">D34</f>
        <v>Company Records</v>
      </c>
      <c r="E96" s="219"/>
      <c r="F96" s="219"/>
      <c r="G96" s="219"/>
      <c r="H96" s="219"/>
      <c r="I96" s="219"/>
      <c r="J96" s="219"/>
      <c r="K96" s="219"/>
      <c r="L96" s="219"/>
      <c r="M96" s="219"/>
      <c r="N96" s="219"/>
      <c r="O96" s="219"/>
      <c r="P96" s="219"/>
      <c r="Q96" s="219"/>
      <c r="R96" s="139" t="e">
        <f>AVERAGE(E96:Q96)</f>
        <v>#DIV/0!</v>
      </c>
    </row>
    <row r="97" spans="1:18">
      <c r="A97" s="105">
        <f t="shared" si="9"/>
        <v>24</v>
      </c>
      <c r="B97" s="665" t="s">
        <v>1742</v>
      </c>
      <c r="D97" s="662" t="str">
        <f t="shared" si="13"/>
        <v>Company Records</v>
      </c>
      <c r="E97" s="137"/>
      <c r="F97" s="137"/>
      <c r="G97" s="137"/>
      <c r="H97" s="137"/>
      <c r="I97" s="137"/>
      <c r="J97" s="137"/>
      <c r="K97" s="137"/>
      <c r="L97" s="137"/>
      <c r="M97" s="137"/>
      <c r="N97" s="137"/>
      <c r="O97" s="137"/>
      <c r="P97" s="137"/>
      <c r="Q97" s="137"/>
      <c r="R97" s="139" t="e">
        <f t="shared" ref="R97:R111" si="14">AVERAGE(E97:Q97)</f>
        <v>#DIV/0!</v>
      </c>
    </row>
    <row r="98" spans="1:18">
      <c r="A98" s="105">
        <f t="shared" si="9"/>
        <v>25</v>
      </c>
      <c r="B98" s="665" t="s">
        <v>1743</v>
      </c>
      <c r="D98" s="662" t="str">
        <f t="shared" si="13"/>
        <v>Company Records</v>
      </c>
      <c r="E98" s="137"/>
      <c r="F98" s="137"/>
      <c r="G98" s="137"/>
      <c r="H98" s="137"/>
      <c r="I98" s="137"/>
      <c r="J98" s="137"/>
      <c r="K98" s="137"/>
      <c r="L98" s="137"/>
      <c r="M98" s="137"/>
      <c r="N98" s="137"/>
      <c r="O98" s="137"/>
      <c r="P98" s="137"/>
      <c r="Q98" s="137"/>
      <c r="R98" s="139" t="e">
        <f t="shared" si="14"/>
        <v>#DIV/0!</v>
      </c>
    </row>
    <row r="99" spans="1:18">
      <c r="A99" s="105">
        <f t="shared" si="9"/>
        <v>26</v>
      </c>
      <c r="B99" s="665" t="s">
        <v>1744</v>
      </c>
      <c r="D99" s="662" t="str">
        <f t="shared" si="13"/>
        <v>Company Records</v>
      </c>
      <c r="E99" s="137"/>
      <c r="F99" s="137"/>
      <c r="G99" s="137"/>
      <c r="H99" s="137"/>
      <c r="I99" s="137"/>
      <c r="J99" s="137"/>
      <c r="K99" s="137"/>
      <c r="L99" s="137"/>
      <c r="M99" s="137"/>
      <c r="N99" s="137"/>
      <c r="O99" s="137"/>
      <c r="P99" s="137"/>
      <c r="Q99" s="137"/>
      <c r="R99" s="139" t="e">
        <f t="shared" si="14"/>
        <v>#DIV/0!</v>
      </c>
    </row>
    <row r="100" spans="1:18">
      <c r="A100" s="105">
        <f t="shared" si="9"/>
        <v>27</v>
      </c>
      <c r="B100" s="665" t="s">
        <v>1745</v>
      </c>
      <c r="D100" s="662" t="str">
        <f t="shared" si="13"/>
        <v>Company Records</v>
      </c>
      <c r="E100" s="137"/>
      <c r="F100" s="137"/>
      <c r="G100" s="137"/>
      <c r="H100" s="137"/>
      <c r="I100" s="137"/>
      <c r="J100" s="137"/>
      <c r="K100" s="137"/>
      <c r="L100" s="137"/>
      <c r="M100" s="137"/>
      <c r="N100" s="137"/>
      <c r="O100" s="137"/>
      <c r="P100" s="137"/>
      <c r="Q100" s="137"/>
      <c r="R100" s="139" t="e">
        <f t="shared" si="14"/>
        <v>#DIV/0!</v>
      </c>
    </row>
    <row r="101" spans="1:18">
      <c r="A101" s="105">
        <f t="shared" si="9"/>
        <v>28</v>
      </c>
      <c r="B101" s="665" t="s">
        <v>1746</v>
      </c>
      <c r="D101" s="662" t="str">
        <f t="shared" si="13"/>
        <v>Company Records</v>
      </c>
      <c r="E101" s="137"/>
      <c r="F101" s="137"/>
      <c r="G101" s="137"/>
      <c r="H101" s="137"/>
      <c r="I101" s="137"/>
      <c r="J101" s="137"/>
      <c r="K101" s="137"/>
      <c r="L101" s="137"/>
      <c r="M101" s="137"/>
      <c r="N101" s="137"/>
      <c r="O101" s="137"/>
      <c r="P101" s="137"/>
      <c r="Q101" s="137"/>
      <c r="R101" s="139" t="e">
        <f t="shared" si="14"/>
        <v>#DIV/0!</v>
      </c>
    </row>
    <row r="102" spans="1:18">
      <c r="A102" s="105">
        <f t="shared" si="9"/>
        <v>29</v>
      </c>
      <c r="B102" s="665" t="s">
        <v>1747</v>
      </c>
      <c r="D102" s="662" t="str">
        <f t="shared" si="13"/>
        <v>Company Records</v>
      </c>
      <c r="E102" s="137"/>
      <c r="F102" s="137"/>
      <c r="G102" s="137"/>
      <c r="H102" s="137"/>
      <c r="I102" s="137"/>
      <c r="J102" s="137"/>
      <c r="K102" s="137"/>
      <c r="L102" s="137"/>
      <c r="M102" s="137"/>
      <c r="N102" s="137"/>
      <c r="O102" s="137"/>
      <c r="P102" s="137"/>
      <c r="Q102" s="137"/>
      <c r="R102" s="139" t="e">
        <f t="shared" si="14"/>
        <v>#DIV/0!</v>
      </c>
    </row>
    <row r="103" spans="1:18">
      <c r="A103" s="105">
        <f t="shared" si="9"/>
        <v>30</v>
      </c>
      <c r="B103" s="665" t="s">
        <v>1748</v>
      </c>
      <c r="D103" s="662" t="str">
        <f t="shared" si="13"/>
        <v>Company Records</v>
      </c>
      <c r="E103" s="137"/>
      <c r="F103" s="137"/>
      <c r="G103" s="137"/>
      <c r="H103" s="137"/>
      <c r="I103" s="137"/>
      <c r="J103" s="137"/>
      <c r="K103" s="137"/>
      <c r="L103" s="137"/>
      <c r="M103" s="137"/>
      <c r="N103" s="137"/>
      <c r="O103" s="137"/>
      <c r="P103" s="137"/>
      <c r="Q103" s="137"/>
      <c r="R103" s="139" t="e">
        <f t="shared" si="14"/>
        <v>#DIV/0!</v>
      </c>
    </row>
    <row r="104" spans="1:18">
      <c r="A104" s="105">
        <f t="shared" si="9"/>
        <v>31</v>
      </c>
      <c r="B104" s="665" t="s">
        <v>1749</v>
      </c>
      <c r="D104" s="662" t="str">
        <f t="shared" si="13"/>
        <v>Company Records</v>
      </c>
      <c r="E104" s="137"/>
      <c r="F104" s="137"/>
      <c r="G104" s="137"/>
      <c r="H104" s="137"/>
      <c r="I104" s="137"/>
      <c r="J104" s="137"/>
      <c r="K104" s="137"/>
      <c r="L104" s="137"/>
      <c r="M104" s="137"/>
      <c r="N104" s="137"/>
      <c r="O104" s="137"/>
      <c r="P104" s="137"/>
      <c r="Q104" s="137"/>
      <c r="R104" s="139" t="e">
        <f t="shared" si="14"/>
        <v>#DIV/0!</v>
      </c>
    </row>
    <row r="105" spans="1:18">
      <c r="A105" s="105">
        <f t="shared" si="9"/>
        <v>32</v>
      </c>
      <c r="B105" s="665" t="s">
        <v>1750</v>
      </c>
      <c r="D105" s="662" t="str">
        <f t="shared" si="13"/>
        <v>Company Records</v>
      </c>
      <c r="E105" s="137"/>
      <c r="F105" s="137"/>
      <c r="G105" s="137"/>
      <c r="H105" s="137"/>
      <c r="I105" s="137"/>
      <c r="J105" s="137"/>
      <c r="K105" s="137"/>
      <c r="L105" s="137"/>
      <c r="M105" s="137"/>
      <c r="N105" s="137"/>
      <c r="O105" s="137"/>
      <c r="P105" s="137"/>
      <c r="Q105" s="137"/>
      <c r="R105" s="139" t="e">
        <f t="shared" si="14"/>
        <v>#DIV/0!</v>
      </c>
    </row>
    <row r="106" spans="1:18">
      <c r="A106" s="105">
        <f t="shared" si="9"/>
        <v>33</v>
      </c>
      <c r="B106" s="665" t="s">
        <v>1751</v>
      </c>
      <c r="D106" s="662" t="str">
        <f t="shared" si="13"/>
        <v>Company Records</v>
      </c>
      <c r="E106" s="137"/>
      <c r="F106" s="137"/>
      <c r="G106" s="137"/>
      <c r="H106" s="137"/>
      <c r="I106" s="137"/>
      <c r="J106" s="137"/>
      <c r="K106" s="137"/>
      <c r="L106" s="137"/>
      <c r="M106" s="137"/>
      <c r="N106" s="137"/>
      <c r="O106" s="137"/>
      <c r="P106" s="137"/>
      <c r="Q106" s="137"/>
      <c r="R106" s="139" t="e">
        <f t="shared" si="14"/>
        <v>#DIV/0!</v>
      </c>
    </row>
    <row r="107" spans="1:18">
      <c r="A107" s="105">
        <f t="shared" si="9"/>
        <v>34</v>
      </c>
      <c r="B107" s="665" t="s">
        <v>1752</v>
      </c>
      <c r="D107" s="662" t="str">
        <f t="shared" si="13"/>
        <v>Company Records</v>
      </c>
      <c r="E107" s="137"/>
      <c r="F107" s="137"/>
      <c r="G107" s="137"/>
      <c r="H107" s="137"/>
      <c r="I107" s="137"/>
      <c r="J107" s="137"/>
      <c r="K107" s="137"/>
      <c r="L107" s="137"/>
      <c r="M107" s="137"/>
      <c r="N107" s="137"/>
      <c r="O107" s="137"/>
      <c r="P107" s="137"/>
      <c r="Q107" s="137"/>
      <c r="R107" s="139" t="e">
        <f t="shared" si="14"/>
        <v>#DIV/0!</v>
      </c>
    </row>
    <row r="108" spans="1:18">
      <c r="A108" s="105">
        <f t="shared" si="9"/>
        <v>35</v>
      </c>
      <c r="B108" s="665" t="s">
        <v>1753</v>
      </c>
      <c r="D108" s="662" t="str">
        <f t="shared" si="13"/>
        <v>Company Records</v>
      </c>
      <c r="E108" s="137"/>
      <c r="F108" s="137"/>
      <c r="G108" s="137"/>
      <c r="H108" s="137"/>
      <c r="I108" s="137"/>
      <c r="J108" s="137"/>
      <c r="K108" s="137"/>
      <c r="L108" s="137"/>
      <c r="M108" s="137"/>
      <c r="N108" s="137"/>
      <c r="O108" s="137"/>
      <c r="P108" s="137"/>
      <c r="Q108" s="137"/>
      <c r="R108" s="139" t="e">
        <f t="shared" si="14"/>
        <v>#DIV/0!</v>
      </c>
    </row>
    <row r="109" spans="1:18">
      <c r="A109" s="105">
        <f t="shared" si="9"/>
        <v>36</v>
      </c>
      <c r="B109" s="665" t="s">
        <v>1754</v>
      </c>
      <c r="D109" s="662" t="str">
        <f t="shared" si="13"/>
        <v>Company Records</v>
      </c>
      <c r="E109" s="137"/>
      <c r="F109" s="137"/>
      <c r="G109" s="137"/>
      <c r="H109" s="137"/>
      <c r="I109" s="137"/>
      <c r="J109" s="137"/>
      <c r="K109" s="137"/>
      <c r="L109" s="137"/>
      <c r="M109" s="137"/>
      <c r="N109" s="137"/>
      <c r="O109" s="137"/>
      <c r="P109" s="137"/>
      <c r="Q109" s="137"/>
      <c r="R109" s="139" t="e">
        <f t="shared" si="14"/>
        <v>#DIV/0!</v>
      </c>
    </row>
    <row r="110" spans="1:18">
      <c r="A110" s="105">
        <f t="shared" si="9"/>
        <v>37</v>
      </c>
      <c r="B110" s="665" t="s">
        <v>1755</v>
      </c>
      <c r="D110" s="662" t="str">
        <f t="shared" si="13"/>
        <v>Company Records</v>
      </c>
      <c r="E110" s="137"/>
      <c r="F110" s="137"/>
      <c r="G110" s="137"/>
      <c r="H110" s="137"/>
      <c r="I110" s="137"/>
      <c r="J110" s="137"/>
      <c r="K110" s="137"/>
      <c r="L110" s="137"/>
      <c r="M110" s="137"/>
      <c r="N110" s="137"/>
      <c r="O110" s="137"/>
      <c r="P110" s="137"/>
      <c r="Q110" s="137"/>
      <c r="R110" s="139" t="e">
        <f t="shared" si="14"/>
        <v>#DIV/0!</v>
      </c>
    </row>
    <row r="111" spans="1:18">
      <c r="A111" s="105">
        <f t="shared" si="9"/>
        <v>38</v>
      </c>
      <c r="B111" s="665" t="s">
        <v>302</v>
      </c>
      <c r="D111" s="662" t="str">
        <f t="shared" si="13"/>
        <v>Company Records</v>
      </c>
      <c r="E111" s="137"/>
      <c r="F111" s="137"/>
      <c r="G111" s="137"/>
      <c r="H111" s="137"/>
      <c r="I111" s="137"/>
      <c r="J111" s="137"/>
      <c r="K111" s="137"/>
      <c r="L111" s="137"/>
      <c r="M111" s="137"/>
      <c r="N111" s="137"/>
      <c r="O111" s="137"/>
      <c r="P111" s="137"/>
      <c r="Q111" s="137"/>
      <c r="R111" s="139" t="e">
        <f t="shared" si="14"/>
        <v>#DIV/0!</v>
      </c>
    </row>
    <row r="112" spans="1:18">
      <c r="A112" s="105">
        <f t="shared" si="9"/>
        <v>39</v>
      </c>
      <c r="B112" s="184" t="s">
        <v>1304</v>
      </c>
      <c r="D112" s="104"/>
      <c r="E112" s="222">
        <f t="shared" ref="E112:R112" si="15">SUM(E96:E111)</f>
        <v>0</v>
      </c>
      <c r="F112" s="222">
        <f t="shared" si="15"/>
        <v>0</v>
      </c>
      <c r="G112" s="222">
        <f t="shared" si="15"/>
        <v>0</v>
      </c>
      <c r="H112" s="222">
        <f t="shared" si="15"/>
        <v>0</v>
      </c>
      <c r="I112" s="222">
        <f t="shared" si="15"/>
        <v>0</v>
      </c>
      <c r="J112" s="222">
        <f t="shared" si="15"/>
        <v>0</v>
      </c>
      <c r="K112" s="222">
        <f t="shared" si="15"/>
        <v>0</v>
      </c>
      <c r="L112" s="222">
        <f t="shared" si="15"/>
        <v>0</v>
      </c>
      <c r="M112" s="222">
        <f t="shared" si="15"/>
        <v>0</v>
      </c>
      <c r="N112" s="222">
        <f t="shared" si="15"/>
        <v>0</v>
      </c>
      <c r="O112" s="222">
        <f t="shared" si="15"/>
        <v>0</v>
      </c>
      <c r="P112" s="222">
        <f t="shared" si="15"/>
        <v>0</v>
      </c>
      <c r="Q112" s="222">
        <f t="shared" si="15"/>
        <v>0</v>
      </c>
      <c r="R112" s="220" t="e">
        <f t="shared" si="15"/>
        <v>#DIV/0!</v>
      </c>
    </row>
    <row r="113" spans="1:18" ht="13.5" thickBot="1">
      <c r="A113" s="105">
        <f t="shared" si="9"/>
        <v>40</v>
      </c>
      <c r="B113" s="184" t="s">
        <v>1395</v>
      </c>
      <c r="D113" s="104" t="str">
        <f ca="1">'ATRR Act'!G2&amp;" Line "&amp;'ATRR Act'!A193</f>
        <v>ATRR Act Line 172</v>
      </c>
      <c r="E113" s="222"/>
      <c r="Q113" s="222"/>
      <c r="R113" s="187">
        <f>R88</f>
        <v>0.75544832110649052</v>
      </c>
    </row>
    <row r="114" spans="1:18" ht="13.5" thickBot="1">
      <c r="A114" s="105">
        <f t="shared" si="9"/>
        <v>41</v>
      </c>
      <c r="B114" s="184" t="s">
        <v>327</v>
      </c>
      <c r="D114" s="104"/>
      <c r="E114" s="222"/>
      <c r="Q114" s="222"/>
      <c r="R114" s="224" t="e">
        <f>R112*R113</f>
        <v>#DIV/0!</v>
      </c>
    </row>
    <row r="115" spans="1:18" ht="13.5" thickBot="1">
      <c r="A115" s="105">
        <f t="shared" si="9"/>
        <v>42</v>
      </c>
      <c r="B115" s="145" t="s">
        <v>211</v>
      </c>
      <c r="D115" s="105" t="str">
        <f>"Lines "&amp;A79&amp;" + "&amp;A87&amp;" + "&amp;A93&amp;" + "&amp;A112</f>
        <v>Lines 6 + 14 + 20 + 39</v>
      </c>
      <c r="E115" s="447">
        <f t="shared" ref="E115:Q115" si="16">E112+E93+E87+E79</f>
        <v>0</v>
      </c>
      <c r="F115" s="447">
        <f t="shared" si="16"/>
        <v>0</v>
      </c>
      <c r="G115" s="447">
        <f t="shared" si="16"/>
        <v>0</v>
      </c>
      <c r="H115" s="447">
        <f t="shared" si="16"/>
        <v>0</v>
      </c>
      <c r="I115" s="447">
        <f t="shared" si="16"/>
        <v>0</v>
      </c>
      <c r="J115" s="447">
        <f t="shared" si="16"/>
        <v>0</v>
      </c>
      <c r="K115" s="447">
        <f t="shared" si="16"/>
        <v>0</v>
      </c>
      <c r="L115" s="447">
        <f t="shared" si="16"/>
        <v>0</v>
      </c>
      <c r="M115" s="447">
        <f t="shared" si="16"/>
        <v>0</v>
      </c>
      <c r="N115" s="447">
        <f t="shared" si="16"/>
        <v>0</v>
      </c>
      <c r="O115" s="447">
        <f t="shared" si="16"/>
        <v>0</v>
      </c>
      <c r="P115" s="447">
        <f t="shared" si="16"/>
        <v>0</v>
      </c>
      <c r="Q115" s="447">
        <f t="shared" si="16"/>
        <v>0</v>
      </c>
      <c r="R115" s="223"/>
    </row>
    <row r="116" spans="1:18" ht="13.5" thickTop="1">
      <c r="A116" s="105">
        <f t="shared" si="9"/>
        <v>43</v>
      </c>
      <c r="B116" s="145"/>
      <c r="D116" s="140"/>
      <c r="E116" s="267"/>
      <c r="F116" s="267"/>
      <c r="G116" s="267"/>
      <c r="H116" s="267"/>
      <c r="I116" s="267"/>
      <c r="J116" s="267"/>
      <c r="K116" s="267"/>
      <c r="L116" s="267"/>
      <c r="M116" s="267"/>
      <c r="N116" s="267"/>
      <c r="O116" s="267"/>
      <c r="P116" s="267"/>
      <c r="Q116" s="267"/>
      <c r="R116" s="223"/>
    </row>
    <row r="117" spans="1:18">
      <c r="A117" s="105">
        <f t="shared" si="9"/>
        <v>44</v>
      </c>
      <c r="B117" s="525" t="s">
        <v>1049</v>
      </c>
      <c r="C117" s="507"/>
      <c r="D117" s="109"/>
      <c r="E117" s="220"/>
      <c r="F117" s="267"/>
      <c r="G117" s="267"/>
      <c r="H117" s="267"/>
      <c r="I117" s="267"/>
      <c r="J117" s="267"/>
      <c r="K117" s="267"/>
      <c r="L117" s="267"/>
      <c r="M117" s="267"/>
      <c r="N117" s="267"/>
      <c r="O117" s="267"/>
      <c r="P117" s="267"/>
      <c r="Q117" s="267"/>
      <c r="R117" s="223"/>
    </row>
    <row r="118" spans="1:18">
      <c r="A118" s="105">
        <f t="shared" si="9"/>
        <v>45</v>
      </c>
      <c r="B118" s="506" t="str">
        <f>B59</f>
        <v xml:space="preserve">Prepaid Taxes - Federal       </v>
      </c>
      <c r="D118" s="662" t="str">
        <f>D59</f>
        <v>Company Records</v>
      </c>
      <c r="E118" s="219"/>
      <c r="F118" s="219"/>
      <c r="G118" s="219"/>
      <c r="H118" s="219"/>
      <c r="I118" s="219"/>
      <c r="J118" s="219"/>
      <c r="K118" s="219"/>
      <c r="L118" s="219"/>
      <c r="M118" s="219"/>
      <c r="N118" s="219"/>
      <c r="O118" s="219"/>
      <c r="P118" s="219"/>
      <c r="Q118" s="219"/>
      <c r="R118" s="223"/>
    </row>
    <row r="119" spans="1:18">
      <c r="A119" s="105">
        <f t="shared" si="9"/>
        <v>46</v>
      </c>
      <c r="B119" s="506" t="str">
        <f>B60</f>
        <v xml:space="preserve">Prepaid Taxes State - CO      </v>
      </c>
      <c r="D119" s="662" t="str">
        <f>D60</f>
        <v>Company Records</v>
      </c>
      <c r="E119" s="137"/>
      <c r="F119" s="137"/>
      <c r="G119" s="137"/>
      <c r="H119" s="137"/>
      <c r="I119" s="137"/>
      <c r="J119" s="137"/>
      <c r="K119" s="137"/>
      <c r="L119" s="137"/>
      <c r="M119" s="137"/>
      <c r="N119" s="137"/>
      <c r="O119" s="137"/>
      <c r="P119" s="137"/>
      <c r="Q119" s="137"/>
      <c r="R119" s="223"/>
    </row>
    <row r="120" spans="1:18">
      <c r="A120" s="105">
        <f t="shared" si="9"/>
        <v>47</v>
      </c>
      <c r="B120" s="652"/>
      <c r="D120" s="662"/>
      <c r="E120" s="219"/>
      <c r="F120" s="219"/>
      <c r="G120" s="219"/>
      <c r="H120" s="219"/>
      <c r="I120" s="219"/>
      <c r="J120" s="219"/>
      <c r="K120" s="219"/>
      <c r="L120" s="219"/>
      <c r="M120" s="219"/>
      <c r="N120" s="219"/>
      <c r="O120" s="219"/>
      <c r="P120" s="219"/>
      <c r="Q120" s="219"/>
      <c r="R120" s="223"/>
    </row>
    <row r="121" spans="1:18">
      <c r="A121" s="105">
        <f t="shared" si="9"/>
        <v>48</v>
      </c>
      <c r="B121" s="145"/>
      <c r="C121" s="507"/>
      <c r="D121" s="140"/>
      <c r="E121" s="267"/>
      <c r="F121" s="267"/>
      <c r="G121" s="267"/>
      <c r="H121" s="267"/>
      <c r="I121" s="267"/>
      <c r="J121" s="267"/>
      <c r="K121" s="267"/>
      <c r="L121" s="267"/>
      <c r="M121" s="267"/>
      <c r="N121" s="267"/>
      <c r="O121" s="267"/>
      <c r="P121" s="267"/>
      <c r="Q121" s="267"/>
      <c r="R121" s="223"/>
    </row>
    <row r="122" spans="1:18" ht="39" thickBot="1">
      <c r="A122" s="105">
        <f t="shared" si="9"/>
        <v>49</v>
      </c>
      <c r="B122" s="145" t="s">
        <v>795</v>
      </c>
      <c r="C122" s="507"/>
      <c r="D122" s="140" t="s">
        <v>380</v>
      </c>
      <c r="E122" s="447">
        <f t="shared" ref="E122:P122" si="17">SUM(E115:E121)</f>
        <v>0</v>
      </c>
      <c r="F122" s="447">
        <f t="shared" si="17"/>
        <v>0</v>
      </c>
      <c r="G122" s="447">
        <f t="shared" si="17"/>
        <v>0</v>
      </c>
      <c r="H122" s="447">
        <f t="shared" si="17"/>
        <v>0</v>
      </c>
      <c r="I122" s="447">
        <f t="shared" si="17"/>
        <v>0</v>
      </c>
      <c r="J122" s="447">
        <f t="shared" si="17"/>
        <v>0</v>
      </c>
      <c r="K122" s="447">
        <f t="shared" si="17"/>
        <v>0</v>
      </c>
      <c r="L122" s="447">
        <f t="shared" si="17"/>
        <v>0</v>
      </c>
      <c r="M122" s="447">
        <f t="shared" si="17"/>
        <v>0</v>
      </c>
      <c r="N122" s="447">
        <f t="shared" si="17"/>
        <v>0</v>
      </c>
      <c r="O122" s="447">
        <f t="shared" si="17"/>
        <v>0</v>
      </c>
      <c r="P122" s="447">
        <f t="shared" si="17"/>
        <v>0</v>
      </c>
      <c r="Q122" s="447">
        <f>SUM(Q115:Q121)</f>
        <v>0</v>
      </c>
    </row>
    <row r="123" spans="1:18" ht="13.5" thickTop="1">
      <c r="A123" s="105"/>
      <c r="B123" s="145"/>
      <c r="C123" s="507"/>
      <c r="D123" s="140"/>
      <c r="E123" s="267"/>
    </row>
    <row r="124" spans="1:18">
      <c r="A124" s="105"/>
      <c r="B124" s="190" t="s">
        <v>768</v>
      </c>
    </row>
    <row r="125" spans="1:18">
      <c r="B125" s="190"/>
    </row>
    <row r="130" spans="5:17">
      <c r="E130" s="514"/>
      <c r="Q130" s="514"/>
    </row>
  </sheetData>
  <phoneticPr fontId="2" type="noConversion"/>
  <printOptions horizontalCentered="1"/>
  <pageMargins left="0.75" right="0.75" top="1" bottom="1" header="0.5" footer="0.5"/>
  <pageSetup scale="46" fitToHeight="2" orientation="landscape" r:id="rId1"/>
  <headerFooter alignWithMargins="0">
    <oddHeader>&amp;RPage &amp;P of &amp;N</oddHeader>
  </headerFooter>
  <rowBreaks count="1" manualBreakCount="1">
    <brk id="66"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dimension ref="A1:F83"/>
  <sheetViews>
    <sheetView topLeftCell="A16" workbookViewId="0">
      <selection activeCell="E41" sqref="E41"/>
    </sheetView>
  </sheetViews>
  <sheetFormatPr defaultRowHeight="12.75"/>
  <cols>
    <col min="1" max="1" width="9.28515625" bestFit="1" customWidth="1"/>
    <col min="2" max="2" width="56.42578125" bestFit="1" customWidth="1"/>
    <col min="3" max="3" width="7.7109375" customWidth="1"/>
    <col min="4" max="4" width="26.140625" bestFit="1" customWidth="1"/>
    <col min="5" max="5" width="14" customWidth="1"/>
    <col min="6" max="6" width="1.85546875" customWidth="1"/>
    <col min="9" max="9" width="14" bestFit="1" customWidth="1"/>
  </cols>
  <sheetData>
    <row r="1" spans="1:6">
      <c r="A1" s="98" t="str">
        <f>'Cover Page'!A5</f>
        <v>Public Service Company of Colorado</v>
      </c>
      <c r="E1" s="539" t="str">
        <f>'Table of Contents'!A20</f>
        <v>Table 12</v>
      </c>
    </row>
    <row r="2" spans="1:6">
      <c r="A2" s="98" t="str">
        <f>'Cover Page'!A6</f>
        <v>Transmission Formula Rate Template</v>
      </c>
      <c r="E2" s="539" t="str">
        <f ca="1">MID(CELL("filename",$A$1),FIND("]",CELL("filename",$A$1))+1,LEN(CELL("filename",$A$1))-FIND("]",CELL("filename",$A$1)))</f>
        <v>WP_B-6</v>
      </c>
    </row>
    <row r="3" spans="1:6">
      <c r="A3" s="98" t="str">
        <f>'Cover Page'!A7</f>
        <v>Twelve Months Ended December 31, 2018</v>
      </c>
      <c r="E3" s="109"/>
    </row>
    <row r="4" spans="1:6">
      <c r="A4" s="98" t="s">
        <v>1351</v>
      </c>
    </row>
    <row r="6" spans="1:6" ht="13.5" thickBot="1"/>
    <row r="7" spans="1:6">
      <c r="A7" s="648" t="s">
        <v>990</v>
      </c>
      <c r="B7" s="310"/>
      <c r="C7" s="310"/>
      <c r="D7" s="310"/>
      <c r="E7" s="552"/>
    </row>
    <row r="8" spans="1:6" ht="25.5">
      <c r="A8" s="522" t="s">
        <v>868</v>
      </c>
      <c r="B8" s="1" t="s">
        <v>1352</v>
      </c>
      <c r="C8" s="1" t="s">
        <v>1353</v>
      </c>
      <c r="D8" s="277" t="s">
        <v>870</v>
      </c>
      <c r="E8" s="559" t="s">
        <v>765</v>
      </c>
      <c r="F8" s="167"/>
    </row>
    <row r="9" spans="1:6">
      <c r="A9" s="261"/>
      <c r="B9" s="115" t="s">
        <v>363</v>
      </c>
      <c r="C9" s="115" t="s">
        <v>1354</v>
      </c>
      <c r="D9" s="115" t="s">
        <v>364</v>
      </c>
      <c r="E9" s="692" t="s">
        <v>365</v>
      </c>
      <c r="F9" s="167"/>
    </row>
    <row r="10" spans="1:6" ht="13.5" thickBot="1">
      <c r="A10" s="261"/>
      <c r="B10" s="179"/>
      <c r="C10" s="167"/>
      <c r="D10" s="197"/>
      <c r="E10" s="649"/>
      <c r="F10" s="167"/>
    </row>
    <row r="11" spans="1:6" ht="13.5" thickBot="1">
      <c r="A11" s="263">
        <v>1</v>
      </c>
      <c r="B11" s="265" t="s">
        <v>914</v>
      </c>
      <c r="C11" s="650">
        <v>2015</v>
      </c>
      <c r="D11" s="201" t="s">
        <v>1373</v>
      </c>
      <c r="E11" s="771">
        <v>56159040.82</v>
      </c>
      <c r="F11" s="167"/>
    </row>
    <row r="12" spans="1:6" ht="13.5" thickBot="1">
      <c r="A12" s="263">
        <f t="shared" ref="A12:A41" si="0">A11+1</f>
        <v>2</v>
      </c>
      <c r="B12" s="265" t="s">
        <v>956</v>
      </c>
      <c r="C12" s="650">
        <v>2016</v>
      </c>
      <c r="D12" s="201" t="s">
        <v>1393</v>
      </c>
      <c r="E12" s="771">
        <v>56129905.710000001</v>
      </c>
      <c r="F12" s="167"/>
    </row>
    <row r="13" spans="1:6" ht="13.5" thickBot="1">
      <c r="A13" s="263">
        <f t="shared" si="0"/>
        <v>3</v>
      </c>
      <c r="B13" s="265" t="s">
        <v>904</v>
      </c>
      <c r="C13" s="190">
        <f>+C12</f>
        <v>2016</v>
      </c>
      <c r="D13" s="201" t="s">
        <v>1393</v>
      </c>
      <c r="E13" s="771">
        <v>56385489.740000002</v>
      </c>
      <c r="F13" s="167"/>
    </row>
    <row r="14" spans="1:6" ht="13.5" thickBot="1">
      <c r="A14" s="263">
        <f t="shared" si="0"/>
        <v>4</v>
      </c>
      <c r="B14" s="265" t="s">
        <v>905</v>
      </c>
      <c r="C14" s="190">
        <f t="shared" ref="C14:C23" si="1">+C13</f>
        <v>2016</v>
      </c>
      <c r="D14" s="201" t="s">
        <v>1393</v>
      </c>
      <c r="E14" s="771">
        <v>56908057.859999999</v>
      </c>
      <c r="F14" s="167"/>
    </row>
    <row r="15" spans="1:6" ht="13.5" thickBot="1">
      <c r="A15" s="263">
        <f t="shared" si="0"/>
        <v>5</v>
      </c>
      <c r="B15" s="265" t="s">
        <v>906</v>
      </c>
      <c r="C15" s="190">
        <f t="shared" si="1"/>
        <v>2016</v>
      </c>
      <c r="D15" s="201" t="s">
        <v>1393</v>
      </c>
      <c r="E15" s="771">
        <v>56569669.68</v>
      </c>
      <c r="F15" s="167"/>
    </row>
    <row r="16" spans="1:6" ht="13.5" thickBot="1">
      <c r="A16" s="263">
        <f t="shared" si="0"/>
        <v>6</v>
      </c>
      <c r="B16" s="265" t="s">
        <v>907</v>
      </c>
      <c r="C16" s="190">
        <f t="shared" si="1"/>
        <v>2016</v>
      </c>
      <c r="D16" s="201" t="s">
        <v>1393</v>
      </c>
      <c r="E16" s="771">
        <v>56534042.920000002</v>
      </c>
      <c r="F16" s="167"/>
    </row>
    <row r="17" spans="1:6" ht="13.5" thickBot="1">
      <c r="A17" s="263">
        <f t="shared" si="0"/>
        <v>7</v>
      </c>
      <c r="B17" s="265" t="s">
        <v>908</v>
      </c>
      <c r="C17" s="190">
        <f t="shared" si="1"/>
        <v>2016</v>
      </c>
      <c r="D17" s="201" t="s">
        <v>1393</v>
      </c>
      <c r="E17" s="771">
        <v>55934782.5</v>
      </c>
      <c r="F17" s="167"/>
    </row>
    <row r="18" spans="1:6" ht="13.5" thickBot="1">
      <c r="A18" s="263">
        <f t="shared" si="0"/>
        <v>8</v>
      </c>
      <c r="B18" s="265" t="s">
        <v>909</v>
      </c>
      <c r="C18" s="190">
        <f t="shared" si="1"/>
        <v>2016</v>
      </c>
      <c r="D18" s="201" t="s">
        <v>1393</v>
      </c>
      <c r="E18" s="771">
        <v>56019404.93</v>
      </c>
      <c r="F18" s="167"/>
    </row>
    <row r="19" spans="1:6" ht="13.5" thickBot="1">
      <c r="A19" s="263">
        <f t="shared" si="0"/>
        <v>9</v>
      </c>
      <c r="B19" s="265" t="s">
        <v>910</v>
      </c>
      <c r="C19" s="190">
        <f t="shared" si="1"/>
        <v>2016</v>
      </c>
      <c r="D19" s="201" t="s">
        <v>1393</v>
      </c>
      <c r="E19" s="771">
        <v>56136546.219999999</v>
      </c>
      <c r="F19" s="167"/>
    </row>
    <row r="20" spans="1:6" ht="13.5" thickBot="1">
      <c r="A20" s="263">
        <f t="shared" si="0"/>
        <v>10</v>
      </c>
      <c r="B20" s="265" t="s">
        <v>911</v>
      </c>
      <c r="C20" s="190">
        <f t="shared" si="1"/>
        <v>2016</v>
      </c>
      <c r="D20" s="201" t="s">
        <v>1393</v>
      </c>
      <c r="E20" s="771">
        <v>56724041.609999999</v>
      </c>
      <c r="F20" s="167"/>
    </row>
    <row r="21" spans="1:6" ht="13.5" thickBot="1">
      <c r="A21" s="263">
        <f t="shared" si="0"/>
        <v>11</v>
      </c>
      <c r="B21" s="265" t="s">
        <v>912</v>
      </c>
      <c r="C21" s="190">
        <f t="shared" si="1"/>
        <v>2016</v>
      </c>
      <c r="D21" s="201" t="s">
        <v>1393</v>
      </c>
      <c r="E21" s="771">
        <v>56524107.600000001</v>
      </c>
      <c r="F21" s="167"/>
    </row>
    <row r="22" spans="1:6" ht="13.5" thickBot="1">
      <c r="A22" s="263">
        <f t="shared" si="0"/>
        <v>12</v>
      </c>
      <c r="B22" s="265" t="s">
        <v>913</v>
      </c>
      <c r="C22" s="190">
        <f t="shared" si="1"/>
        <v>2016</v>
      </c>
      <c r="D22" s="201" t="s">
        <v>1393</v>
      </c>
      <c r="E22" s="771">
        <v>56447710.020000003</v>
      </c>
      <c r="F22" s="167"/>
    </row>
    <row r="23" spans="1:6">
      <c r="A23" s="263">
        <f t="shared" si="0"/>
        <v>13</v>
      </c>
      <c r="B23" s="265" t="s">
        <v>914</v>
      </c>
      <c r="C23" s="190">
        <f t="shared" si="1"/>
        <v>2016</v>
      </c>
      <c r="D23" s="201" t="s">
        <v>1374</v>
      </c>
      <c r="E23" s="771">
        <v>63858810.210000001</v>
      </c>
      <c r="F23" s="167"/>
    </row>
    <row r="24" spans="1:6">
      <c r="A24" s="263">
        <f t="shared" si="0"/>
        <v>14</v>
      </c>
      <c r="B24" s="190" t="str">
        <f>"13 Month Avg. (Lns "&amp;A11&amp;" - "&amp;A23&amp;")"</f>
        <v>13 Month Avg. (Lns 1 - 13)</v>
      </c>
      <c r="C24" s="190"/>
      <c r="D24" s="201"/>
      <c r="E24" s="328">
        <f>AVERAGE(E11:E23)</f>
        <v>56948585.370769233</v>
      </c>
      <c r="F24" s="462"/>
    </row>
    <row r="25" spans="1:6">
      <c r="A25" s="263">
        <f t="shared" si="0"/>
        <v>15</v>
      </c>
      <c r="B25" s="190"/>
      <c r="C25" s="190"/>
      <c r="D25" s="201"/>
      <c r="E25" s="328"/>
      <c r="F25" s="167"/>
    </row>
    <row r="26" spans="1:6" ht="13.5" thickBot="1">
      <c r="A26" s="263">
        <f t="shared" si="0"/>
        <v>16</v>
      </c>
      <c r="B26" s="645" t="s">
        <v>1363</v>
      </c>
      <c r="C26" s="190"/>
      <c r="D26" s="201"/>
      <c r="E26" s="328"/>
      <c r="F26" s="167"/>
    </row>
    <row r="27" spans="1:6" ht="13.5" thickBot="1">
      <c r="A27" s="263">
        <f t="shared" si="0"/>
        <v>17</v>
      </c>
      <c r="B27" s="190" t="s">
        <v>1357</v>
      </c>
      <c r="C27" s="190"/>
      <c r="D27" s="201" t="s">
        <v>1375</v>
      </c>
      <c r="E27" s="965">
        <v>18240256</v>
      </c>
      <c r="F27" s="167"/>
    </row>
    <row r="28" spans="1:6" ht="13.5" thickBot="1">
      <c r="A28" s="263">
        <f t="shared" si="0"/>
        <v>18</v>
      </c>
      <c r="B28" s="190" t="s">
        <v>1358</v>
      </c>
      <c r="C28" s="190"/>
      <c r="D28" s="201" t="s">
        <v>1376</v>
      </c>
      <c r="E28" s="737"/>
      <c r="F28" s="167"/>
    </row>
    <row r="29" spans="1:6" ht="13.5" thickBot="1">
      <c r="A29" s="263">
        <f t="shared" si="0"/>
        <v>19</v>
      </c>
      <c r="B29" s="190" t="s">
        <v>1355</v>
      </c>
      <c r="C29" s="190"/>
      <c r="D29" s="201" t="s">
        <v>1381</v>
      </c>
      <c r="E29" s="737">
        <v>42289696</v>
      </c>
      <c r="F29" s="167"/>
    </row>
    <row r="30" spans="1:6" ht="13.5" thickBot="1">
      <c r="A30" s="263">
        <f t="shared" si="0"/>
        <v>20</v>
      </c>
      <c r="B30" s="190" t="s">
        <v>1356</v>
      </c>
      <c r="C30" s="190"/>
      <c r="D30" s="201" t="s">
        <v>1380</v>
      </c>
      <c r="E30" s="737">
        <v>639353</v>
      </c>
      <c r="F30" s="167"/>
    </row>
    <row r="31" spans="1:6" ht="13.5" thickBot="1">
      <c r="A31" s="263">
        <f t="shared" si="0"/>
        <v>21</v>
      </c>
      <c r="B31" s="190" t="s">
        <v>1359</v>
      </c>
      <c r="C31" s="190"/>
      <c r="D31" s="201" t="s">
        <v>1379</v>
      </c>
      <c r="E31" s="737">
        <v>4106542</v>
      </c>
      <c r="F31" s="167"/>
    </row>
    <row r="32" spans="1:6" ht="13.5" thickBot="1">
      <c r="A32" s="263">
        <f t="shared" si="0"/>
        <v>22</v>
      </c>
      <c r="B32" s="190" t="s">
        <v>1360</v>
      </c>
      <c r="C32" s="190"/>
      <c r="D32" s="201" t="s">
        <v>1378</v>
      </c>
      <c r="E32" s="737"/>
      <c r="F32" s="167"/>
    </row>
    <row r="33" spans="1:6">
      <c r="A33" s="263">
        <f t="shared" si="0"/>
        <v>23</v>
      </c>
      <c r="B33" s="190" t="s">
        <v>1361</v>
      </c>
      <c r="C33" s="190"/>
      <c r="D33" s="201" t="s">
        <v>1377</v>
      </c>
      <c r="E33" s="737">
        <v>-1417037</v>
      </c>
      <c r="F33" s="167"/>
    </row>
    <row r="34" spans="1:6">
      <c r="A34" s="263">
        <f t="shared" si="0"/>
        <v>24</v>
      </c>
      <c r="B34" s="190" t="s">
        <v>1362</v>
      </c>
      <c r="C34" s="190"/>
      <c r="D34" s="201"/>
      <c r="E34" s="328">
        <f>SUM(E27:E33)</f>
        <v>63858810</v>
      </c>
      <c r="F34" s="167"/>
    </row>
    <row r="35" spans="1:6">
      <c r="A35" s="263">
        <f t="shared" si="0"/>
        <v>25</v>
      </c>
      <c r="B35" s="190"/>
      <c r="C35" s="190"/>
      <c r="D35" s="201"/>
      <c r="E35" s="328"/>
      <c r="F35" s="167"/>
    </row>
    <row r="36" spans="1:6">
      <c r="A36" s="263">
        <f t="shared" si="0"/>
        <v>26</v>
      </c>
      <c r="B36" s="190" t="s">
        <v>1365</v>
      </c>
      <c r="C36" s="190"/>
      <c r="D36" s="201" t="s">
        <v>1366</v>
      </c>
      <c r="E36" s="646">
        <f>IF(E27=0,0,E30/E34)</f>
        <v>1.0011977987062395E-2</v>
      </c>
      <c r="F36" s="167"/>
    </row>
    <row r="37" spans="1:6">
      <c r="A37" s="263">
        <f t="shared" si="0"/>
        <v>27</v>
      </c>
      <c r="B37" s="190" t="s">
        <v>1367</v>
      </c>
      <c r="C37" s="190"/>
      <c r="D37" s="201" t="s">
        <v>1368</v>
      </c>
      <c r="E37" s="646">
        <f>IF(E30=0,0,E33/E34)</f>
        <v>-2.2190156690987509E-2</v>
      </c>
      <c r="F37" s="167"/>
    </row>
    <row r="38" spans="1:6" ht="13.5" thickBot="1">
      <c r="A38" s="263">
        <f t="shared" si="0"/>
        <v>28</v>
      </c>
      <c r="B38" s="190"/>
      <c r="C38" s="190"/>
      <c r="D38" s="201"/>
      <c r="E38" s="328"/>
      <c r="F38" s="167"/>
    </row>
    <row r="39" spans="1:6" ht="13.5" thickBot="1">
      <c r="A39" s="263">
        <f t="shared" si="0"/>
        <v>29</v>
      </c>
      <c r="B39" s="190" t="s">
        <v>1364</v>
      </c>
      <c r="C39" s="190"/>
      <c r="D39" s="201" t="s">
        <v>1370</v>
      </c>
      <c r="E39" s="224">
        <f>+E24*E36</f>
        <v>570167.98312648514</v>
      </c>
      <c r="F39" s="167"/>
    </row>
    <row r="40" spans="1:6" ht="13.5" thickBot="1">
      <c r="A40" s="263">
        <f t="shared" si="0"/>
        <v>30</v>
      </c>
      <c r="B40" s="167"/>
      <c r="C40" s="190"/>
      <c r="D40" s="201"/>
      <c r="E40" s="328"/>
      <c r="F40" s="167"/>
    </row>
    <row r="41" spans="1:6" ht="13.5" thickBot="1">
      <c r="A41" s="263">
        <f t="shared" si="0"/>
        <v>31</v>
      </c>
      <c r="B41" s="190" t="s">
        <v>1369</v>
      </c>
      <c r="C41" s="190"/>
      <c r="D41" s="201" t="s">
        <v>1371</v>
      </c>
      <c r="E41" s="224">
        <f>+E24*E37</f>
        <v>-1263698.0327074484</v>
      </c>
      <c r="F41" s="167"/>
    </row>
    <row r="42" spans="1:6">
      <c r="A42" s="263"/>
      <c r="B42" s="190"/>
      <c r="C42" s="190"/>
      <c r="D42" s="201"/>
      <c r="E42" s="328"/>
      <c r="F42" s="167"/>
    </row>
    <row r="43" spans="1:6">
      <c r="A43" s="263"/>
      <c r="B43" s="190" t="s">
        <v>1372</v>
      </c>
      <c r="C43" s="190"/>
      <c r="D43" s="201"/>
      <c r="E43" s="328"/>
      <c r="F43" s="167"/>
    </row>
    <row r="44" spans="1:6" ht="13.5" thickBot="1">
      <c r="A44" s="565"/>
      <c r="B44" s="647"/>
      <c r="C44" s="647"/>
      <c r="D44" s="566"/>
      <c r="E44" s="332"/>
      <c r="F44" s="167"/>
    </row>
    <row r="45" spans="1:6">
      <c r="A45" s="201"/>
      <c r="B45" s="190"/>
      <c r="C45" s="190"/>
      <c r="D45" s="201"/>
      <c r="E45" s="220"/>
      <c r="F45" s="167"/>
    </row>
    <row r="46" spans="1:6">
      <c r="A46" s="201"/>
      <c r="B46" s="190"/>
      <c r="C46" s="190"/>
      <c r="D46" s="201"/>
      <c r="E46" s="220"/>
      <c r="F46" s="167"/>
    </row>
    <row r="47" spans="1:6">
      <c r="A47" s="201"/>
      <c r="B47" s="190"/>
      <c r="C47" s="190"/>
      <c r="D47" s="201"/>
      <c r="E47" s="220"/>
      <c r="F47" s="167"/>
    </row>
    <row r="48" spans="1:6" ht="13.5" thickBot="1">
      <c r="A48" s="167"/>
      <c r="B48" s="190"/>
      <c r="C48" s="190"/>
      <c r="D48" s="167"/>
      <c r="E48" s="167"/>
      <c r="F48" s="167"/>
    </row>
    <row r="49" spans="1:5">
      <c r="A49" s="648" t="s">
        <v>1071</v>
      </c>
      <c r="B49" s="1226"/>
      <c r="C49" s="1226"/>
      <c r="D49" s="1226"/>
      <c r="E49" s="1227"/>
    </row>
    <row r="50" spans="1:5" ht="25.5">
      <c r="A50" s="522" t="s">
        <v>868</v>
      </c>
      <c r="B50" s="1" t="s">
        <v>1352</v>
      </c>
      <c r="C50" s="1" t="s">
        <v>1353</v>
      </c>
      <c r="D50" s="277" t="s">
        <v>870</v>
      </c>
      <c r="E50" s="559" t="s">
        <v>936</v>
      </c>
    </row>
    <row r="51" spans="1:5">
      <c r="A51" s="261"/>
      <c r="B51" s="115" t="s">
        <v>363</v>
      </c>
      <c r="C51" s="115" t="s">
        <v>1354</v>
      </c>
      <c r="D51" s="115" t="s">
        <v>364</v>
      </c>
      <c r="E51" s="692" t="s">
        <v>365</v>
      </c>
    </row>
    <row r="52" spans="1:5">
      <c r="A52" s="261"/>
      <c r="B52" s="179"/>
      <c r="C52" s="179"/>
      <c r="D52" s="197"/>
      <c r="E52" s="262"/>
    </row>
    <row r="53" spans="1:5">
      <c r="A53" s="263">
        <v>1</v>
      </c>
      <c r="B53" s="265" t="s">
        <v>914</v>
      </c>
      <c r="C53" s="650">
        <v>2017</v>
      </c>
      <c r="D53" s="201" t="s">
        <v>1373</v>
      </c>
      <c r="E53" s="978"/>
    </row>
    <row r="54" spans="1:5">
      <c r="A54" s="263">
        <f t="shared" ref="A54:A83" si="2">A53+1</f>
        <v>2</v>
      </c>
      <c r="B54" s="265" t="s">
        <v>956</v>
      </c>
      <c r="C54" s="650">
        <v>2018</v>
      </c>
      <c r="D54" s="201" t="s">
        <v>1393</v>
      </c>
      <c r="E54" s="979"/>
    </row>
    <row r="55" spans="1:5">
      <c r="A55" s="263">
        <f t="shared" si="2"/>
        <v>3</v>
      </c>
      <c r="B55" s="265" t="s">
        <v>904</v>
      </c>
      <c r="C55" s="190">
        <f>+C54</f>
        <v>2018</v>
      </c>
      <c r="D55" s="201" t="s">
        <v>1393</v>
      </c>
      <c r="E55" s="979"/>
    </row>
    <row r="56" spans="1:5">
      <c r="A56" s="263">
        <f t="shared" si="2"/>
        <v>4</v>
      </c>
      <c r="B56" s="265" t="s">
        <v>905</v>
      </c>
      <c r="C56" s="190">
        <f t="shared" ref="C56:C65" si="3">+C55</f>
        <v>2018</v>
      </c>
      <c r="D56" s="201" t="s">
        <v>1393</v>
      </c>
      <c r="E56" s="979"/>
    </row>
    <row r="57" spans="1:5">
      <c r="A57" s="263">
        <f t="shared" si="2"/>
        <v>5</v>
      </c>
      <c r="B57" s="265" t="s">
        <v>906</v>
      </c>
      <c r="C57" s="190">
        <f t="shared" si="3"/>
        <v>2018</v>
      </c>
      <c r="D57" s="201" t="s">
        <v>1393</v>
      </c>
      <c r="E57" s="979"/>
    </row>
    <row r="58" spans="1:5">
      <c r="A58" s="263">
        <f t="shared" si="2"/>
        <v>6</v>
      </c>
      <c r="B58" s="265" t="s">
        <v>907</v>
      </c>
      <c r="C58" s="190">
        <f t="shared" si="3"/>
        <v>2018</v>
      </c>
      <c r="D58" s="201" t="s">
        <v>1393</v>
      </c>
      <c r="E58" s="979"/>
    </row>
    <row r="59" spans="1:5">
      <c r="A59" s="263">
        <f t="shared" si="2"/>
        <v>7</v>
      </c>
      <c r="B59" s="265" t="s">
        <v>908</v>
      </c>
      <c r="C59" s="190">
        <f t="shared" si="3"/>
        <v>2018</v>
      </c>
      <c r="D59" s="201" t="s">
        <v>1393</v>
      </c>
      <c r="E59" s="979"/>
    </row>
    <row r="60" spans="1:5">
      <c r="A60" s="263">
        <f t="shared" si="2"/>
        <v>8</v>
      </c>
      <c r="B60" s="265" t="s">
        <v>909</v>
      </c>
      <c r="C60" s="190">
        <f t="shared" si="3"/>
        <v>2018</v>
      </c>
      <c r="D60" s="201" t="s">
        <v>1393</v>
      </c>
      <c r="E60" s="979"/>
    </row>
    <row r="61" spans="1:5">
      <c r="A61" s="263">
        <f t="shared" si="2"/>
        <v>9</v>
      </c>
      <c r="B61" s="265" t="s">
        <v>910</v>
      </c>
      <c r="C61" s="190">
        <f t="shared" si="3"/>
        <v>2018</v>
      </c>
      <c r="D61" s="201" t="s">
        <v>1393</v>
      </c>
      <c r="E61" s="979"/>
    </row>
    <row r="62" spans="1:5">
      <c r="A62" s="263">
        <f t="shared" si="2"/>
        <v>10</v>
      </c>
      <c r="B62" s="265" t="s">
        <v>911</v>
      </c>
      <c r="C62" s="190">
        <f t="shared" si="3"/>
        <v>2018</v>
      </c>
      <c r="D62" s="201" t="s">
        <v>1393</v>
      </c>
      <c r="E62" s="979"/>
    </row>
    <row r="63" spans="1:5">
      <c r="A63" s="263">
        <f t="shared" si="2"/>
        <v>11</v>
      </c>
      <c r="B63" s="265" t="s">
        <v>912</v>
      </c>
      <c r="C63" s="190">
        <f t="shared" si="3"/>
        <v>2018</v>
      </c>
      <c r="D63" s="201" t="s">
        <v>1393</v>
      </c>
      <c r="E63" s="979"/>
    </row>
    <row r="64" spans="1:5">
      <c r="A64" s="263">
        <f t="shared" si="2"/>
        <v>12</v>
      </c>
      <c r="B64" s="265" t="s">
        <v>913</v>
      </c>
      <c r="C64" s="190">
        <f t="shared" si="3"/>
        <v>2018</v>
      </c>
      <c r="D64" s="201" t="s">
        <v>1393</v>
      </c>
      <c r="E64" s="979"/>
    </row>
    <row r="65" spans="1:5">
      <c r="A65" s="263">
        <f t="shared" si="2"/>
        <v>13</v>
      </c>
      <c r="B65" s="265" t="s">
        <v>914</v>
      </c>
      <c r="C65" s="190">
        <f t="shared" si="3"/>
        <v>2018</v>
      </c>
      <c r="D65" s="201" t="s">
        <v>1374</v>
      </c>
      <c r="E65" s="980"/>
    </row>
    <row r="66" spans="1:5">
      <c r="A66" s="263">
        <f t="shared" si="2"/>
        <v>14</v>
      </c>
      <c r="B66" s="190" t="str">
        <f>"13 Month Avg. (Lns "&amp;A53&amp;" - "&amp;A65&amp;")"</f>
        <v>13 Month Avg. (Lns 1 - 13)</v>
      </c>
      <c r="C66" s="190"/>
      <c r="D66" s="201"/>
      <c r="E66" s="328">
        <f>IF(E65=0,0,AVERAGE(E53:E65))</f>
        <v>0</v>
      </c>
    </row>
    <row r="67" spans="1:5">
      <c r="A67" s="263">
        <f t="shared" si="2"/>
        <v>15</v>
      </c>
      <c r="B67" s="190"/>
      <c r="C67" s="190"/>
      <c r="D67" s="201"/>
      <c r="E67" s="328"/>
    </row>
    <row r="68" spans="1:5">
      <c r="A68" s="263">
        <f t="shared" si="2"/>
        <v>16</v>
      </c>
      <c r="B68" s="645" t="s">
        <v>1363</v>
      </c>
      <c r="C68" s="190"/>
      <c r="D68" s="201"/>
      <c r="E68" s="328"/>
    </row>
    <row r="69" spans="1:5">
      <c r="A69" s="263">
        <f t="shared" si="2"/>
        <v>17</v>
      </c>
      <c r="B69" s="190" t="s">
        <v>1357</v>
      </c>
      <c r="C69" s="190"/>
      <c r="D69" s="201" t="s">
        <v>1375</v>
      </c>
      <c r="E69" s="978"/>
    </row>
    <row r="70" spans="1:5">
      <c r="A70" s="263">
        <f t="shared" si="2"/>
        <v>18</v>
      </c>
      <c r="B70" s="190" t="s">
        <v>1358</v>
      </c>
      <c r="C70" s="190"/>
      <c r="D70" s="201" t="s">
        <v>1376</v>
      </c>
      <c r="E70" s="979"/>
    </row>
    <row r="71" spans="1:5">
      <c r="A71" s="263">
        <f t="shared" si="2"/>
        <v>19</v>
      </c>
      <c r="B71" s="190" t="s">
        <v>1355</v>
      </c>
      <c r="C71" s="190"/>
      <c r="D71" s="201" t="s">
        <v>1381</v>
      </c>
      <c r="E71" s="979"/>
    </row>
    <row r="72" spans="1:5">
      <c r="A72" s="263">
        <f t="shared" si="2"/>
        <v>20</v>
      </c>
      <c r="B72" s="190" t="s">
        <v>1356</v>
      </c>
      <c r="C72" s="190"/>
      <c r="D72" s="201" t="s">
        <v>1380</v>
      </c>
      <c r="E72" s="979"/>
    </row>
    <row r="73" spans="1:5">
      <c r="A73" s="263">
        <f t="shared" si="2"/>
        <v>21</v>
      </c>
      <c r="B73" s="190" t="s">
        <v>1359</v>
      </c>
      <c r="C73" s="190"/>
      <c r="D73" s="201" t="s">
        <v>1379</v>
      </c>
      <c r="E73" s="979"/>
    </row>
    <row r="74" spans="1:5">
      <c r="A74" s="263">
        <f t="shared" si="2"/>
        <v>22</v>
      </c>
      <c r="B74" s="190" t="s">
        <v>1360</v>
      </c>
      <c r="C74" s="190"/>
      <c r="D74" s="201" t="s">
        <v>1378</v>
      </c>
      <c r="E74" s="979"/>
    </row>
    <row r="75" spans="1:5">
      <c r="A75" s="263">
        <f t="shared" si="2"/>
        <v>23</v>
      </c>
      <c r="B75" s="190" t="s">
        <v>1361</v>
      </c>
      <c r="C75" s="190"/>
      <c r="D75" s="201" t="s">
        <v>1377</v>
      </c>
      <c r="E75" s="980"/>
    </row>
    <row r="76" spans="1:5">
      <c r="A76" s="263">
        <f t="shared" si="2"/>
        <v>24</v>
      </c>
      <c r="B76" s="190" t="s">
        <v>1362</v>
      </c>
      <c r="C76" s="190"/>
      <c r="D76" s="201"/>
      <c r="E76" s="328">
        <f>SUM(E69:E75)</f>
        <v>0</v>
      </c>
    </row>
    <row r="77" spans="1:5">
      <c r="A77" s="263">
        <f t="shared" si="2"/>
        <v>25</v>
      </c>
      <c r="B77" s="190"/>
      <c r="C77" s="190"/>
      <c r="D77" s="201"/>
      <c r="E77" s="328"/>
    </row>
    <row r="78" spans="1:5">
      <c r="A78" s="263">
        <f t="shared" si="2"/>
        <v>26</v>
      </c>
      <c r="B78" s="190" t="s">
        <v>1365</v>
      </c>
      <c r="C78" s="190"/>
      <c r="D78" s="201" t="s">
        <v>1366</v>
      </c>
      <c r="E78" s="646">
        <f>IF(E69=0,0,E72/E76)</f>
        <v>0</v>
      </c>
    </row>
    <row r="79" spans="1:5">
      <c r="A79" s="263">
        <f t="shared" si="2"/>
        <v>27</v>
      </c>
      <c r="B79" s="190" t="s">
        <v>1367</v>
      </c>
      <c r="C79" s="190"/>
      <c r="D79" s="201" t="s">
        <v>1368</v>
      </c>
      <c r="E79" s="646">
        <f>IF(E72=0,0,E75/E76)</f>
        <v>0</v>
      </c>
    </row>
    <row r="80" spans="1:5" ht="13.5" thickBot="1">
      <c r="A80" s="263">
        <f t="shared" si="2"/>
        <v>28</v>
      </c>
      <c r="B80" s="190"/>
      <c r="C80" s="190"/>
      <c r="D80" s="201"/>
      <c r="E80" s="328"/>
    </row>
    <row r="81" spans="1:5" ht="13.5" thickBot="1">
      <c r="A81" s="263">
        <f t="shared" si="2"/>
        <v>29</v>
      </c>
      <c r="B81" s="190" t="s">
        <v>1364</v>
      </c>
      <c r="C81" s="190"/>
      <c r="D81" s="201" t="s">
        <v>1370</v>
      </c>
      <c r="E81" s="224">
        <f>+E66*E78</f>
        <v>0</v>
      </c>
    </row>
    <row r="82" spans="1:5" ht="13.5" thickBot="1">
      <c r="A82" s="263">
        <f t="shared" si="2"/>
        <v>30</v>
      </c>
      <c r="B82" s="167"/>
      <c r="C82" s="190"/>
      <c r="D82" s="201"/>
      <c r="E82" s="328"/>
    </row>
    <row r="83" spans="1:5" ht="13.5" thickBot="1">
      <c r="A83" s="565">
        <f t="shared" si="2"/>
        <v>31</v>
      </c>
      <c r="B83" s="647" t="s">
        <v>1369</v>
      </c>
      <c r="C83" s="647"/>
      <c r="D83" s="566" t="s">
        <v>1371</v>
      </c>
      <c r="E83" s="224">
        <f>+E66*E79</f>
        <v>0</v>
      </c>
    </row>
  </sheetData>
  <mergeCells count="1">
    <mergeCell ref="B49:E49"/>
  </mergeCells>
  <phoneticPr fontId="2" type="noConversion"/>
  <printOptions horizontalCentered="1"/>
  <pageMargins left="0.75" right="0.75" top="1" bottom="1" header="0.5" footer="0.5"/>
  <pageSetup scale="78" fitToHeight="2" orientation="portrait" r:id="rId1"/>
  <headerFooter alignWithMargins="0">
    <oddHeader>&amp;RPage &amp;P of &amp;N</oddHeader>
  </headerFooter>
  <rowBreaks count="1" manualBreakCount="1">
    <brk id="46"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dimension ref="A1:H51"/>
  <sheetViews>
    <sheetView topLeftCell="A31" workbookViewId="0">
      <selection activeCell="B13" sqref="B13"/>
    </sheetView>
  </sheetViews>
  <sheetFormatPr defaultRowHeight="12.75"/>
  <cols>
    <col min="1" max="1" width="9.28515625" bestFit="1" customWidth="1"/>
    <col min="2" max="2" width="17.7109375" customWidth="1"/>
    <col min="3" max="3" width="19" bestFit="1" customWidth="1"/>
    <col min="4" max="4" width="12.7109375" bestFit="1" customWidth="1"/>
    <col min="5" max="5" width="12.5703125" customWidth="1"/>
    <col min="6" max="6" width="12.7109375" bestFit="1" customWidth="1"/>
  </cols>
  <sheetData>
    <row r="1" spans="1:8">
      <c r="A1" s="98" t="str">
        <f>'Cover Page'!A5</f>
        <v>Public Service Company of Colorado</v>
      </c>
      <c r="F1" s="539" t="str">
        <f>'Table of Contents'!A21</f>
        <v>Table 13</v>
      </c>
    </row>
    <row r="2" spans="1:8">
      <c r="A2" s="98" t="str">
        <f>'Cover Page'!A6</f>
        <v>Transmission Formula Rate Template</v>
      </c>
      <c r="F2" s="454" t="str">
        <f ca="1">MID(CELL("filename",D1),FIND("]",CELL("filename",D1))+1,LEN(CELL("filename",D1))-FIND("]",CELL("filename",D1)))</f>
        <v>WP_B-7</v>
      </c>
    </row>
    <row r="3" spans="1:8">
      <c r="A3" s="98" t="str">
        <f>'Cover Page'!A7</f>
        <v>Twelve Months Ended December 31, 2018</v>
      </c>
    </row>
    <row r="4" spans="1:8">
      <c r="A4" s="98" t="s">
        <v>937</v>
      </c>
    </row>
    <row r="6" spans="1:8" ht="13.5" thickBot="1"/>
    <row r="7" spans="1:8">
      <c r="A7" s="309" t="s">
        <v>990</v>
      </c>
      <c r="B7" s="310"/>
      <c r="C7" s="282"/>
      <c r="D7" s="310"/>
      <c r="E7" s="310"/>
      <c r="F7" s="552"/>
    </row>
    <row r="8" spans="1:8" ht="25.5">
      <c r="A8" s="522" t="s">
        <v>868</v>
      </c>
      <c r="B8" s="1" t="s">
        <v>934</v>
      </c>
      <c r="C8" s="277" t="s">
        <v>870</v>
      </c>
      <c r="D8" s="148" t="s">
        <v>935</v>
      </c>
      <c r="E8" s="148" t="s">
        <v>626</v>
      </c>
      <c r="F8" s="559" t="s">
        <v>936</v>
      </c>
    </row>
    <row r="9" spans="1:8">
      <c r="A9" s="261"/>
      <c r="B9" s="115" t="s">
        <v>363</v>
      </c>
      <c r="C9" s="115" t="s">
        <v>362</v>
      </c>
      <c r="D9" s="115" t="s">
        <v>364</v>
      </c>
      <c r="E9" s="115" t="s">
        <v>365</v>
      </c>
      <c r="F9" s="692" t="s">
        <v>366</v>
      </c>
    </row>
    <row r="10" spans="1:8">
      <c r="A10" s="261"/>
      <c r="B10" s="179" t="s">
        <v>395</v>
      </c>
      <c r="C10" s="197"/>
      <c r="D10" s="167"/>
      <c r="E10" s="167"/>
      <c r="F10" s="262"/>
    </row>
    <row r="11" spans="1:8">
      <c r="A11" s="261"/>
      <c r="B11" s="179"/>
      <c r="C11" s="197"/>
      <c r="D11" s="167"/>
      <c r="E11" s="167"/>
      <c r="F11" s="262"/>
    </row>
    <row r="12" spans="1:8">
      <c r="A12" s="263">
        <v>1</v>
      </c>
      <c r="B12" s="265" t="s">
        <v>914</v>
      </c>
      <c r="C12" s="201" t="s">
        <v>1393</v>
      </c>
      <c r="D12" s="739">
        <v>0</v>
      </c>
      <c r="E12" s="247">
        <v>0</v>
      </c>
      <c r="F12" s="560">
        <f>D12-E12</f>
        <v>0</v>
      </c>
      <c r="H12" s="99"/>
    </row>
    <row r="13" spans="1:8">
      <c r="A13" s="263">
        <f>A12+1</f>
        <v>2</v>
      </c>
      <c r="B13" s="265" t="s">
        <v>956</v>
      </c>
      <c r="C13" s="201" t="s">
        <v>1393</v>
      </c>
      <c r="D13" s="772">
        <f>F12</f>
        <v>0</v>
      </c>
      <c r="E13" s="772">
        <f>E12</f>
        <v>0</v>
      </c>
      <c r="F13" s="560">
        <f>D13-E13</f>
        <v>0</v>
      </c>
    </row>
    <row r="14" spans="1:8">
      <c r="A14" s="263">
        <f t="shared" ref="A14:A26" si="0">A13+1</f>
        <v>3</v>
      </c>
      <c r="B14" s="265" t="s">
        <v>904</v>
      </c>
      <c r="C14" s="201" t="s">
        <v>1393</v>
      </c>
      <c r="D14" s="772">
        <f t="shared" ref="D14:D24" si="1">F13</f>
        <v>0</v>
      </c>
      <c r="E14" s="772">
        <f>E13</f>
        <v>0</v>
      </c>
      <c r="F14" s="560">
        <f>D14-E14</f>
        <v>0</v>
      </c>
    </row>
    <row r="15" spans="1:8">
      <c r="A15" s="263">
        <f t="shared" si="0"/>
        <v>4</v>
      </c>
      <c r="B15" s="265" t="s">
        <v>905</v>
      </c>
      <c r="C15" s="201" t="s">
        <v>1393</v>
      </c>
      <c r="D15" s="772">
        <f t="shared" si="1"/>
        <v>0</v>
      </c>
      <c r="E15" s="772">
        <f t="shared" ref="E15:E23" si="2">E14</f>
        <v>0</v>
      </c>
      <c r="F15" s="560">
        <f>D15-E15</f>
        <v>0</v>
      </c>
    </row>
    <row r="16" spans="1:8">
      <c r="A16" s="263">
        <f t="shared" si="0"/>
        <v>5</v>
      </c>
      <c r="B16" s="265" t="s">
        <v>906</v>
      </c>
      <c r="C16" s="201" t="s">
        <v>1393</v>
      </c>
      <c r="D16" s="772">
        <f t="shared" si="1"/>
        <v>0</v>
      </c>
      <c r="E16" s="772">
        <f t="shared" si="2"/>
        <v>0</v>
      </c>
      <c r="F16" s="560">
        <f>D16-E16</f>
        <v>0</v>
      </c>
    </row>
    <row r="17" spans="1:7">
      <c r="A17" s="263">
        <f t="shared" si="0"/>
        <v>6</v>
      </c>
      <c r="B17" s="265" t="s">
        <v>907</v>
      </c>
      <c r="C17" s="201" t="s">
        <v>1393</v>
      </c>
      <c r="D17" s="772">
        <f t="shared" si="1"/>
        <v>0</v>
      </c>
      <c r="E17" s="772">
        <f>E16</f>
        <v>0</v>
      </c>
      <c r="F17" s="560">
        <f t="shared" ref="F17:F24" si="3">D17-E17</f>
        <v>0</v>
      </c>
    </row>
    <row r="18" spans="1:7">
      <c r="A18" s="263">
        <f t="shared" si="0"/>
        <v>7</v>
      </c>
      <c r="B18" s="265" t="s">
        <v>908</v>
      </c>
      <c r="C18" s="201" t="s">
        <v>1393</v>
      </c>
      <c r="D18" s="772">
        <f t="shared" si="1"/>
        <v>0</v>
      </c>
      <c r="E18" s="772">
        <f t="shared" si="2"/>
        <v>0</v>
      </c>
      <c r="F18" s="560">
        <f t="shared" si="3"/>
        <v>0</v>
      </c>
    </row>
    <row r="19" spans="1:7">
      <c r="A19" s="263">
        <f t="shared" si="0"/>
        <v>8</v>
      </c>
      <c r="B19" s="265" t="s">
        <v>909</v>
      </c>
      <c r="C19" s="201" t="s">
        <v>1393</v>
      </c>
      <c r="D19" s="772">
        <f t="shared" si="1"/>
        <v>0</v>
      </c>
      <c r="E19" s="772">
        <f t="shared" si="2"/>
        <v>0</v>
      </c>
      <c r="F19" s="560">
        <f t="shared" si="3"/>
        <v>0</v>
      </c>
    </row>
    <row r="20" spans="1:7">
      <c r="A20" s="263">
        <f t="shared" si="0"/>
        <v>9</v>
      </c>
      <c r="B20" s="265" t="s">
        <v>910</v>
      </c>
      <c r="C20" s="201" t="s">
        <v>1393</v>
      </c>
      <c r="D20" s="772">
        <f t="shared" si="1"/>
        <v>0</v>
      </c>
      <c r="E20" s="772">
        <f t="shared" si="2"/>
        <v>0</v>
      </c>
      <c r="F20" s="560">
        <f t="shared" si="3"/>
        <v>0</v>
      </c>
    </row>
    <row r="21" spans="1:7">
      <c r="A21" s="263">
        <f t="shared" si="0"/>
        <v>10</v>
      </c>
      <c r="B21" s="265" t="s">
        <v>911</v>
      </c>
      <c r="C21" s="201" t="s">
        <v>1393</v>
      </c>
      <c r="D21" s="772">
        <f t="shared" si="1"/>
        <v>0</v>
      </c>
      <c r="E21" s="772">
        <f t="shared" si="2"/>
        <v>0</v>
      </c>
      <c r="F21" s="560">
        <f t="shared" si="3"/>
        <v>0</v>
      </c>
    </row>
    <row r="22" spans="1:7">
      <c r="A22" s="263">
        <f t="shared" si="0"/>
        <v>11</v>
      </c>
      <c r="B22" s="265" t="s">
        <v>912</v>
      </c>
      <c r="C22" s="201" t="s">
        <v>1393</v>
      </c>
      <c r="D22" s="772">
        <f t="shared" si="1"/>
        <v>0</v>
      </c>
      <c r="E22" s="772">
        <f t="shared" si="2"/>
        <v>0</v>
      </c>
      <c r="F22" s="560">
        <f t="shared" si="3"/>
        <v>0</v>
      </c>
    </row>
    <row r="23" spans="1:7">
      <c r="A23" s="263">
        <f t="shared" si="0"/>
        <v>12</v>
      </c>
      <c r="B23" s="265" t="s">
        <v>913</v>
      </c>
      <c r="C23" s="201" t="s">
        <v>1393</v>
      </c>
      <c r="D23" s="772">
        <f t="shared" si="1"/>
        <v>0</v>
      </c>
      <c r="E23" s="772">
        <f t="shared" si="2"/>
        <v>0</v>
      </c>
      <c r="F23" s="560">
        <f t="shared" si="3"/>
        <v>0</v>
      </c>
    </row>
    <row r="24" spans="1:7" ht="13.5" thickBot="1">
      <c r="A24" s="263">
        <f t="shared" si="0"/>
        <v>13</v>
      </c>
      <c r="B24" s="265" t="s">
        <v>914</v>
      </c>
      <c r="C24" s="201" t="s">
        <v>1393</v>
      </c>
      <c r="D24" s="773">
        <f t="shared" si="1"/>
        <v>0</v>
      </c>
      <c r="E24" s="773">
        <v>0</v>
      </c>
      <c r="F24" s="560">
        <f t="shared" si="3"/>
        <v>0</v>
      </c>
    </row>
    <row r="25" spans="1:7" ht="13.5" thickBot="1">
      <c r="A25" s="263">
        <f t="shared" si="0"/>
        <v>14</v>
      </c>
      <c r="B25" s="190" t="str">
        <f>"13 Month Avg. (Lns "&amp;A12&amp;" - "&amp;A24&amp;")"</f>
        <v>13 Month Avg. (Lns 1 - 13)</v>
      </c>
      <c r="C25" s="201"/>
      <c r="D25" s="523">
        <f>AVERAGE(D12:D24)</f>
        <v>0</v>
      </c>
      <c r="E25" s="167"/>
      <c r="F25" s="524">
        <f>AVERAGE(F12:F24)</f>
        <v>0</v>
      </c>
      <c r="G25" s="99"/>
    </row>
    <row r="26" spans="1:7" ht="13.5" thickBot="1">
      <c r="A26" s="263">
        <f t="shared" si="0"/>
        <v>15</v>
      </c>
      <c r="B26" s="190" t="str">
        <f>"12 Month Total. (Lns "&amp;A13&amp;" - "&amp;A24&amp;")"</f>
        <v>12 Month Total. (Lns 2 - 13)</v>
      </c>
      <c r="C26" s="201"/>
      <c r="D26" s="523"/>
      <c r="E26" s="524">
        <f>SUM(E13:E24)</f>
        <v>0</v>
      </c>
      <c r="F26" s="561"/>
    </row>
    <row r="27" spans="1:7" ht="13.5" thickBot="1">
      <c r="A27" s="274"/>
      <c r="B27" s="275"/>
      <c r="C27" s="275"/>
      <c r="D27" s="275"/>
      <c r="E27" s="275"/>
      <c r="F27" s="276"/>
    </row>
    <row r="28" spans="1:7">
      <c r="A28" s="167"/>
      <c r="B28" s="167"/>
      <c r="C28" s="167"/>
      <c r="D28" s="167"/>
      <c r="E28" s="167"/>
      <c r="F28" s="167"/>
    </row>
    <row r="29" spans="1:7">
      <c r="A29" s="167"/>
      <c r="B29" s="167"/>
      <c r="C29" s="167"/>
      <c r="D29" s="167"/>
      <c r="E29" s="167"/>
      <c r="F29" s="167"/>
    </row>
    <row r="30" spans="1:7" ht="13.5" thickBot="1">
      <c r="A30" s="167"/>
      <c r="B30" s="167"/>
      <c r="C30" s="167"/>
      <c r="D30" s="167"/>
      <c r="E30" s="167"/>
      <c r="F30" s="167"/>
    </row>
    <row r="31" spans="1:7">
      <c r="A31" s="309" t="s">
        <v>1071</v>
      </c>
      <c r="B31" s="310"/>
      <c r="C31" s="282"/>
      <c r="D31" s="310"/>
      <c r="E31" s="310"/>
      <c r="F31" s="552"/>
    </row>
    <row r="32" spans="1:7" ht="25.5">
      <c r="A32" s="522" t="s">
        <v>868</v>
      </c>
      <c r="B32" s="1" t="s">
        <v>934</v>
      </c>
      <c r="C32" s="277" t="s">
        <v>870</v>
      </c>
      <c r="D32" s="148" t="s">
        <v>935</v>
      </c>
      <c r="E32" s="148" t="s">
        <v>626</v>
      </c>
      <c r="F32" s="559" t="s">
        <v>936</v>
      </c>
    </row>
    <row r="33" spans="1:6">
      <c r="A33" s="261"/>
      <c r="B33" s="115" t="s">
        <v>363</v>
      </c>
      <c r="C33" s="115" t="s">
        <v>362</v>
      </c>
      <c r="D33" s="115" t="s">
        <v>364</v>
      </c>
      <c r="E33" s="115" t="s">
        <v>365</v>
      </c>
      <c r="F33" s="692" t="s">
        <v>366</v>
      </c>
    </row>
    <row r="34" spans="1:6">
      <c r="A34" s="261"/>
      <c r="B34" s="179" t="s">
        <v>395</v>
      </c>
      <c r="C34" s="197"/>
      <c r="D34" s="167"/>
      <c r="E34" s="167"/>
      <c r="F34" s="262"/>
    </row>
    <row r="35" spans="1:6">
      <c r="A35" s="261"/>
      <c r="B35" s="179"/>
      <c r="C35" s="197"/>
      <c r="D35" s="167"/>
      <c r="E35" s="167"/>
      <c r="F35" s="262"/>
    </row>
    <row r="36" spans="1:6">
      <c r="A36" s="263">
        <v>1</v>
      </c>
      <c r="B36" s="265" t="s">
        <v>914</v>
      </c>
      <c r="C36" s="240" t="s">
        <v>1597</v>
      </c>
      <c r="D36" s="433">
        <v>0</v>
      </c>
      <c r="E36" s="433">
        <v>0</v>
      </c>
      <c r="F36" s="560">
        <f>SUM(D36:E36)</f>
        <v>0</v>
      </c>
    </row>
    <row r="37" spans="1:6">
      <c r="A37" s="263">
        <f>A36+1</f>
        <v>2</v>
      </c>
      <c r="B37" s="265" t="s">
        <v>956</v>
      </c>
      <c r="C37" s="201" t="s">
        <v>1393</v>
      </c>
      <c r="D37" s="433">
        <v>0</v>
      </c>
      <c r="E37" s="433">
        <v>0</v>
      </c>
      <c r="F37" s="560">
        <f t="shared" ref="F37:F48" si="4">SUM(D37:E37)</f>
        <v>0</v>
      </c>
    </row>
    <row r="38" spans="1:6">
      <c r="A38" s="263">
        <f t="shared" ref="A38:A50" si="5">A37+1</f>
        <v>3</v>
      </c>
      <c r="B38" s="265" t="s">
        <v>904</v>
      </c>
      <c r="C38" s="201" t="s">
        <v>1393</v>
      </c>
      <c r="D38" s="433">
        <v>0</v>
      </c>
      <c r="E38" s="433">
        <v>0</v>
      </c>
      <c r="F38" s="560">
        <f t="shared" si="4"/>
        <v>0</v>
      </c>
    </row>
    <row r="39" spans="1:6">
      <c r="A39" s="263">
        <f t="shared" si="5"/>
        <v>4</v>
      </c>
      <c r="B39" s="265" t="s">
        <v>905</v>
      </c>
      <c r="C39" s="201" t="s">
        <v>1393</v>
      </c>
      <c r="D39" s="433">
        <v>0</v>
      </c>
      <c r="E39" s="433">
        <v>0</v>
      </c>
      <c r="F39" s="560">
        <f t="shared" si="4"/>
        <v>0</v>
      </c>
    </row>
    <row r="40" spans="1:6">
      <c r="A40" s="263">
        <f t="shared" si="5"/>
        <v>5</v>
      </c>
      <c r="B40" s="265" t="s">
        <v>906</v>
      </c>
      <c r="C40" s="201" t="s">
        <v>1393</v>
      </c>
      <c r="D40" s="433">
        <v>0</v>
      </c>
      <c r="E40" s="433">
        <v>0</v>
      </c>
      <c r="F40" s="560">
        <f t="shared" si="4"/>
        <v>0</v>
      </c>
    </row>
    <row r="41" spans="1:6">
      <c r="A41" s="263">
        <f t="shared" si="5"/>
        <v>6</v>
      </c>
      <c r="B41" s="265" t="s">
        <v>907</v>
      </c>
      <c r="C41" s="201" t="s">
        <v>1393</v>
      </c>
      <c r="D41" s="433">
        <v>0</v>
      </c>
      <c r="E41" s="433">
        <v>0</v>
      </c>
      <c r="F41" s="560">
        <f t="shared" si="4"/>
        <v>0</v>
      </c>
    </row>
    <row r="42" spans="1:6">
      <c r="A42" s="263">
        <f t="shared" si="5"/>
        <v>7</v>
      </c>
      <c r="B42" s="265" t="s">
        <v>908</v>
      </c>
      <c r="C42" s="201" t="s">
        <v>1393</v>
      </c>
      <c r="D42" s="433">
        <v>0</v>
      </c>
      <c r="E42" s="433">
        <v>0</v>
      </c>
      <c r="F42" s="560">
        <f t="shared" si="4"/>
        <v>0</v>
      </c>
    </row>
    <row r="43" spans="1:6">
      <c r="A43" s="263">
        <f t="shared" si="5"/>
        <v>8</v>
      </c>
      <c r="B43" s="265" t="s">
        <v>909</v>
      </c>
      <c r="C43" s="201" t="s">
        <v>1393</v>
      </c>
      <c r="D43" s="433">
        <v>0</v>
      </c>
      <c r="E43" s="433">
        <v>0</v>
      </c>
      <c r="F43" s="560">
        <f t="shared" si="4"/>
        <v>0</v>
      </c>
    </row>
    <row r="44" spans="1:6">
      <c r="A44" s="263">
        <f t="shared" si="5"/>
        <v>9</v>
      </c>
      <c r="B44" s="265" t="s">
        <v>910</v>
      </c>
      <c r="C44" s="201" t="s">
        <v>1393</v>
      </c>
      <c r="D44" s="433">
        <v>0</v>
      </c>
      <c r="E44" s="433">
        <v>0</v>
      </c>
      <c r="F44" s="560">
        <f t="shared" si="4"/>
        <v>0</v>
      </c>
    </row>
    <row r="45" spans="1:6">
      <c r="A45" s="263">
        <f t="shared" si="5"/>
        <v>10</v>
      </c>
      <c r="B45" s="265" t="s">
        <v>911</v>
      </c>
      <c r="C45" s="201" t="s">
        <v>1393</v>
      </c>
      <c r="D45" s="433">
        <v>0</v>
      </c>
      <c r="E45" s="433">
        <v>0</v>
      </c>
      <c r="F45" s="560">
        <f t="shared" si="4"/>
        <v>0</v>
      </c>
    </row>
    <row r="46" spans="1:6">
      <c r="A46" s="263">
        <f t="shared" si="5"/>
        <v>11</v>
      </c>
      <c r="B46" s="265" t="s">
        <v>912</v>
      </c>
      <c r="C46" s="201" t="s">
        <v>1393</v>
      </c>
      <c r="D46" s="433">
        <v>0</v>
      </c>
      <c r="E46" s="433">
        <v>0</v>
      </c>
      <c r="F46" s="560">
        <f t="shared" si="4"/>
        <v>0</v>
      </c>
    </row>
    <row r="47" spans="1:6">
      <c r="A47" s="263">
        <f t="shared" si="5"/>
        <v>12</v>
      </c>
      <c r="B47" s="265" t="s">
        <v>913</v>
      </c>
      <c r="C47" s="201" t="s">
        <v>1393</v>
      </c>
      <c r="D47" s="433">
        <v>0</v>
      </c>
      <c r="E47" s="433">
        <v>0</v>
      </c>
      <c r="F47" s="560">
        <f t="shared" si="4"/>
        <v>0</v>
      </c>
    </row>
    <row r="48" spans="1:6" ht="13.5" thickBot="1">
      <c r="A48" s="263">
        <f t="shared" si="5"/>
        <v>13</v>
      </c>
      <c r="B48" s="265" t="s">
        <v>914</v>
      </c>
      <c r="C48" s="240" t="s">
        <v>1598</v>
      </c>
      <c r="D48" s="434">
        <v>0</v>
      </c>
      <c r="E48" s="434">
        <v>0</v>
      </c>
      <c r="F48" s="560">
        <f t="shared" si="4"/>
        <v>0</v>
      </c>
    </row>
    <row r="49" spans="1:7" ht="13.5" thickBot="1">
      <c r="A49" s="263">
        <f t="shared" si="5"/>
        <v>14</v>
      </c>
      <c r="B49" s="190" t="str">
        <f>"13 Month Avg. (Lns "&amp;A36&amp;" - "&amp;A48&amp;")"</f>
        <v>13 Month Avg. (Lns 1 - 13)</v>
      </c>
      <c r="C49" s="201"/>
      <c r="D49" s="523">
        <f>IF(D36=0,0,AVERAGE(D36:D48))</f>
        <v>0</v>
      </c>
      <c r="E49" s="167"/>
      <c r="F49" s="524">
        <f>AVERAGE(F36:F48)</f>
        <v>0</v>
      </c>
      <c r="G49" s="99"/>
    </row>
    <row r="50" spans="1:7" ht="13.5" thickBot="1">
      <c r="A50" s="263">
        <f t="shared" si="5"/>
        <v>15</v>
      </c>
      <c r="B50" s="190" t="str">
        <f>"12 Month Total. (Lns "&amp;A37&amp;" - "&amp;A48&amp;")"</f>
        <v>12 Month Total. (Lns 2 - 13)</v>
      </c>
      <c r="C50" s="201"/>
      <c r="D50" s="523"/>
      <c r="E50" s="524">
        <f>SUM(E37:E48)</f>
        <v>0</v>
      </c>
      <c r="F50" s="561"/>
    </row>
    <row r="51" spans="1:7" ht="13.5" thickBot="1">
      <c r="A51" s="274"/>
      <c r="B51" s="275"/>
      <c r="C51" s="275"/>
      <c r="D51" s="275"/>
      <c r="E51" s="275"/>
      <c r="F51" s="276"/>
    </row>
  </sheetData>
  <phoneticPr fontId="2" type="noConversion"/>
  <hyperlinks>
    <hyperlink ref="F12" r:id="rId1" display="\\FNPCPLM02\Home\201331\PSCo FERC Transmission\2015 Estimate\Formula Template\Data Sources\WP B-7\TSB-2015 Amortization.xls'!M58"/>
  </hyperlinks>
  <printOptions horizontalCentered="1"/>
  <pageMargins left="0.75" right="0.75" top="1" bottom="1" header="0.5" footer="0.5"/>
  <pageSetup scale="85" orientation="portrait" r:id="rId2"/>
  <headerFooter alignWithMargins="0">
    <oddHeader>&amp;RPage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pageSetUpPr fitToPage="1"/>
  </sheetPr>
  <dimension ref="A1:M63"/>
  <sheetViews>
    <sheetView topLeftCell="A34" workbookViewId="0">
      <selection activeCell="B13" sqref="B13"/>
    </sheetView>
  </sheetViews>
  <sheetFormatPr defaultRowHeight="12.75"/>
  <cols>
    <col min="2" max="2" width="8.28515625" customWidth="1"/>
    <col min="3" max="3" width="10" customWidth="1"/>
    <col min="4" max="4" width="12.28515625" customWidth="1"/>
    <col min="5" max="5" width="14.85546875" customWidth="1"/>
    <col min="6" max="6" width="17.140625" bestFit="1" customWidth="1"/>
    <col min="7" max="7" width="1.85546875" customWidth="1"/>
    <col min="8" max="8" width="14.7109375" customWidth="1"/>
    <col min="9" max="9" width="14.85546875" customWidth="1"/>
    <col min="10" max="10" width="12.85546875" style="143" customWidth="1"/>
    <col min="11" max="11" width="11.7109375" customWidth="1"/>
    <col min="12" max="12" width="12.85546875" customWidth="1"/>
  </cols>
  <sheetData>
    <row r="1" spans="1:13">
      <c r="A1" s="98" t="str">
        <f>'Cover Page'!A5</f>
        <v>Public Service Company of Colorado</v>
      </c>
      <c r="L1" s="539" t="str">
        <f>'Table of Contents'!A22</f>
        <v>Table 14</v>
      </c>
    </row>
    <row r="2" spans="1:13">
      <c r="A2" s="98" t="str">
        <f>'Cover Page'!A6</f>
        <v>Transmission Formula Rate Template</v>
      </c>
      <c r="L2" s="454" t="str">
        <f ca="1">MID(CELL("filename",J1),FIND("]",CELL("filename",J1))+1,LEN(CELL("filename",J1))-FIND("]",CELL("filename",J1)))</f>
        <v>WP_B-8</v>
      </c>
    </row>
    <row r="3" spans="1:13">
      <c r="A3" s="98" t="str">
        <f>'Cover Page'!A7</f>
        <v>Twelve Months Ended December 31, 2018</v>
      </c>
    </row>
    <row r="4" spans="1:13">
      <c r="A4" s="131" t="s">
        <v>891</v>
      </c>
    </row>
    <row r="5" spans="1:13" ht="13.5" thickBot="1">
      <c r="A5" s="167"/>
      <c r="B5" s="167"/>
      <c r="C5" s="167"/>
      <c r="D5" s="167"/>
      <c r="E5" s="167"/>
      <c r="F5" s="167"/>
      <c r="G5" s="167"/>
    </row>
    <row r="6" spans="1:13">
      <c r="A6" s="239" t="s">
        <v>990</v>
      </c>
      <c r="B6" s="519"/>
      <c r="C6" s="519"/>
      <c r="D6" s="519"/>
      <c r="E6" s="519"/>
      <c r="F6" s="519"/>
      <c r="G6" s="519"/>
      <c r="H6" s="310"/>
      <c r="I6" s="310"/>
      <c r="J6" s="528"/>
      <c r="K6" s="310"/>
      <c r="L6" s="552"/>
    </row>
    <row r="7" spans="1:13">
      <c r="A7" s="520"/>
      <c r="B7" s="197"/>
      <c r="C7" s="197"/>
      <c r="D7" s="197"/>
      <c r="E7" s="197"/>
      <c r="F7" s="197"/>
      <c r="G7" s="197"/>
      <c r="H7" s="1228" t="s">
        <v>445</v>
      </c>
      <c r="I7" s="1229"/>
      <c r="J7" s="1229"/>
      <c r="K7" s="1229"/>
      <c r="L7" s="1230"/>
    </row>
    <row r="8" spans="1:13" ht="38.25">
      <c r="A8" s="242" t="s">
        <v>868</v>
      </c>
      <c r="B8" s="547" t="s">
        <v>892</v>
      </c>
      <c r="C8" s="547" t="s">
        <v>439</v>
      </c>
      <c r="D8" s="547" t="s">
        <v>894</v>
      </c>
      <c r="E8" s="1" t="s">
        <v>901</v>
      </c>
      <c r="F8" s="1" t="s">
        <v>893</v>
      </c>
      <c r="G8" s="284"/>
      <c r="H8" s="547" t="s">
        <v>440</v>
      </c>
      <c r="I8" s="547" t="s">
        <v>441</v>
      </c>
      <c r="J8" s="550" t="s">
        <v>444</v>
      </c>
      <c r="K8" s="547" t="s">
        <v>442</v>
      </c>
      <c r="L8" s="548" t="s">
        <v>443</v>
      </c>
      <c r="M8" s="167"/>
    </row>
    <row r="9" spans="1:13">
      <c r="A9" s="261"/>
      <c r="B9" s="167"/>
      <c r="C9" s="167"/>
      <c r="D9" s="167"/>
      <c r="E9" s="167"/>
      <c r="F9" s="693" t="s">
        <v>363</v>
      </c>
      <c r="G9" s="693"/>
      <c r="H9" s="693" t="s">
        <v>362</v>
      </c>
      <c r="I9" s="693" t="s">
        <v>364</v>
      </c>
      <c r="J9" s="693" t="s">
        <v>365</v>
      </c>
      <c r="K9" s="693" t="s">
        <v>366</v>
      </c>
      <c r="L9" s="694" t="s">
        <v>367</v>
      </c>
    </row>
    <row r="10" spans="1:13">
      <c r="A10" s="263">
        <v>1</v>
      </c>
      <c r="B10" s="521"/>
      <c r="C10" s="278"/>
      <c r="D10" s="279"/>
      <c r="E10" s="546"/>
      <c r="F10" s="448"/>
      <c r="G10" s="448"/>
      <c r="H10" s="167"/>
      <c r="I10" s="167"/>
      <c r="K10" s="167"/>
      <c r="L10" s="262"/>
    </row>
    <row r="11" spans="1:13">
      <c r="A11" s="263">
        <v>2</v>
      </c>
      <c r="B11" s="546"/>
      <c r="C11" s="167"/>
      <c r="D11" s="167"/>
      <c r="E11" s="546" t="s">
        <v>914</v>
      </c>
      <c r="F11" s="433"/>
      <c r="G11" s="448"/>
      <c r="H11" s="279"/>
      <c r="I11" s="279"/>
      <c r="J11" s="448">
        <f>H11-I11</f>
        <v>0</v>
      </c>
      <c r="K11" s="279"/>
      <c r="L11" s="553"/>
    </row>
    <row r="12" spans="1:13">
      <c r="A12" s="263">
        <v>3</v>
      </c>
      <c r="B12" s="546"/>
      <c r="C12" s="115"/>
      <c r="D12" s="143"/>
      <c r="E12" s="546" t="s">
        <v>956</v>
      </c>
      <c r="F12" s="433"/>
      <c r="G12" s="448"/>
      <c r="H12" s="279"/>
      <c r="I12" s="279"/>
      <c r="J12" s="448">
        <f t="shared" ref="J12:J23" si="0">H12-I12</f>
        <v>0</v>
      </c>
      <c r="K12" s="143"/>
      <c r="L12" s="554"/>
    </row>
    <row r="13" spans="1:13">
      <c r="A13" s="263">
        <v>4</v>
      </c>
      <c r="B13" s="546"/>
      <c r="C13" s="115"/>
      <c r="D13" s="143"/>
      <c r="E13" s="546" t="s">
        <v>904</v>
      </c>
      <c r="F13" s="433"/>
      <c r="G13" s="448"/>
      <c r="H13" s="279"/>
      <c r="I13" s="279"/>
      <c r="J13" s="448">
        <f t="shared" si="0"/>
        <v>0</v>
      </c>
      <c r="K13" s="143"/>
      <c r="L13" s="554"/>
    </row>
    <row r="14" spans="1:13">
      <c r="A14" s="263">
        <v>5</v>
      </c>
      <c r="B14" s="546"/>
      <c r="C14" s="115"/>
      <c r="D14" s="143"/>
      <c r="E14" s="546" t="s">
        <v>905</v>
      </c>
      <c r="F14" s="433"/>
      <c r="G14" s="448"/>
      <c r="H14" s="279"/>
      <c r="I14" s="279"/>
      <c r="J14" s="448">
        <f t="shared" si="0"/>
        <v>0</v>
      </c>
      <c r="K14" s="143"/>
      <c r="L14" s="554"/>
    </row>
    <row r="15" spans="1:13">
      <c r="A15" s="263">
        <v>6</v>
      </c>
      <c r="B15" s="546"/>
      <c r="C15" s="115"/>
      <c r="D15" s="143"/>
      <c r="E15" s="546" t="s">
        <v>906</v>
      </c>
      <c r="F15" s="433"/>
      <c r="G15" s="448"/>
      <c r="H15" s="279"/>
      <c r="I15" s="279"/>
      <c r="J15" s="448">
        <f t="shared" si="0"/>
        <v>0</v>
      </c>
      <c r="K15" s="143"/>
      <c r="L15" s="554"/>
    </row>
    <row r="16" spans="1:13">
      <c r="A16" s="263">
        <v>7</v>
      </c>
      <c r="B16" s="546"/>
      <c r="C16" s="115"/>
      <c r="D16" s="143"/>
      <c r="E16" s="546" t="s">
        <v>907</v>
      </c>
      <c r="F16" s="433"/>
      <c r="G16" s="448"/>
      <c r="H16" s="279"/>
      <c r="I16" s="279"/>
      <c r="J16" s="448">
        <f t="shared" si="0"/>
        <v>0</v>
      </c>
      <c r="K16" s="143"/>
      <c r="L16" s="554"/>
    </row>
    <row r="17" spans="1:12">
      <c r="A17" s="263">
        <v>8</v>
      </c>
      <c r="B17" s="546"/>
      <c r="C17" s="115"/>
      <c r="D17" s="143"/>
      <c r="E17" s="546" t="s">
        <v>908</v>
      </c>
      <c r="F17" s="433"/>
      <c r="G17" s="448"/>
      <c r="H17" s="279"/>
      <c r="I17" s="279"/>
      <c r="J17" s="448">
        <f t="shared" si="0"/>
        <v>0</v>
      </c>
      <c r="K17" s="143"/>
      <c r="L17" s="554"/>
    </row>
    <row r="18" spans="1:12">
      <c r="A18" s="263">
        <v>9</v>
      </c>
      <c r="B18" s="546"/>
      <c r="C18" s="115"/>
      <c r="D18" s="143"/>
      <c r="E18" s="546" t="s">
        <v>909</v>
      </c>
      <c r="F18" s="433"/>
      <c r="G18" s="448"/>
      <c r="H18" s="279"/>
      <c r="I18" s="279"/>
      <c r="J18" s="448">
        <f t="shared" si="0"/>
        <v>0</v>
      </c>
      <c r="K18" s="143"/>
      <c r="L18" s="554"/>
    </row>
    <row r="19" spans="1:12">
      <c r="A19" s="263">
        <v>10</v>
      </c>
      <c r="B19" s="546"/>
      <c r="C19" s="115"/>
      <c r="D19" s="143"/>
      <c r="E19" s="546" t="s">
        <v>910</v>
      </c>
      <c r="F19" s="433"/>
      <c r="G19" s="448"/>
      <c r="H19" s="279"/>
      <c r="I19" s="279"/>
      <c r="J19" s="448">
        <f t="shared" si="0"/>
        <v>0</v>
      </c>
      <c r="K19" s="143"/>
      <c r="L19" s="554"/>
    </row>
    <row r="20" spans="1:12">
      <c r="A20" s="263">
        <v>11</v>
      </c>
      <c r="B20" s="546"/>
      <c r="C20" s="115"/>
      <c r="D20" s="143"/>
      <c r="E20" s="546" t="s">
        <v>911</v>
      </c>
      <c r="F20" s="433"/>
      <c r="G20" s="448"/>
      <c r="H20" s="279"/>
      <c r="I20" s="279"/>
      <c r="J20" s="448">
        <f t="shared" si="0"/>
        <v>0</v>
      </c>
      <c r="K20" s="143"/>
      <c r="L20" s="554"/>
    </row>
    <row r="21" spans="1:12">
      <c r="A21" s="263">
        <v>12</v>
      </c>
      <c r="B21" s="546"/>
      <c r="C21" s="115"/>
      <c r="D21" s="143"/>
      <c r="E21" s="546" t="s">
        <v>912</v>
      </c>
      <c r="F21" s="433"/>
      <c r="G21" s="448"/>
      <c r="H21" s="279"/>
      <c r="I21" s="279"/>
      <c r="J21" s="448">
        <f t="shared" si="0"/>
        <v>0</v>
      </c>
      <c r="K21" s="143"/>
      <c r="L21" s="554"/>
    </row>
    <row r="22" spans="1:12">
      <c r="A22" s="263">
        <v>13</v>
      </c>
      <c r="B22" s="546"/>
      <c r="C22" s="115"/>
      <c r="D22" s="143"/>
      <c r="E22" s="546" t="s">
        <v>913</v>
      </c>
      <c r="F22" s="433"/>
      <c r="G22" s="448"/>
      <c r="H22" s="279"/>
      <c r="I22" s="279"/>
      <c r="J22" s="448">
        <f t="shared" si="0"/>
        <v>0</v>
      </c>
      <c r="K22" s="143"/>
      <c r="L22" s="554"/>
    </row>
    <row r="23" spans="1:12">
      <c r="A23" s="263">
        <v>14</v>
      </c>
      <c r="B23" s="546"/>
      <c r="C23" s="115"/>
      <c r="D23" s="143"/>
      <c r="E23" s="546" t="s">
        <v>914</v>
      </c>
      <c r="F23" s="433"/>
      <c r="G23" s="448"/>
      <c r="H23" s="279"/>
      <c r="I23" s="279"/>
      <c r="J23" s="448">
        <f t="shared" si="0"/>
        <v>0</v>
      </c>
      <c r="K23" s="279"/>
      <c r="L23" s="555"/>
    </row>
    <row r="24" spans="1:12" ht="13.5" thickBot="1">
      <c r="A24" s="263">
        <v>15</v>
      </c>
      <c r="B24" s="167"/>
      <c r="C24" s="167"/>
      <c r="D24" s="167"/>
      <c r="E24" s="143"/>
      <c r="F24" s="167"/>
      <c r="G24" s="143"/>
      <c r="H24" s="549"/>
      <c r="I24" s="549"/>
      <c r="K24" s="551"/>
      <c r="L24" s="556"/>
    </row>
    <row r="25" spans="1:12" ht="13.5" thickBot="1">
      <c r="A25" s="263">
        <v>16</v>
      </c>
      <c r="B25" s="167"/>
      <c r="C25" s="167"/>
      <c r="D25" s="167"/>
      <c r="E25" s="612" t="str">
        <f>"13 Month Avg. (Lns "&amp;A11&amp;" - "&amp;A23&amp;")"</f>
        <v>13 Month Avg. (Lns 2 - 14)</v>
      </c>
      <c r="F25" s="326">
        <f>IF(F23=0,0,AVERAGE(F11:F23))</f>
        <v>0</v>
      </c>
      <c r="G25" s="448"/>
      <c r="H25" s="494">
        <f>IF(H23=0,0,AVERAGE(H11:H23))</f>
        <v>0</v>
      </c>
      <c r="I25" s="494">
        <f>IF(I23=0,0,AVERAGE(I11:I23))</f>
        <v>0</v>
      </c>
      <c r="J25" s="326">
        <f>IF(J23=0,0,AVERAGE(J11:J23))</f>
        <v>0</v>
      </c>
      <c r="K25" s="167"/>
      <c r="L25" s="262"/>
    </row>
    <row r="26" spans="1:12" ht="13.5" thickBot="1">
      <c r="A26" s="263">
        <v>17</v>
      </c>
      <c r="B26" s="167"/>
      <c r="C26" s="167"/>
      <c r="D26" s="167"/>
      <c r="E26" s="612" t="str">
        <f>"BOY/EOY Avg. (Lns "&amp;A11&amp;" and "&amp;A23&amp;")"</f>
        <v>BOY/EOY Avg. (Lns 2 and 14)</v>
      </c>
      <c r="F26" s="167"/>
      <c r="G26" s="143"/>
      <c r="H26" s="167"/>
      <c r="I26" s="167"/>
      <c r="K26" s="326">
        <f>(K11+K23)/2</f>
        <v>0</v>
      </c>
      <c r="L26" s="262"/>
    </row>
    <row r="27" spans="1:12" ht="13.5" thickBot="1">
      <c r="A27" s="263">
        <v>18</v>
      </c>
      <c r="B27" s="167"/>
      <c r="C27" s="167"/>
      <c r="D27" s="167"/>
      <c r="E27" s="612" t="str">
        <f>"12 Month Total (Sum Lns "&amp;A12&amp;" - "&amp;A23&amp;")"</f>
        <v>12 Month Total (Sum Lns 3 - 14)</v>
      </c>
      <c r="F27" s="167"/>
      <c r="G27" s="167"/>
      <c r="H27" s="167"/>
      <c r="I27" s="167"/>
      <c r="K27" s="167"/>
      <c r="L27" s="326">
        <f>SUM(L12:L23)</f>
        <v>0</v>
      </c>
    </row>
    <row r="28" spans="1:12">
      <c r="A28" s="261"/>
      <c r="B28" s="167"/>
      <c r="C28" s="167"/>
      <c r="D28" s="167"/>
      <c r="E28" s="167"/>
      <c r="F28" s="167"/>
      <c r="G28" s="167"/>
      <c r="H28" s="167"/>
      <c r="I28" s="167"/>
      <c r="K28" s="167"/>
      <c r="L28" s="262"/>
    </row>
    <row r="29" spans="1:12">
      <c r="A29" s="261" t="s">
        <v>89</v>
      </c>
      <c r="B29" s="167"/>
      <c r="C29" s="167"/>
      <c r="D29" s="167"/>
      <c r="E29" s="295"/>
      <c r="F29" s="167"/>
      <c r="G29" s="167"/>
      <c r="H29" s="167"/>
      <c r="I29" s="167"/>
      <c r="K29" s="167"/>
      <c r="L29" s="262"/>
    </row>
    <row r="30" spans="1:12">
      <c r="A30" s="263" t="s">
        <v>798</v>
      </c>
      <c r="B30" s="295" t="s">
        <v>896</v>
      </c>
      <c r="C30" s="167"/>
      <c r="D30" s="167"/>
      <c r="E30" s="167"/>
      <c r="F30" s="167"/>
      <c r="G30" s="167"/>
      <c r="H30" s="167"/>
      <c r="I30" s="167"/>
      <c r="K30" s="167"/>
      <c r="L30" s="262"/>
    </row>
    <row r="31" spans="1:12">
      <c r="A31" s="263" t="s">
        <v>799</v>
      </c>
      <c r="B31" s="167" t="s">
        <v>895</v>
      </c>
      <c r="C31" s="167"/>
      <c r="D31" s="167"/>
      <c r="E31" s="167"/>
      <c r="F31" s="167"/>
      <c r="G31" s="167"/>
      <c r="H31" s="167"/>
      <c r="I31" s="167"/>
      <c r="K31" s="167"/>
      <c r="L31" s="262"/>
    </row>
    <row r="32" spans="1:12">
      <c r="A32" s="263"/>
      <c r="B32" s="167"/>
      <c r="C32" s="167"/>
      <c r="D32" s="167"/>
      <c r="E32" s="167"/>
      <c r="F32" s="167"/>
      <c r="G32" s="167"/>
      <c r="H32" s="167"/>
      <c r="I32" s="167"/>
      <c r="K32" s="167"/>
      <c r="L32" s="262"/>
    </row>
    <row r="33" spans="1:12" ht="13.5" thickBot="1">
      <c r="A33" s="274"/>
      <c r="B33" s="275"/>
      <c r="C33" s="275"/>
      <c r="D33" s="275"/>
      <c r="E33" s="275"/>
      <c r="F33" s="275"/>
      <c r="G33" s="275"/>
      <c r="H33" s="275"/>
      <c r="I33" s="275"/>
      <c r="J33" s="410"/>
      <c r="K33" s="275"/>
      <c r="L33" s="276"/>
    </row>
    <row r="34" spans="1:12">
      <c r="A34" s="167"/>
      <c r="B34" s="167"/>
      <c r="C34" s="167"/>
      <c r="D34" s="167"/>
      <c r="E34" s="167"/>
      <c r="F34" s="167"/>
      <c r="G34" s="167"/>
    </row>
    <row r="35" spans="1:12" ht="13.5" thickBot="1">
      <c r="A35" s="167"/>
      <c r="B35" s="167"/>
      <c r="C35" s="167"/>
      <c r="D35" s="167"/>
      <c r="E35" s="167"/>
      <c r="F35" s="167"/>
      <c r="G35" s="167"/>
    </row>
    <row r="36" spans="1:12">
      <c r="A36" s="239" t="s">
        <v>1071</v>
      </c>
      <c r="B36" s="519"/>
      <c r="C36" s="519"/>
      <c r="D36" s="519"/>
      <c r="E36" s="519"/>
      <c r="F36" s="519"/>
      <c r="G36" s="519"/>
      <c r="H36" s="310"/>
      <c r="I36" s="310"/>
      <c r="J36" s="528"/>
      <c r="K36" s="310"/>
      <c r="L36" s="552"/>
    </row>
    <row r="37" spans="1:12">
      <c r="A37" s="520"/>
      <c r="B37" s="197"/>
      <c r="C37" s="197"/>
      <c r="D37" s="197"/>
      <c r="E37" s="197"/>
      <c r="F37" s="197"/>
      <c r="G37" s="197"/>
      <c r="H37" s="1228" t="s">
        <v>445</v>
      </c>
      <c r="I37" s="1229"/>
      <c r="J37" s="1229"/>
      <c r="K37" s="1229"/>
      <c r="L37" s="1230"/>
    </row>
    <row r="38" spans="1:12" ht="38.25">
      <c r="A38" s="242" t="s">
        <v>868</v>
      </c>
      <c r="B38" s="547" t="s">
        <v>892</v>
      </c>
      <c r="C38" s="547" t="s">
        <v>439</v>
      </c>
      <c r="D38" s="547" t="s">
        <v>894</v>
      </c>
      <c r="E38" s="1" t="s">
        <v>901</v>
      </c>
      <c r="F38" s="1" t="s">
        <v>893</v>
      </c>
      <c r="G38" s="284"/>
      <c r="H38" s="547" t="s">
        <v>440</v>
      </c>
      <c r="I38" s="547" t="s">
        <v>441</v>
      </c>
      <c r="J38" s="550" t="s">
        <v>444</v>
      </c>
      <c r="K38" s="547" t="s">
        <v>442</v>
      </c>
      <c r="L38" s="548" t="s">
        <v>443</v>
      </c>
    </row>
    <row r="39" spans="1:12">
      <c r="A39" s="261"/>
      <c r="B39" s="167"/>
      <c r="C39" s="167"/>
      <c r="D39" s="167"/>
      <c r="E39" s="167"/>
      <c r="F39" s="693" t="s">
        <v>363</v>
      </c>
      <c r="G39" s="693"/>
      <c r="H39" s="693" t="s">
        <v>362</v>
      </c>
      <c r="I39" s="693" t="s">
        <v>364</v>
      </c>
      <c r="J39" s="693" t="s">
        <v>365</v>
      </c>
      <c r="K39" s="693" t="s">
        <v>366</v>
      </c>
      <c r="L39" s="694" t="s">
        <v>367</v>
      </c>
    </row>
    <row r="40" spans="1:12">
      <c r="A40" s="263">
        <v>1</v>
      </c>
      <c r="B40" s="521"/>
      <c r="C40" s="278"/>
      <c r="D40" s="279"/>
      <c r="E40" s="546"/>
      <c r="F40" s="448"/>
      <c r="G40" s="448"/>
      <c r="H40" s="167"/>
      <c r="I40" s="167"/>
      <c r="K40" s="167"/>
      <c r="L40" s="262"/>
    </row>
    <row r="41" spans="1:12">
      <c r="A41" s="263">
        <v>2</v>
      </c>
      <c r="B41" s="546"/>
      <c r="C41" s="167"/>
      <c r="D41" s="167"/>
      <c r="E41" s="546" t="s">
        <v>914</v>
      </c>
      <c r="F41" s="433"/>
      <c r="G41" s="448"/>
      <c r="H41" s="279"/>
      <c r="I41" s="279"/>
      <c r="J41" s="448">
        <f>H41-I41</f>
        <v>0</v>
      </c>
      <c r="K41" s="279"/>
      <c r="L41" s="553"/>
    </row>
    <row r="42" spans="1:12">
      <c r="A42" s="263">
        <v>3</v>
      </c>
      <c r="B42" s="546"/>
      <c r="C42" s="115"/>
      <c r="D42" s="143"/>
      <c r="E42" s="546" t="s">
        <v>956</v>
      </c>
      <c r="F42" s="433"/>
      <c r="G42" s="448"/>
      <c r="H42" s="279"/>
      <c r="I42" s="279"/>
      <c r="J42" s="448">
        <f t="shared" ref="J42:J53" si="1">H42-I42</f>
        <v>0</v>
      </c>
      <c r="K42" s="143"/>
      <c r="L42" s="554"/>
    </row>
    <row r="43" spans="1:12">
      <c r="A43" s="263">
        <v>4</v>
      </c>
      <c r="B43" s="546"/>
      <c r="C43" s="115"/>
      <c r="D43" s="143"/>
      <c r="E43" s="546" t="s">
        <v>904</v>
      </c>
      <c r="F43" s="433"/>
      <c r="G43" s="448"/>
      <c r="H43" s="279"/>
      <c r="I43" s="279"/>
      <c r="J43" s="448">
        <f t="shared" si="1"/>
        <v>0</v>
      </c>
      <c r="K43" s="143"/>
      <c r="L43" s="554"/>
    </row>
    <row r="44" spans="1:12">
      <c r="A44" s="263">
        <v>5</v>
      </c>
      <c r="B44" s="546"/>
      <c r="C44" s="115"/>
      <c r="D44" s="143"/>
      <c r="E44" s="546" t="s">
        <v>905</v>
      </c>
      <c r="F44" s="433"/>
      <c r="G44" s="448"/>
      <c r="H44" s="279"/>
      <c r="I44" s="279"/>
      <c r="J44" s="448">
        <f t="shared" si="1"/>
        <v>0</v>
      </c>
      <c r="K44" s="143"/>
      <c r="L44" s="554"/>
    </row>
    <row r="45" spans="1:12">
      <c r="A45" s="263">
        <v>6</v>
      </c>
      <c r="B45" s="546"/>
      <c r="C45" s="115"/>
      <c r="D45" s="143"/>
      <c r="E45" s="546" t="s">
        <v>906</v>
      </c>
      <c r="F45" s="433"/>
      <c r="G45" s="448"/>
      <c r="H45" s="279"/>
      <c r="I45" s="279"/>
      <c r="J45" s="448">
        <f t="shared" si="1"/>
        <v>0</v>
      </c>
      <c r="K45" s="143"/>
      <c r="L45" s="554"/>
    </row>
    <row r="46" spans="1:12">
      <c r="A46" s="263">
        <v>7</v>
      </c>
      <c r="B46" s="546"/>
      <c r="C46" s="115"/>
      <c r="D46" s="143"/>
      <c r="E46" s="546" t="s">
        <v>907</v>
      </c>
      <c r="F46" s="433"/>
      <c r="G46" s="448"/>
      <c r="H46" s="279"/>
      <c r="I46" s="279"/>
      <c r="J46" s="448">
        <f t="shared" si="1"/>
        <v>0</v>
      </c>
      <c r="K46" s="143"/>
      <c r="L46" s="554"/>
    </row>
    <row r="47" spans="1:12">
      <c r="A47" s="263">
        <v>8</v>
      </c>
      <c r="B47" s="546"/>
      <c r="C47" s="115"/>
      <c r="D47" s="143"/>
      <c r="E47" s="546" t="s">
        <v>908</v>
      </c>
      <c r="F47" s="433"/>
      <c r="G47" s="448"/>
      <c r="H47" s="279"/>
      <c r="I47" s="279"/>
      <c r="J47" s="448">
        <f t="shared" si="1"/>
        <v>0</v>
      </c>
      <c r="K47" s="143"/>
      <c r="L47" s="554"/>
    </row>
    <row r="48" spans="1:12">
      <c r="A48" s="263">
        <v>9</v>
      </c>
      <c r="B48" s="546"/>
      <c r="C48" s="115"/>
      <c r="D48" s="143"/>
      <c r="E48" s="546" t="s">
        <v>909</v>
      </c>
      <c r="F48" s="433"/>
      <c r="G48" s="448"/>
      <c r="H48" s="279"/>
      <c r="I48" s="279"/>
      <c r="J48" s="448">
        <f t="shared" si="1"/>
        <v>0</v>
      </c>
      <c r="K48" s="143"/>
      <c r="L48" s="554"/>
    </row>
    <row r="49" spans="1:12">
      <c r="A49" s="263">
        <v>10</v>
      </c>
      <c r="B49" s="546"/>
      <c r="C49" s="115"/>
      <c r="D49" s="143"/>
      <c r="E49" s="546" t="s">
        <v>910</v>
      </c>
      <c r="F49" s="433"/>
      <c r="G49" s="448"/>
      <c r="H49" s="279"/>
      <c r="I49" s="279"/>
      <c r="J49" s="448">
        <f t="shared" si="1"/>
        <v>0</v>
      </c>
      <c r="K49" s="143"/>
      <c r="L49" s="554"/>
    </row>
    <row r="50" spans="1:12">
      <c r="A50" s="263">
        <v>11</v>
      </c>
      <c r="B50" s="546"/>
      <c r="C50" s="115"/>
      <c r="D50" s="143"/>
      <c r="E50" s="546" t="s">
        <v>911</v>
      </c>
      <c r="F50" s="433"/>
      <c r="G50" s="448"/>
      <c r="H50" s="279"/>
      <c r="I50" s="279"/>
      <c r="J50" s="448">
        <f t="shared" si="1"/>
        <v>0</v>
      </c>
      <c r="K50" s="143"/>
      <c r="L50" s="554"/>
    </row>
    <row r="51" spans="1:12">
      <c r="A51" s="263">
        <v>12</v>
      </c>
      <c r="B51" s="546"/>
      <c r="C51" s="115"/>
      <c r="D51" s="143"/>
      <c r="E51" s="546" t="s">
        <v>912</v>
      </c>
      <c r="F51" s="433"/>
      <c r="G51" s="448"/>
      <c r="H51" s="279"/>
      <c r="I51" s="279"/>
      <c r="J51" s="448">
        <f t="shared" si="1"/>
        <v>0</v>
      </c>
      <c r="K51" s="143"/>
      <c r="L51" s="554"/>
    </row>
    <row r="52" spans="1:12">
      <c r="A52" s="263">
        <v>13</v>
      </c>
      <c r="B52" s="546"/>
      <c r="C52" s="115"/>
      <c r="D52" s="143"/>
      <c r="E52" s="546" t="s">
        <v>913</v>
      </c>
      <c r="F52" s="433"/>
      <c r="G52" s="448"/>
      <c r="H52" s="279"/>
      <c r="I52" s="279"/>
      <c r="J52" s="448">
        <f t="shared" si="1"/>
        <v>0</v>
      </c>
      <c r="K52" s="143"/>
      <c r="L52" s="554"/>
    </row>
    <row r="53" spans="1:12">
      <c r="A53" s="263">
        <v>14</v>
      </c>
      <c r="B53" s="546"/>
      <c r="C53" s="115"/>
      <c r="D53" s="143"/>
      <c r="E53" s="546" t="s">
        <v>914</v>
      </c>
      <c r="F53" s="433"/>
      <c r="G53" s="448"/>
      <c r="H53" s="279"/>
      <c r="I53" s="279"/>
      <c r="J53" s="448">
        <f t="shared" si="1"/>
        <v>0</v>
      </c>
      <c r="K53" s="279"/>
      <c r="L53" s="555"/>
    </row>
    <row r="54" spans="1:12" ht="13.5" thickBot="1">
      <c r="A54" s="263">
        <v>15</v>
      </c>
      <c r="B54" s="167"/>
      <c r="C54" s="167"/>
      <c r="D54" s="167"/>
      <c r="E54" s="143"/>
      <c r="F54" s="167"/>
      <c r="G54" s="143"/>
      <c r="H54" s="549"/>
      <c r="I54" s="549"/>
      <c r="K54" s="551"/>
      <c r="L54" s="556"/>
    </row>
    <row r="55" spans="1:12" ht="13.5" thickBot="1">
      <c r="A55" s="263">
        <v>16</v>
      </c>
      <c r="B55" s="167"/>
      <c r="C55" s="167"/>
      <c r="D55" s="167"/>
      <c r="E55" s="612" t="str">
        <f>"13 Month Avg. (Lns "&amp;A41&amp;" - "&amp;A53&amp;")"</f>
        <v>13 Month Avg. (Lns 2 - 14)</v>
      </c>
      <c r="F55" s="326">
        <f>IF(F53=0,0,AVERAGE(F41:F53))</f>
        <v>0</v>
      </c>
      <c r="G55" s="448"/>
      <c r="H55" s="494">
        <f>IF(H53=0,0,AVERAGE(H41:H53))</f>
        <v>0</v>
      </c>
      <c r="I55" s="494">
        <f>IF(I53=0,0,AVERAGE(I41:I53))</f>
        <v>0</v>
      </c>
      <c r="J55" s="326">
        <f>IF(J53=0,0,AVERAGE(J41:J53))</f>
        <v>0</v>
      </c>
      <c r="K55" s="167"/>
      <c r="L55" s="262"/>
    </row>
    <row r="56" spans="1:12" ht="13.5" thickBot="1">
      <c r="A56" s="263">
        <v>17</v>
      </c>
      <c r="B56" s="167"/>
      <c r="C56" s="167"/>
      <c r="D56" s="167"/>
      <c r="E56" s="612" t="str">
        <f>"BOY/EOY Avg. (Lns "&amp;A41&amp;" and "&amp;A53&amp;")"</f>
        <v>BOY/EOY Avg. (Lns 2 and 14)</v>
      </c>
      <c r="F56" s="167"/>
      <c r="G56" s="143"/>
      <c r="H56" s="167"/>
      <c r="I56" s="167"/>
      <c r="K56" s="326">
        <f>(K41+K53)/2</f>
        <v>0</v>
      </c>
      <c r="L56" s="262"/>
    </row>
    <row r="57" spans="1:12" ht="13.5" thickBot="1">
      <c r="A57" s="263">
        <v>18</v>
      </c>
      <c r="B57" s="167"/>
      <c r="C57" s="167"/>
      <c r="D57" s="167"/>
      <c r="E57" s="612" t="str">
        <f>"12 Month Total (Sum Lns "&amp;A42&amp;" - "&amp;A53&amp;")"</f>
        <v>12 Month Total (Sum Lns 3 - 14)</v>
      </c>
      <c r="F57" s="167"/>
      <c r="G57" s="167"/>
      <c r="H57" s="167"/>
      <c r="I57" s="167"/>
      <c r="K57" s="167"/>
      <c r="L57" s="326">
        <f>SUM(L42:L53)</f>
        <v>0</v>
      </c>
    </row>
    <row r="58" spans="1:12">
      <c r="A58" s="261"/>
      <c r="B58" s="167"/>
      <c r="C58" s="167"/>
      <c r="D58" s="167"/>
      <c r="E58" s="167"/>
      <c r="F58" s="167"/>
      <c r="G58" s="167"/>
      <c r="H58" s="167"/>
      <c r="I58" s="167"/>
      <c r="K58" s="167"/>
      <c r="L58" s="262"/>
    </row>
    <row r="59" spans="1:12">
      <c r="A59" s="261" t="s">
        <v>89</v>
      </c>
      <c r="B59" s="167"/>
      <c r="C59" s="167"/>
      <c r="D59" s="167"/>
      <c r="E59" s="295"/>
      <c r="F59" s="167"/>
      <c r="G59" s="167"/>
      <c r="H59" s="167"/>
      <c r="I59" s="167"/>
      <c r="K59" s="167"/>
      <c r="L59" s="262"/>
    </row>
    <row r="60" spans="1:12">
      <c r="A60" s="263" t="s">
        <v>798</v>
      </c>
      <c r="B60" s="295" t="s">
        <v>896</v>
      </c>
      <c r="C60" s="167"/>
      <c r="D60" s="167"/>
      <c r="E60" s="167"/>
      <c r="F60" s="167"/>
      <c r="G60" s="167"/>
      <c r="H60" s="167"/>
      <c r="I60" s="167"/>
      <c r="K60" s="167"/>
      <c r="L60" s="262"/>
    </row>
    <row r="61" spans="1:12">
      <c r="A61" s="263" t="s">
        <v>799</v>
      </c>
      <c r="B61" s="167" t="s">
        <v>895</v>
      </c>
      <c r="C61" s="167"/>
      <c r="D61" s="167"/>
      <c r="E61" s="167"/>
      <c r="F61" s="167"/>
      <c r="G61" s="167"/>
      <c r="H61" s="167"/>
      <c r="I61" s="167"/>
      <c r="K61" s="167"/>
      <c r="L61" s="262"/>
    </row>
    <row r="62" spans="1:12">
      <c r="A62" s="263"/>
      <c r="B62" s="167"/>
      <c r="C62" s="167"/>
      <c r="D62" s="167"/>
      <c r="E62" s="167"/>
      <c r="F62" s="167"/>
      <c r="G62" s="167"/>
      <c r="H62" s="167"/>
      <c r="I62" s="167"/>
      <c r="K62" s="167"/>
      <c r="L62" s="262"/>
    </row>
    <row r="63" spans="1:12" ht="13.5" thickBot="1">
      <c r="A63" s="274"/>
      <c r="B63" s="275"/>
      <c r="C63" s="275"/>
      <c r="D63" s="275"/>
      <c r="E63" s="275"/>
      <c r="F63" s="275"/>
      <c r="G63" s="275"/>
      <c r="H63" s="275"/>
      <c r="I63" s="275"/>
      <c r="J63" s="410"/>
      <c r="K63" s="275"/>
      <c r="L63" s="276"/>
    </row>
  </sheetData>
  <mergeCells count="2">
    <mergeCell ref="H7:L7"/>
    <mergeCell ref="H37:L37"/>
  </mergeCells>
  <phoneticPr fontId="2" type="noConversion"/>
  <pageMargins left="0.75" right="0.75" top="1" bottom="1" header="0.5" footer="0.5"/>
  <pageSetup scale="64" orientation="portrait" r:id="rId1"/>
  <headerFooter alignWithMargins="0">
    <oddHeader>&amp;RPage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6"/>
  <sheetViews>
    <sheetView topLeftCell="A52" zoomScale="85" zoomScaleNormal="85" workbookViewId="0">
      <selection activeCell="F77" sqref="F77"/>
    </sheetView>
  </sheetViews>
  <sheetFormatPr defaultRowHeight="12.75"/>
  <cols>
    <col min="1" max="1" width="5.42578125" style="74" customWidth="1"/>
    <col min="2" max="2" width="25" style="72" customWidth="1"/>
    <col min="3" max="3" width="18.7109375" style="72" bestFit="1" customWidth="1"/>
    <col min="4" max="4" width="18.140625" style="72" bestFit="1" customWidth="1"/>
    <col min="5" max="5" width="15.140625" style="72" bestFit="1" customWidth="1"/>
    <col min="6" max="6" width="19" style="72" bestFit="1" customWidth="1"/>
    <col min="7" max="7" width="19.42578125" style="72" customWidth="1"/>
    <col min="8" max="8" width="15.7109375" style="72" bestFit="1" customWidth="1"/>
    <col min="9" max="9" width="16.85546875" style="72" bestFit="1" customWidth="1"/>
    <col min="10" max="10" width="17.7109375" style="72" bestFit="1" customWidth="1"/>
    <col min="11" max="11" width="14.28515625" style="72" bestFit="1" customWidth="1"/>
    <col min="12" max="12" width="12.28515625" style="72" bestFit="1" customWidth="1"/>
    <col min="13" max="13" width="16.5703125" style="72" bestFit="1" customWidth="1"/>
    <col min="14" max="14" width="16.7109375" style="72" bestFit="1" customWidth="1"/>
    <col min="15" max="16" width="12.28515625" style="72" bestFit="1" customWidth="1"/>
    <col min="17" max="17" width="17.7109375" style="72" bestFit="1" customWidth="1"/>
    <col min="18" max="25" width="11.28515625" style="72" bestFit="1" customWidth="1"/>
    <col min="26" max="16384" width="9.140625" style="72"/>
  </cols>
  <sheetData>
    <row r="1" spans="1:26">
      <c r="A1" s="821" t="s">
        <v>779</v>
      </c>
      <c r="G1" s="315"/>
      <c r="L1" s="781" t="s">
        <v>148</v>
      </c>
    </row>
    <row r="2" spans="1:26">
      <c r="A2" s="821" t="s">
        <v>383</v>
      </c>
      <c r="G2" s="315"/>
      <c r="H2" s="315"/>
      <c r="I2" s="93"/>
      <c r="J2" s="93"/>
      <c r="K2" s="93"/>
      <c r="L2" s="781" t="s">
        <v>1588</v>
      </c>
    </row>
    <row r="3" spans="1:26">
      <c r="A3" s="821" t="s">
        <v>1454</v>
      </c>
      <c r="G3" s="93"/>
      <c r="H3" s="93"/>
      <c r="I3" s="93"/>
      <c r="J3" s="93"/>
      <c r="K3" s="93"/>
    </row>
    <row r="4" spans="1:26">
      <c r="A4" s="821" t="s">
        <v>943</v>
      </c>
      <c r="G4" s="93"/>
      <c r="J4" s="93"/>
      <c r="K4" s="93"/>
    </row>
    <row r="5" spans="1:26">
      <c r="A5" s="821"/>
      <c r="E5" s="93"/>
      <c r="G5" s="93"/>
      <c r="H5" s="93"/>
    </row>
    <row r="6" spans="1:26">
      <c r="C6" s="846"/>
      <c r="D6" s="93"/>
      <c r="G6" s="315"/>
      <c r="H6" s="315"/>
    </row>
    <row r="7" spans="1:26">
      <c r="B7" s="847" t="s">
        <v>944</v>
      </c>
      <c r="C7" s="93"/>
      <c r="J7" s="93"/>
      <c r="K7" s="93"/>
    </row>
    <row r="8" spans="1:26" ht="25.5">
      <c r="C8" s="848" t="s">
        <v>945</v>
      </c>
      <c r="D8" s="848" t="s">
        <v>947</v>
      </c>
      <c r="E8" s="848" t="s">
        <v>948</v>
      </c>
      <c r="F8" s="848" t="s">
        <v>949</v>
      </c>
      <c r="G8" s="849" t="s">
        <v>950</v>
      </c>
      <c r="H8" s="848" t="s">
        <v>951</v>
      </c>
      <c r="I8" s="848" t="s">
        <v>953</v>
      </c>
      <c r="J8" s="848" t="s">
        <v>954</v>
      </c>
      <c r="K8" s="848" t="s">
        <v>955</v>
      </c>
    </row>
    <row r="9" spans="1:26" ht="25.5">
      <c r="B9" s="850" t="s">
        <v>167</v>
      </c>
      <c r="C9" s="850" t="s">
        <v>1393</v>
      </c>
      <c r="D9" s="850" t="s">
        <v>1393</v>
      </c>
      <c r="E9" s="850" t="s">
        <v>1393</v>
      </c>
      <c r="F9" s="850" t="s">
        <v>1393</v>
      </c>
      <c r="G9" s="850" t="s">
        <v>1393</v>
      </c>
      <c r="H9" s="850" t="s">
        <v>1393</v>
      </c>
      <c r="I9" s="850" t="s">
        <v>1393</v>
      </c>
      <c r="J9" s="850" t="s">
        <v>1393</v>
      </c>
      <c r="K9" s="850" t="s">
        <v>1393</v>
      </c>
    </row>
    <row r="10" spans="1:26">
      <c r="A10" s="839">
        <v>1</v>
      </c>
      <c r="B10" s="72" t="s">
        <v>914</v>
      </c>
      <c r="C10" s="734">
        <v>108321831.46969134</v>
      </c>
      <c r="D10" s="734">
        <v>3207852423.5100012</v>
      </c>
      <c r="E10" s="734">
        <v>146763818.23000002</v>
      </c>
      <c r="F10" s="734">
        <v>1866164112.3199997</v>
      </c>
      <c r="G10" s="734">
        <v>2197291940.4599996</v>
      </c>
      <c r="H10" s="734">
        <v>4845512478.6100016</v>
      </c>
      <c r="I10" s="734">
        <v>282733261.96000004</v>
      </c>
      <c r="J10" s="734">
        <v>435035177.02999997</v>
      </c>
      <c r="K10" s="734">
        <v>431996389.51999992</v>
      </c>
      <c r="M10" s="315"/>
      <c r="N10" s="315"/>
      <c r="O10" s="315"/>
      <c r="P10" s="315"/>
      <c r="Q10" s="315"/>
      <c r="R10" s="315"/>
      <c r="S10" s="315"/>
      <c r="T10" s="315"/>
      <c r="U10" s="315"/>
      <c r="V10" s="315"/>
      <c r="W10" s="315"/>
      <c r="X10" s="315"/>
      <c r="Y10" s="315"/>
      <c r="Z10" s="315"/>
    </row>
    <row r="11" spans="1:26">
      <c r="A11" s="839">
        <f t="shared" ref="A11:A24" si="0">A10+1</f>
        <v>2</v>
      </c>
      <c r="B11" s="72" t="s">
        <v>956</v>
      </c>
      <c r="C11" s="734">
        <v>108355156.21960244</v>
      </c>
      <c r="D11" s="734">
        <v>3210138107.7900019</v>
      </c>
      <c r="E11" s="734">
        <v>146763819.81000006</v>
      </c>
      <c r="F11" s="734">
        <v>1866165120.1699996</v>
      </c>
      <c r="G11" s="734">
        <v>2199706337.4300003</v>
      </c>
      <c r="H11" s="734">
        <v>4860701768.6900005</v>
      </c>
      <c r="I11" s="734">
        <v>284378191.67999995</v>
      </c>
      <c r="J11" s="734">
        <v>447996595.66000003</v>
      </c>
      <c r="K11" s="734">
        <v>437568979.65999961</v>
      </c>
      <c r="M11" s="315"/>
      <c r="N11" s="315"/>
    </row>
    <row r="12" spans="1:26">
      <c r="A12" s="839">
        <f t="shared" si="0"/>
        <v>3</v>
      </c>
      <c r="B12" s="72" t="s">
        <v>904</v>
      </c>
      <c r="C12" s="734">
        <v>108395323.69958515</v>
      </c>
      <c r="D12" s="734">
        <v>3210173415.9900012</v>
      </c>
      <c r="E12" s="734">
        <v>146763821.38</v>
      </c>
      <c r="F12" s="734">
        <v>1866167028.6699996</v>
      </c>
      <c r="G12" s="734">
        <v>2208880563.4200006</v>
      </c>
      <c r="H12" s="734">
        <v>4875406131.6800013</v>
      </c>
      <c r="I12" s="734">
        <v>285950270.29999995</v>
      </c>
      <c r="J12" s="734">
        <v>448367013.45000005</v>
      </c>
      <c r="K12" s="734">
        <v>441031755.93999964</v>
      </c>
      <c r="M12" s="315"/>
      <c r="N12" s="315"/>
    </row>
    <row r="13" spans="1:26">
      <c r="A13" s="839">
        <f t="shared" si="0"/>
        <v>4</v>
      </c>
      <c r="B13" s="72" t="s">
        <v>905</v>
      </c>
      <c r="C13" s="734">
        <v>108450181.49956787</v>
      </c>
      <c r="D13" s="734">
        <v>3211320277.3100019</v>
      </c>
      <c r="E13" s="734">
        <v>146763823.71000001</v>
      </c>
      <c r="F13" s="734">
        <v>1866221979.27</v>
      </c>
      <c r="G13" s="734">
        <v>2210224426.5700006</v>
      </c>
      <c r="H13" s="734">
        <v>4893066466.2500029</v>
      </c>
      <c r="I13" s="734">
        <v>289929292.27999991</v>
      </c>
      <c r="J13" s="734">
        <v>456045346.26000005</v>
      </c>
      <c r="K13" s="734">
        <v>441881926.39000016</v>
      </c>
      <c r="M13" s="315"/>
      <c r="N13" s="315"/>
    </row>
    <row r="14" spans="1:26">
      <c r="A14" s="839">
        <f t="shared" si="0"/>
        <v>5</v>
      </c>
      <c r="B14" s="72" t="s">
        <v>906</v>
      </c>
      <c r="C14" s="734">
        <v>108515726.08956292</v>
      </c>
      <c r="D14" s="734">
        <v>3211422811.7000022</v>
      </c>
      <c r="E14" s="734">
        <v>146763827.47999999</v>
      </c>
      <c r="F14" s="734">
        <v>1866233631.5700002</v>
      </c>
      <c r="G14" s="734">
        <v>2216732925.9999995</v>
      </c>
      <c r="H14" s="734">
        <v>4909950675.2300034</v>
      </c>
      <c r="I14" s="734">
        <v>291794856.4199999</v>
      </c>
      <c r="J14" s="734">
        <v>457927639.71000004</v>
      </c>
      <c r="K14" s="734">
        <v>442778784.11999953</v>
      </c>
      <c r="M14" s="315"/>
      <c r="N14" s="315"/>
    </row>
    <row r="15" spans="1:26">
      <c r="A15" s="839">
        <f t="shared" si="0"/>
        <v>6</v>
      </c>
      <c r="B15" s="72" t="s">
        <v>907</v>
      </c>
      <c r="C15" s="734">
        <v>108592604.43955304</v>
      </c>
      <c r="D15" s="734">
        <v>3211848019.4400024</v>
      </c>
      <c r="E15" s="734">
        <v>146763841.88000011</v>
      </c>
      <c r="F15" s="734">
        <v>1890420813.1099997</v>
      </c>
      <c r="G15" s="734">
        <v>2238034523.4599996</v>
      </c>
      <c r="H15" s="734">
        <v>4930642860.7000074</v>
      </c>
      <c r="I15" s="734">
        <v>294462570.40999985</v>
      </c>
      <c r="J15" s="734">
        <v>458375470.36000001</v>
      </c>
      <c r="K15" s="734">
        <v>443810145.47000027</v>
      </c>
      <c r="M15" s="315"/>
      <c r="N15" s="315"/>
    </row>
    <row r="16" spans="1:26">
      <c r="A16" s="839">
        <f t="shared" si="0"/>
        <v>7</v>
      </c>
      <c r="B16" s="72" t="s">
        <v>908</v>
      </c>
      <c r="C16" s="734">
        <v>108860919.60953578</v>
      </c>
      <c r="D16" s="734">
        <v>3211951905.0600033</v>
      </c>
      <c r="E16" s="734">
        <v>147402960.75000009</v>
      </c>
      <c r="F16" s="734">
        <v>1892519920.4800005</v>
      </c>
      <c r="G16" s="734">
        <v>2252691290.2400022</v>
      </c>
      <c r="H16" s="734">
        <v>4949205820.3100023</v>
      </c>
      <c r="I16" s="734">
        <v>298782093.62999988</v>
      </c>
      <c r="J16" s="734">
        <v>463247228.68000007</v>
      </c>
      <c r="K16" s="734">
        <v>445192942.08999997</v>
      </c>
      <c r="M16" s="315"/>
      <c r="N16" s="315"/>
    </row>
    <row r="17" spans="1:14">
      <c r="A17" s="839">
        <f t="shared" si="0"/>
        <v>8</v>
      </c>
      <c r="B17" s="72" t="s">
        <v>909</v>
      </c>
      <c r="C17" s="734">
        <v>108954488.09952588</v>
      </c>
      <c r="D17" s="734">
        <v>3212066644.5400014</v>
      </c>
      <c r="E17" s="734">
        <v>147404577.52000013</v>
      </c>
      <c r="F17" s="734">
        <v>1893515075.3100004</v>
      </c>
      <c r="G17" s="734">
        <v>2257828602.0900006</v>
      </c>
      <c r="H17" s="734">
        <v>4964635573.1799994</v>
      </c>
      <c r="I17" s="734">
        <v>299996007.2100001</v>
      </c>
      <c r="J17" s="734">
        <v>463712770.94000006</v>
      </c>
      <c r="K17" s="734">
        <v>446506979.76999944</v>
      </c>
      <c r="M17" s="315"/>
      <c r="N17" s="315"/>
    </row>
    <row r="18" spans="1:14">
      <c r="A18" s="839">
        <f t="shared" si="0"/>
        <v>9</v>
      </c>
      <c r="B18" s="72" t="s">
        <v>910</v>
      </c>
      <c r="C18" s="734">
        <v>109054574.76951602</v>
      </c>
      <c r="D18" s="734">
        <v>3212312632.5000024</v>
      </c>
      <c r="E18" s="734">
        <v>147405582.81000009</v>
      </c>
      <c r="F18" s="734">
        <v>1893546327.5399995</v>
      </c>
      <c r="G18" s="734">
        <v>2379523833.4100018</v>
      </c>
      <c r="H18" s="734">
        <v>4984823920.5199947</v>
      </c>
      <c r="I18" s="734">
        <v>301358284.22000003</v>
      </c>
      <c r="J18" s="734">
        <v>464185162.43000007</v>
      </c>
      <c r="K18" s="734">
        <v>447792423.18999958</v>
      </c>
      <c r="M18" s="315"/>
      <c r="N18" s="315"/>
    </row>
    <row r="19" spans="1:14">
      <c r="A19" s="839">
        <f t="shared" si="0"/>
        <v>10</v>
      </c>
      <c r="B19" s="72" t="s">
        <v>911</v>
      </c>
      <c r="C19" s="734">
        <v>109139864.58950613</v>
      </c>
      <c r="D19" s="734">
        <v>3212557019.2400012</v>
      </c>
      <c r="E19" s="734">
        <v>147406201.59000006</v>
      </c>
      <c r="F19" s="734">
        <v>1893584628.6600008</v>
      </c>
      <c r="G19" s="734">
        <v>2380956232.1200004</v>
      </c>
      <c r="H19" s="734">
        <v>5012951000.5099974</v>
      </c>
      <c r="I19" s="734">
        <v>302812047.36999989</v>
      </c>
      <c r="J19" s="734">
        <v>464663338.11000001</v>
      </c>
      <c r="K19" s="734">
        <v>449361873.35999984</v>
      </c>
      <c r="M19" s="315"/>
      <c r="N19" s="315"/>
    </row>
    <row r="20" spans="1:14">
      <c r="A20" s="839">
        <f t="shared" si="0"/>
        <v>11</v>
      </c>
      <c r="B20" s="72" t="s">
        <v>912</v>
      </c>
      <c r="C20" s="734">
        <v>109213656.92948884</v>
      </c>
      <c r="D20" s="734">
        <v>3214435912.210001</v>
      </c>
      <c r="E20" s="734">
        <v>147406218.88000005</v>
      </c>
      <c r="F20" s="734">
        <v>1906855096.8699994</v>
      </c>
      <c r="G20" s="734">
        <v>2423131473.7499995</v>
      </c>
      <c r="H20" s="734">
        <v>5045009075.8100052</v>
      </c>
      <c r="I20" s="734">
        <v>308383469.62000018</v>
      </c>
      <c r="J20" s="734">
        <v>465735268.42000008</v>
      </c>
      <c r="K20" s="734">
        <v>454599827.25000036</v>
      </c>
      <c r="M20" s="315"/>
      <c r="N20" s="315"/>
    </row>
    <row r="21" spans="1:14">
      <c r="A21" s="839">
        <f t="shared" si="0"/>
        <v>12</v>
      </c>
      <c r="B21" s="72" t="s">
        <v>913</v>
      </c>
      <c r="C21" s="734">
        <v>109296015.86947897</v>
      </c>
      <c r="D21" s="734">
        <v>3215269597.1100035</v>
      </c>
      <c r="E21" s="734">
        <v>148415863.75000006</v>
      </c>
      <c r="F21" s="734">
        <v>2849648719.2400007</v>
      </c>
      <c r="G21" s="734">
        <v>2429342133.2600012</v>
      </c>
      <c r="H21" s="734">
        <v>5065808657.5199986</v>
      </c>
      <c r="I21" s="734">
        <v>309557897.17999989</v>
      </c>
      <c r="J21" s="734">
        <v>467314424.42000008</v>
      </c>
      <c r="K21" s="734">
        <v>461915127.58000034</v>
      </c>
      <c r="M21" s="315"/>
      <c r="N21" s="315"/>
    </row>
    <row r="22" spans="1:14">
      <c r="A22" s="839">
        <f t="shared" si="0"/>
        <v>13</v>
      </c>
      <c r="B22" s="72" t="s">
        <v>914</v>
      </c>
      <c r="C22" s="735">
        <v>110659507.96944441</v>
      </c>
      <c r="D22" s="735">
        <v>3216029529.1399999</v>
      </c>
      <c r="E22" s="735">
        <v>148427243.07999998</v>
      </c>
      <c r="F22" s="735">
        <v>2850823462.309999</v>
      </c>
      <c r="G22" s="735">
        <v>2452275426.7700052</v>
      </c>
      <c r="H22" s="735">
        <v>5111735683.050004</v>
      </c>
      <c r="I22" s="735">
        <v>315666146.9600001</v>
      </c>
      <c r="J22" s="735">
        <v>479934149.81000006</v>
      </c>
      <c r="K22" s="735">
        <v>482014800.77999973</v>
      </c>
      <c r="M22" s="315"/>
      <c r="N22" s="315"/>
    </row>
    <row r="23" spans="1:14">
      <c r="A23" s="839">
        <f t="shared" si="0"/>
        <v>14</v>
      </c>
      <c r="B23" s="584" t="str">
        <f>"13 Month Avg. (Lns "&amp;A10&amp;" - "&amp;A22&amp;")"</f>
        <v>13 Month Avg. (Lns 1 - 13)</v>
      </c>
      <c r="C23" s="169">
        <f t="shared" ref="C23:K23" si="1">IF(C22=0,0,AVERAGE(C10:C22))</f>
        <v>108908450.09646606</v>
      </c>
      <c r="D23" s="169">
        <f t="shared" si="1"/>
        <v>3212106022.7338481</v>
      </c>
      <c r="E23" s="169">
        <f t="shared" si="1"/>
        <v>147265507.75923082</v>
      </c>
      <c r="F23" s="169">
        <f t="shared" si="1"/>
        <v>2030912762.7323074</v>
      </c>
      <c r="G23" s="169">
        <f t="shared" si="1"/>
        <v>2295893823.767693</v>
      </c>
      <c r="H23" s="169">
        <f t="shared" si="1"/>
        <v>4957650008.6200008</v>
      </c>
      <c r="I23" s="169">
        <f t="shared" si="1"/>
        <v>297369568.40307689</v>
      </c>
      <c r="J23" s="169">
        <f t="shared" si="1"/>
        <v>459426121.94461542</v>
      </c>
      <c r="K23" s="169">
        <f t="shared" si="1"/>
        <v>448188611.93230754</v>
      </c>
      <c r="M23" s="315"/>
      <c r="N23" s="315"/>
    </row>
    <row r="24" spans="1:14">
      <c r="A24" s="1237">
        <f t="shared" si="0"/>
        <v>15</v>
      </c>
      <c r="B24" s="1238" t="s">
        <v>958</v>
      </c>
      <c r="C24" s="169"/>
      <c r="D24" s="169"/>
      <c r="E24" s="169"/>
      <c r="F24" s="169"/>
      <c r="G24" s="169"/>
      <c r="H24" s="169"/>
      <c r="I24" s="169"/>
      <c r="J24" s="169"/>
      <c r="M24" s="315"/>
      <c r="N24" s="315"/>
    </row>
    <row r="25" spans="1:14">
      <c r="A25" s="1237"/>
      <c r="B25" s="1238"/>
      <c r="C25" s="141">
        <v>0</v>
      </c>
      <c r="D25" s="141">
        <v>53395917.590000026</v>
      </c>
      <c r="E25" s="141">
        <v>734812</v>
      </c>
      <c r="F25" s="141">
        <v>5404984.3500000006</v>
      </c>
      <c r="G25" s="141">
        <v>63392.270000000011</v>
      </c>
      <c r="H25" s="141">
        <v>6809773.8199999994</v>
      </c>
      <c r="I25" s="141">
        <v>0</v>
      </c>
      <c r="J25" s="141">
        <v>0</v>
      </c>
      <c r="K25" s="141">
        <v>369412.21999999986</v>
      </c>
      <c r="M25" s="315"/>
      <c r="N25" s="315"/>
    </row>
    <row r="26" spans="1:14" ht="13.5" thickBot="1">
      <c r="A26" s="839">
        <f>A24+1</f>
        <v>16</v>
      </c>
      <c r="M26" s="315"/>
      <c r="N26" s="315"/>
    </row>
    <row r="27" spans="1:14" ht="13.5" thickBot="1">
      <c r="A27" s="839">
        <f t="shared" ref="A27:A90" si="2">A26+1</f>
        <v>17</v>
      </c>
      <c r="B27" s="72" t="s">
        <v>959</v>
      </c>
      <c r="C27" s="611">
        <f t="shared" ref="C27:K27" si="3">C23-C25</f>
        <v>108908450.09646606</v>
      </c>
      <c r="D27" s="611">
        <f t="shared" si="3"/>
        <v>3158710105.1438479</v>
      </c>
      <c r="E27" s="611">
        <f t="shared" si="3"/>
        <v>146530695.75923082</v>
      </c>
      <c r="F27" s="611">
        <f t="shared" si="3"/>
        <v>2025507778.3823075</v>
      </c>
      <c r="G27" s="611">
        <f t="shared" si="3"/>
        <v>2295830431.4976931</v>
      </c>
      <c r="H27" s="611">
        <f t="shared" si="3"/>
        <v>4950840234.8000011</v>
      </c>
      <c r="I27" s="611">
        <f t="shared" si="3"/>
        <v>297369568.40307689</v>
      </c>
      <c r="J27" s="611">
        <f t="shared" si="3"/>
        <v>459426121.94461542</v>
      </c>
      <c r="K27" s="611">
        <f t="shared" si="3"/>
        <v>447819199.71230751</v>
      </c>
      <c r="M27" s="315"/>
      <c r="N27" s="315"/>
    </row>
    <row r="28" spans="1:14">
      <c r="A28" s="839">
        <f t="shared" si="2"/>
        <v>18</v>
      </c>
      <c r="C28" s="169"/>
      <c r="D28" s="169"/>
      <c r="E28" s="169"/>
      <c r="F28" s="169"/>
      <c r="G28" s="169"/>
      <c r="H28" s="169"/>
      <c r="M28" s="315"/>
      <c r="N28" s="315"/>
    </row>
    <row r="29" spans="1:14">
      <c r="A29" s="839">
        <f t="shared" si="2"/>
        <v>19</v>
      </c>
      <c r="B29" s="847" t="s">
        <v>960</v>
      </c>
      <c r="C29" s="169"/>
      <c r="D29" s="169"/>
      <c r="E29" s="169"/>
      <c r="F29" s="169"/>
      <c r="G29" s="169"/>
      <c r="H29" s="169"/>
      <c r="M29" s="315"/>
      <c r="N29" s="315"/>
    </row>
    <row r="30" spans="1:14">
      <c r="A30" s="839">
        <f t="shared" si="2"/>
        <v>20</v>
      </c>
      <c r="J30" s="93"/>
      <c r="K30" s="93"/>
      <c r="M30" s="315"/>
      <c r="N30" s="315"/>
    </row>
    <row r="31" spans="1:14" ht="25.5">
      <c r="A31" s="839">
        <f t="shared" si="2"/>
        <v>21</v>
      </c>
      <c r="C31" s="848" t="s">
        <v>945</v>
      </c>
      <c r="D31" s="848" t="s">
        <v>947</v>
      </c>
      <c r="E31" s="848" t="s">
        <v>948</v>
      </c>
      <c r="F31" s="848" t="s">
        <v>949</v>
      </c>
      <c r="G31" s="849" t="s">
        <v>950</v>
      </c>
      <c r="H31" s="848" t="s">
        <v>951</v>
      </c>
      <c r="I31" s="848" t="s">
        <v>953</v>
      </c>
      <c r="J31" s="848" t="s">
        <v>954</v>
      </c>
      <c r="K31" s="848" t="s">
        <v>955</v>
      </c>
      <c r="M31" s="315"/>
      <c r="N31" s="315"/>
    </row>
    <row r="32" spans="1:14" ht="25.5">
      <c r="A32" s="839">
        <f t="shared" si="2"/>
        <v>22</v>
      </c>
      <c r="B32" s="850" t="s">
        <v>167</v>
      </c>
      <c r="C32" s="850" t="s">
        <v>1393</v>
      </c>
      <c r="D32" s="850" t="s">
        <v>1393</v>
      </c>
      <c r="E32" s="850" t="s">
        <v>1393</v>
      </c>
      <c r="F32" s="850" t="s">
        <v>1393</v>
      </c>
      <c r="G32" s="850" t="s">
        <v>1393</v>
      </c>
      <c r="H32" s="850" t="s">
        <v>1393</v>
      </c>
      <c r="I32" s="850" t="s">
        <v>1393</v>
      </c>
      <c r="J32" s="850" t="s">
        <v>1393</v>
      </c>
      <c r="K32" s="850" t="s">
        <v>1393</v>
      </c>
      <c r="M32" s="315"/>
      <c r="N32" s="315"/>
    </row>
    <row r="33" spans="1:26">
      <c r="A33" s="839">
        <f t="shared" si="2"/>
        <v>23</v>
      </c>
      <c r="B33" s="72" t="s">
        <v>914</v>
      </c>
      <c r="C33" s="734">
        <v>60626863.140000008</v>
      </c>
      <c r="D33" s="734">
        <v>1067122899.3399993</v>
      </c>
      <c r="E33" s="734">
        <v>47143620.320000045</v>
      </c>
      <c r="F33" s="734">
        <v>425939110.2500003</v>
      </c>
      <c r="G33" s="734">
        <v>487387944.27999991</v>
      </c>
      <c r="H33" s="734">
        <v>1394361828.0899999</v>
      </c>
      <c r="I33" s="734">
        <v>109748718.89</v>
      </c>
      <c r="J33" s="734">
        <v>236447372.24000001</v>
      </c>
      <c r="K33" s="734">
        <v>188283966.81000018</v>
      </c>
      <c r="M33" s="315"/>
      <c r="N33" s="315"/>
      <c r="O33" s="315"/>
      <c r="P33" s="315"/>
      <c r="Q33" s="315"/>
      <c r="R33" s="315"/>
      <c r="S33" s="315"/>
      <c r="T33" s="315"/>
      <c r="U33" s="315"/>
      <c r="V33" s="315"/>
      <c r="W33" s="315"/>
      <c r="X33" s="315"/>
      <c r="Y33" s="315"/>
      <c r="Z33" s="315"/>
    </row>
    <row r="34" spans="1:26">
      <c r="A34" s="839">
        <f t="shared" si="2"/>
        <v>24</v>
      </c>
      <c r="B34" s="72" t="s">
        <v>956</v>
      </c>
      <c r="C34" s="734">
        <v>61475549.960000001</v>
      </c>
      <c r="D34" s="734">
        <v>1072310457.7899998</v>
      </c>
      <c r="E34" s="734">
        <v>47318169.119999908</v>
      </c>
      <c r="F34" s="734">
        <v>429654481.77999985</v>
      </c>
      <c r="G34" s="734">
        <v>490122073.07999974</v>
      </c>
      <c r="H34" s="734">
        <v>1400785337.8700006</v>
      </c>
      <c r="I34" s="734">
        <v>111308193.45000005</v>
      </c>
      <c r="J34" s="734">
        <v>239440656.41</v>
      </c>
      <c r="K34" s="734">
        <v>191255105.72999993</v>
      </c>
      <c r="M34" s="315"/>
      <c r="N34" s="315"/>
    </row>
    <row r="35" spans="1:26">
      <c r="A35" s="839">
        <f t="shared" si="2"/>
        <v>25</v>
      </c>
      <c r="B35" s="72" t="s">
        <v>904</v>
      </c>
      <c r="C35" s="734">
        <v>62323491.129999995</v>
      </c>
      <c r="D35" s="734">
        <v>1077498462.0300004</v>
      </c>
      <c r="E35" s="734">
        <v>47489717.920000017</v>
      </c>
      <c r="F35" s="734">
        <v>433357636.02000022</v>
      </c>
      <c r="G35" s="734">
        <v>492858103.48999983</v>
      </c>
      <c r="H35" s="734">
        <v>1407090566.8700013</v>
      </c>
      <c r="I35" s="734">
        <v>112881316.44</v>
      </c>
      <c r="J35" s="734">
        <v>242439860.72999999</v>
      </c>
      <c r="K35" s="734">
        <v>194231314.85999998</v>
      </c>
      <c r="M35" s="315"/>
      <c r="N35" s="315"/>
    </row>
    <row r="36" spans="1:26">
      <c r="A36" s="839">
        <f t="shared" si="2"/>
        <v>26</v>
      </c>
      <c r="B36" s="72" t="s">
        <v>905</v>
      </c>
      <c r="C36" s="734">
        <v>63172315.04999999</v>
      </c>
      <c r="D36" s="734">
        <v>1082600021.3999994</v>
      </c>
      <c r="E36" s="734">
        <v>47639266.729999922</v>
      </c>
      <c r="F36" s="734">
        <v>435440921.06000048</v>
      </c>
      <c r="G36" s="734">
        <v>495584702.28000003</v>
      </c>
      <c r="H36" s="734">
        <v>1413039164.2299986</v>
      </c>
      <c r="I36" s="734">
        <v>114453356.53000009</v>
      </c>
      <c r="J36" s="734">
        <v>245524284.50999999</v>
      </c>
      <c r="K36" s="734">
        <v>197311284.55999976</v>
      </c>
      <c r="M36" s="315"/>
      <c r="N36" s="315"/>
    </row>
    <row r="37" spans="1:26">
      <c r="A37" s="839">
        <f t="shared" si="2"/>
        <v>27</v>
      </c>
      <c r="B37" s="72" t="s">
        <v>906</v>
      </c>
      <c r="C37" s="734">
        <v>64019505.869999997</v>
      </c>
      <c r="D37" s="734">
        <v>1087694052.26</v>
      </c>
      <c r="E37" s="734">
        <v>47793815.540000021</v>
      </c>
      <c r="F37" s="734">
        <v>439045797.28000039</v>
      </c>
      <c r="G37" s="734">
        <v>498320100.93000007</v>
      </c>
      <c r="H37" s="734">
        <v>1418863264.5699992</v>
      </c>
      <c r="I37" s="734">
        <v>116004171.63000003</v>
      </c>
      <c r="J37" s="734">
        <v>248636326.09999999</v>
      </c>
      <c r="K37" s="734">
        <v>200416860.45000005</v>
      </c>
      <c r="M37" s="315"/>
      <c r="N37" s="315"/>
    </row>
    <row r="38" spans="1:26">
      <c r="A38" s="839">
        <f t="shared" si="2"/>
        <v>28</v>
      </c>
      <c r="B38" s="72" t="s">
        <v>907</v>
      </c>
      <c r="C38" s="734">
        <v>64646725.719999999</v>
      </c>
      <c r="D38" s="734">
        <v>1095358290.7700002</v>
      </c>
      <c r="E38" s="734">
        <v>48148014.839999937</v>
      </c>
      <c r="F38" s="734">
        <v>442381906.85999978</v>
      </c>
      <c r="G38" s="734">
        <v>501487659.54999977</v>
      </c>
      <c r="H38" s="734">
        <v>1424932045.1699996</v>
      </c>
      <c r="I38" s="734">
        <v>117289775.32999992</v>
      </c>
      <c r="J38" s="734">
        <v>251099263.82999998</v>
      </c>
      <c r="K38" s="734">
        <v>202910439.90000007</v>
      </c>
      <c r="M38" s="315"/>
      <c r="N38" s="315"/>
    </row>
    <row r="39" spans="1:26">
      <c r="A39" s="839">
        <f t="shared" si="2"/>
        <v>29</v>
      </c>
      <c r="B39" s="72" t="s">
        <v>908</v>
      </c>
      <c r="C39" s="734">
        <v>65277118.110000007</v>
      </c>
      <c r="D39" s="734">
        <v>1100981732.7300003</v>
      </c>
      <c r="E39" s="734">
        <v>48564281.980000012</v>
      </c>
      <c r="F39" s="734">
        <v>446220012.24000001</v>
      </c>
      <c r="G39" s="734">
        <v>504672514.59999973</v>
      </c>
      <c r="H39" s="734">
        <v>1431153327.8300002</v>
      </c>
      <c r="I39" s="734">
        <v>118749638.28000002</v>
      </c>
      <c r="J39" s="734">
        <v>253615884.18000001</v>
      </c>
      <c r="K39" s="734">
        <v>205448689.82999992</v>
      </c>
      <c r="M39" s="315"/>
      <c r="N39" s="315"/>
    </row>
    <row r="40" spans="1:26">
      <c r="A40" s="839">
        <f t="shared" si="2"/>
        <v>30</v>
      </c>
      <c r="B40" s="72" t="s">
        <v>909</v>
      </c>
      <c r="C40" s="734">
        <v>65908586.509999998</v>
      </c>
      <c r="D40" s="734">
        <v>1108641815.8699982</v>
      </c>
      <c r="E40" s="734">
        <v>48981117.380000032</v>
      </c>
      <c r="F40" s="734">
        <v>450231326.55999982</v>
      </c>
      <c r="G40" s="734">
        <v>507904999.58000028</v>
      </c>
      <c r="H40" s="734">
        <v>1437530497.0500007</v>
      </c>
      <c r="I40" s="734">
        <v>120238968.20000002</v>
      </c>
      <c r="J40" s="734">
        <v>256129935.38999999</v>
      </c>
      <c r="K40" s="734">
        <v>208017822.93000013</v>
      </c>
      <c r="M40" s="315"/>
      <c r="N40" s="315"/>
    </row>
    <row r="41" spans="1:26">
      <c r="A41" s="839">
        <f t="shared" si="2"/>
        <v>31</v>
      </c>
      <c r="B41" s="72" t="s">
        <v>910</v>
      </c>
      <c r="C41" s="734">
        <v>66541206.179999992</v>
      </c>
      <c r="D41" s="734">
        <v>1116306349.9300001</v>
      </c>
      <c r="E41" s="734">
        <v>49397955.09999992</v>
      </c>
      <c r="F41" s="734">
        <v>454252856.78999984</v>
      </c>
      <c r="G41" s="734">
        <v>511260031.75000042</v>
      </c>
      <c r="H41" s="734">
        <v>1443523679.3700004</v>
      </c>
      <c r="I41" s="734">
        <v>121731911.28999998</v>
      </c>
      <c r="J41" s="734">
        <v>258628593.66999999</v>
      </c>
      <c r="K41" s="734">
        <v>210568590.43000001</v>
      </c>
      <c r="M41" s="315"/>
      <c r="N41" s="315"/>
    </row>
    <row r="42" spans="1:26">
      <c r="A42" s="839">
        <f t="shared" si="2"/>
        <v>32</v>
      </c>
      <c r="B42" s="72" t="s">
        <v>911</v>
      </c>
      <c r="C42" s="734">
        <v>67174830.080000013</v>
      </c>
      <c r="D42" s="734">
        <v>1123944069.1100001</v>
      </c>
      <c r="E42" s="734">
        <v>49814794.270000003</v>
      </c>
      <c r="F42" s="734">
        <v>458274556.96999961</v>
      </c>
      <c r="G42" s="734">
        <v>514694732.81999964</v>
      </c>
      <c r="H42" s="734">
        <v>1449391871.249999</v>
      </c>
      <c r="I42" s="734">
        <v>123239150.48999995</v>
      </c>
      <c r="J42" s="734">
        <v>261132944.55999997</v>
      </c>
      <c r="K42" s="734">
        <v>213112500.18999991</v>
      </c>
      <c r="M42" s="315"/>
      <c r="N42" s="315"/>
    </row>
    <row r="43" spans="1:26">
      <c r="A43" s="839">
        <f t="shared" si="2"/>
        <v>33</v>
      </c>
      <c r="B43" s="72" t="s">
        <v>912</v>
      </c>
      <c r="C43" s="734">
        <v>67809310.670000002</v>
      </c>
      <c r="D43" s="734">
        <v>1131502696.0799997</v>
      </c>
      <c r="E43" s="734">
        <v>50231734.009999916</v>
      </c>
      <c r="F43" s="734">
        <v>462261272.67999959</v>
      </c>
      <c r="G43" s="734">
        <v>518180669.55000025</v>
      </c>
      <c r="H43" s="734">
        <v>1455286183.299999</v>
      </c>
      <c r="I43" s="734">
        <v>124771021.76999986</v>
      </c>
      <c r="J43" s="734">
        <v>263649404.84</v>
      </c>
      <c r="K43" s="734">
        <v>215650161.40000021</v>
      </c>
      <c r="M43" s="315"/>
      <c r="N43" s="315"/>
    </row>
    <row r="44" spans="1:26">
      <c r="A44" s="839">
        <f t="shared" si="2"/>
        <v>34</v>
      </c>
      <c r="B44" s="72" t="s">
        <v>913</v>
      </c>
      <c r="C44" s="734">
        <v>68444762.930000007</v>
      </c>
      <c r="D44" s="734">
        <v>1139125322.9499998</v>
      </c>
      <c r="E44" s="734">
        <v>50649813.550000027</v>
      </c>
      <c r="F44" s="734">
        <v>468003049.73999995</v>
      </c>
      <c r="G44" s="734">
        <v>521703089.72000027</v>
      </c>
      <c r="H44" s="734">
        <v>1461350180.6900003</v>
      </c>
      <c r="I44" s="734">
        <v>126329139.0200001</v>
      </c>
      <c r="J44" s="734">
        <v>266183686.31</v>
      </c>
      <c r="K44" s="734">
        <v>218148860.95999989</v>
      </c>
      <c r="M44" s="315"/>
      <c r="N44" s="315"/>
    </row>
    <row r="45" spans="1:26">
      <c r="A45" s="839">
        <f t="shared" si="2"/>
        <v>35</v>
      </c>
      <c r="B45" s="72" t="s">
        <v>914</v>
      </c>
      <c r="C45" s="735">
        <v>69096400.63000001</v>
      </c>
      <c r="D45" s="735">
        <v>1148939595.5800002</v>
      </c>
      <c r="E45" s="735">
        <v>51068995.709999986</v>
      </c>
      <c r="F45" s="735">
        <v>475436265.56999969</v>
      </c>
      <c r="G45" s="735">
        <v>525242121.91000038</v>
      </c>
      <c r="H45" s="735">
        <v>1467257689.8699996</v>
      </c>
      <c r="I45" s="735">
        <v>127874128.06999996</v>
      </c>
      <c r="J45" s="735">
        <v>268863535.14999998</v>
      </c>
      <c r="K45" s="735">
        <v>220676385.76000002</v>
      </c>
      <c r="M45" s="315"/>
      <c r="N45" s="315"/>
    </row>
    <row r="46" spans="1:26">
      <c r="A46" s="839">
        <f t="shared" si="2"/>
        <v>36</v>
      </c>
      <c r="B46" s="850" t="str">
        <f>"13 Month Avg. (Lns "&amp;A33&amp;" - "&amp;A45&amp;")"</f>
        <v>13 Month Avg. (Lns 23 - 35)</v>
      </c>
      <c r="C46" s="169">
        <f t="shared" ref="C46:K46" si="4">IF(C45=0,0,AVERAGE(C33:C45))</f>
        <v>65116666.613846146</v>
      </c>
      <c r="D46" s="169">
        <f t="shared" si="4"/>
        <v>1104001981.9876921</v>
      </c>
      <c r="E46" s="169">
        <f t="shared" si="4"/>
        <v>48787792.036153831</v>
      </c>
      <c r="F46" s="169">
        <f t="shared" si="4"/>
        <v>447730707.21538454</v>
      </c>
      <c r="G46" s="169">
        <f t="shared" si="4"/>
        <v>505339903.34923083</v>
      </c>
      <c r="H46" s="169">
        <f t="shared" si="4"/>
        <v>1431120433.5507693</v>
      </c>
      <c r="I46" s="169">
        <f t="shared" si="4"/>
        <v>118816883.79923074</v>
      </c>
      <c r="J46" s="169">
        <f t="shared" si="4"/>
        <v>253214749.84</v>
      </c>
      <c r="K46" s="169">
        <f t="shared" si="4"/>
        <v>205079383.37000003</v>
      </c>
      <c r="M46" s="315"/>
      <c r="N46" s="315"/>
    </row>
    <row r="47" spans="1:26">
      <c r="A47" s="839">
        <f t="shared" si="2"/>
        <v>37</v>
      </c>
      <c r="B47" s="1238" t="s">
        <v>958</v>
      </c>
      <c r="C47" s="169"/>
      <c r="D47" s="169"/>
      <c r="E47" s="169"/>
      <c r="F47" s="169"/>
      <c r="G47" s="169"/>
      <c r="H47" s="169"/>
      <c r="I47" s="169"/>
      <c r="J47" s="169"/>
    </row>
    <row r="48" spans="1:26" ht="12.75" customHeight="1">
      <c r="A48" s="839">
        <f t="shared" si="2"/>
        <v>38</v>
      </c>
      <c r="B48" s="1238"/>
      <c r="C48" s="144">
        <v>0</v>
      </c>
      <c r="D48" s="144">
        <v>3481402.64</v>
      </c>
      <c r="E48" s="144">
        <v>85078.579999999987</v>
      </c>
      <c r="F48" s="144">
        <v>403342.33</v>
      </c>
      <c r="G48" s="144">
        <v>8413.2099999999955</v>
      </c>
      <c r="H48" s="144">
        <v>864414.76999999967</v>
      </c>
      <c r="I48" s="144">
        <v>0</v>
      </c>
      <c r="J48" s="144">
        <v>0</v>
      </c>
      <c r="K48" s="144">
        <v>79289.27</v>
      </c>
    </row>
    <row r="49" spans="1:30" ht="13.5" thickBot="1">
      <c r="A49" s="839">
        <f t="shared" si="2"/>
        <v>39</v>
      </c>
    </row>
    <row r="50" spans="1:30" ht="13.5" thickBot="1">
      <c r="A50" s="839">
        <f t="shared" si="2"/>
        <v>40</v>
      </c>
      <c r="B50" s="72" t="s">
        <v>959</v>
      </c>
      <c r="C50" s="611">
        <f t="shared" ref="C50:K50" si="5">C46-C48</f>
        <v>65116666.613846146</v>
      </c>
      <c r="D50" s="611">
        <f t="shared" si="5"/>
        <v>1100520579.347692</v>
      </c>
      <c r="E50" s="611">
        <f t="shared" si="5"/>
        <v>48702713.456153832</v>
      </c>
      <c r="F50" s="611">
        <f t="shared" si="5"/>
        <v>447327364.88538456</v>
      </c>
      <c r="G50" s="611">
        <f t="shared" si="5"/>
        <v>505331490.13923085</v>
      </c>
      <c r="H50" s="611">
        <f t="shared" si="5"/>
        <v>1430256018.7807693</v>
      </c>
      <c r="I50" s="611">
        <f t="shared" si="5"/>
        <v>118816883.79923074</v>
      </c>
      <c r="J50" s="611">
        <f t="shared" si="5"/>
        <v>253214749.84</v>
      </c>
      <c r="K50" s="611">
        <f t="shared" si="5"/>
        <v>205000094.10000002</v>
      </c>
    </row>
    <row r="51" spans="1:30">
      <c r="A51" s="839">
        <f t="shared" si="2"/>
        <v>41</v>
      </c>
      <c r="C51" s="93"/>
    </row>
    <row r="52" spans="1:30">
      <c r="A52" s="839">
        <f t="shared" si="2"/>
        <v>42</v>
      </c>
      <c r="B52" s="847" t="s">
        <v>967</v>
      </c>
      <c r="C52" s="93"/>
    </row>
    <row r="53" spans="1:30">
      <c r="A53" s="839">
        <f t="shared" si="2"/>
        <v>43</v>
      </c>
      <c r="B53" s="847"/>
      <c r="C53" s="853"/>
    </row>
    <row r="54" spans="1:30" ht="25.5">
      <c r="A54" s="839">
        <f t="shared" si="2"/>
        <v>44</v>
      </c>
      <c r="B54" s="847"/>
      <c r="C54" s="848" t="s">
        <v>945</v>
      </c>
      <c r="D54" s="848" t="s">
        <v>947</v>
      </c>
      <c r="E54" s="848" t="s">
        <v>948</v>
      </c>
      <c r="F54" s="848" t="s">
        <v>949</v>
      </c>
      <c r="G54" s="849" t="s">
        <v>950</v>
      </c>
      <c r="H54" s="848" t="s">
        <v>951</v>
      </c>
      <c r="I54" s="848" t="s">
        <v>953</v>
      </c>
      <c r="J54" s="848" t="s">
        <v>954</v>
      </c>
      <c r="K54" s="848" t="s">
        <v>955</v>
      </c>
    </row>
    <row r="55" spans="1:30" ht="26.25" thickBot="1">
      <c r="A55" s="839">
        <f t="shared" si="2"/>
        <v>45</v>
      </c>
      <c r="B55" s="850" t="s">
        <v>167</v>
      </c>
      <c r="C55" s="850" t="s">
        <v>1393</v>
      </c>
      <c r="D55" s="850" t="s">
        <v>1393</v>
      </c>
      <c r="E55" s="850" t="s">
        <v>1393</v>
      </c>
      <c r="F55" s="850" t="s">
        <v>1393</v>
      </c>
      <c r="G55" s="850" t="s">
        <v>1393</v>
      </c>
      <c r="H55" s="850" t="s">
        <v>1393</v>
      </c>
      <c r="I55" s="850" t="s">
        <v>1393</v>
      </c>
      <c r="J55" s="850" t="s">
        <v>1393</v>
      </c>
      <c r="K55" s="850" t="s">
        <v>1393</v>
      </c>
    </row>
    <row r="56" spans="1:30" ht="13.5" thickBot="1">
      <c r="A56" s="839">
        <f t="shared" si="2"/>
        <v>46</v>
      </c>
      <c r="B56" s="72" t="s">
        <v>795</v>
      </c>
      <c r="C56" s="736">
        <v>8469537.4899999984</v>
      </c>
      <c r="D56" s="736">
        <v>85610754.26000002</v>
      </c>
      <c r="E56" s="736">
        <v>4035426.3900000006</v>
      </c>
      <c r="F56" s="736">
        <v>47070791.965642348</v>
      </c>
      <c r="G56" s="736">
        <v>41361421.520000003</v>
      </c>
      <c r="H56" s="736">
        <v>112949835.29000002</v>
      </c>
      <c r="I56" s="736">
        <v>12542803.550000001</v>
      </c>
      <c r="J56" s="736">
        <v>33533441.550000001</v>
      </c>
      <c r="K56" s="736">
        <v>30029039.199999992</v>
      </c>
      <c r="L56" s="93"/>
    </row>
    <row r="57" spans="1:30">
      <c r="A57" s="839">
        <f t="shared" si="2"/>
        <v>47</v>
      </c>
      <c r="C57" s="169"/>
      <c r="D57" s="169"/>
      <c r="E57" s="169"/>
      <c r="F57" s="169"/>
      <c r="G57" s="169"/>
      <c r="H57" s="169"/>
      <c r="I57" s="169"/>
      <c r="J57" s="169"/>
      <c r="K57" s="169"/>
      <c r="L57" s="93"/>
    </row>
    <row r="58" spans="1:30">
      <c r="A58" s="839">
        <f t="shared" si="2"/>
        <v>48</v>
      </c>
      <c r="B58" s="843" t="s">
        <v>1698</v>
      </c>
      <c r="C58" s="635"/>
      <c r="D58" s="313"/>
    </row>
    <row r="59" spans="1:30">
      <c r="A59" s="839">
        <f t="shared" si="2"/>
        <v>49</v>
      </c>
    </row>
    <row r="60" spans="1:30">
      <c r="A60" s="839">
        <f t="shared" si="2"/>
        <v>50</v>
      </c>
      <c r="B60" s="855" t="s">
        <v>962</v>
      </c>
    </row>
    <row r="61" spans="1:30">
      <c r="A61" s="839">
        <f t="shared" si="2"/>
        <v>51</v>
      </c>
      <c r="B61" s="847"/>
    </row>
    <row r="62" spans="1:30" ht="25.5" customHeight="1">
      <c r="A62" s="839">
        <f t="shared" si="2"/>
        <v>52</v>
      </c>
      <c r="B62" s="847"/>
      <c r="C62" s="1234" t="s">
        <v>982</v>
      </c>
      <c r="D62" s="1235"/>
      <c r="E62" s="1235"/>
      <c r="F62" s="1236"/>
      <c r="G62" s="1231" t="s">
        <v>951</v>
      </c>
      <c r="H62" s="1232"/>
      <c r="I62" s="1233"/>
      <c r="J62" s="1231" t="s">
        <v>953</v>
      </c>
      <c r="K62" s="1232"/>
      <c r="L62" s="1233"/>
      <c r="M62" s="1231" t="s">
        <v>954</v>
      </c>
      <c r="N62" s="1232"/>
      <c r="O62" s="1232"/>
      <c r="P62" s="1233"/>
      <c r="Q62" s="1231" t="s">
        <v>955</v>
      </c>
      <c r="R62" s="1232"/>
      <c r="S62" s="1233"/>
    </row>
    <row r="63" spans="1:30">
      <c r="A63" s="839">
        <f t="shared" si="2"/>
        <v>53</v>
      </c>
      <c r="C63" s="1151" t="s">
        <v>946</v>
      </c>
      <c r="D63" s="1151" t="s">
        <v>963</v>
      </c>
      <c r="E63" s="1162" t="s">
        <v>1793</v>
      </c>
      <c r="F63" s="1162" t="s">
        <v>795</v>
      </c>
      <c r="G63" s="1162" t="s">
        <v>963</v>
      </c>
      <c r="H63" s="1162" t="s">
        <v>1793</v>
      </c>
      <c r="I63" s="1162" t="s">
        <v>795</v>
      </c>
      <c r="J63" s="1162" t="s">
        <v>963</v>
      </c>
      <c r="K63" s="1162" t="s">
        <v>1793</v>
      </c>
      <c r="L63" s="1162" t="s">
        <v>795</v>
      </c>
      <c r="M63" s="857" t="s">
        <v>946</v>
      </c>
      <c r="N63" s="857" t="s">
        <v>964</v>
      </c>
      <c r="O63" s="858" t="s">
        <v>965</v>
      </c>
      <c r="P63" s="1162" t="s">
        <v>795</v>
      </c>
      <c r="Q63" s="1162" t="s">
        <v>963</v>
      </c>
      <c r="R63" s="1162" t="s">
        <v>1793</v>
      </c>
      <c r="S63" s="1162" t="s">
        <v>795</v>
      </c>
    </row>
    <row r="64" spans="1:30">
      <c r="A64" s="839">
        <f t="shared" si="2"/>
        <v>54</v>
      </c>
      <c r="B64" s="72" t="s">
        <v>914</v>
      </c>
      <c r="C64" s="734">
        <v>19071366.188765388</v>
      </c>
      <c r="D64" s="734">
        <v>9461968.3599999994</v>
      </c>
      <c r="E64" s="734">
        <v>18</v>
      </c>
      <c r="F64" s="135">
        <f t="shared" ref="F64:F76" si="6">SUM(C64:D64)</f>
        <v>28533334.548765387</v>
      </c>
      <c r="G64" s="734">
        <v>1386360.8900000001</v>
      </c>
      <c r="H64" s="734">
        <v>9013144.7800000012</v>
      </c>
      <c r="I64" s="135">
        <f>SUM(G64:H64)</f>
        <v>10399505.670000002</v>
      </c>
      <c r="J64" s="734">
        <v>16635319</v>
      </c>
      <c r="K64" s="734">
        <v>1967487.8499999999</v>
      </c>
      <c r="L64" s="135">
        <f>SUM(J64:K64)</f>
        <v>18602806.850000001</v>
      </c>
      <c r="M64" s="734">
        <v>3383421.1</v>
      </c>
      <c r="N64" s="734">
        <v>65951463.25</v>
      </c>
      <c r="O64" s="734">
        <v>12937276.4</v>
      </c>
      <c r="P64" s="135">
        <f>SUM(M64:O64)</f>
        <v>82272160.75</v>
      </c>
      <c r="Q64" s="734">
        <v>416351.38</v>
      </c>
      <c r="R64" s="734">
        <v>12672004.52</v>
      </c>
      <c r="S64" s="135">
        <f>SUM(Q64:R64)</f>
        <v>13088355.9</v>
      </c>
      <c r="T64" s="315"/>
      <c r="U64" s="315"/>
      <c r="V64" s="315"/>
      <c r="W64" s="315"/>
      <c r="X64" s="315"/>
      <c r="Y64" s="315"/>
      <c r="Z64" s="315"/>
      <c r="AA64" s="315"/>
      <c r="AB64" s="315"/>
      <c r="AC64" s="315"/>
      <c r="AD64" s="315"/>
    </row>
    <row r="65" spans="1:19">
      <c r="A65" s="839">
        <f t="shared" si="2"/>
        <v>55</v>
      </c>
      <c r="B65" s="72" t="s">
        <v>956</v>
      </c>
      <c r="C65" s="734">
        <v>19084326.188409798</v>
      </c>
      <c r="D65" s="734">
        <v>9461968.7100000009</v>
      </c>
      <c r="E65" s="734">
        <v>20382.75</v>
      </c>
      <c r="F65" s="135">
        <f t="shared" si="6"/>
        <v>28546294.898409799</v>
      </c>
      <c r="G65" s="734">
        <v>1386360.8900000001</v>
      </c>
      <c r="H65" s="734">
        <v>9995069.4900000002</v>
      </c>
      <c r="I65" s="135">
        <f t="shared" ref="I65:I76" si="7">SUM(G65:H65)</f>
        <v>11381430.380000001</v>
      </c>
      <c r="J65" s="734">
        <v>16635319</v>
      </c>
      <c r="K65" s="734">
        <v>1973639.5299999998</v>
      </c>
      <c r="L65" s="135">
        <f t="shared" ref="L65:L76" si="8">SUM(J65:K65)</f>
        <v>18608958.530000001</v>
      </c>
      <c r="M65" s="734">
        <v>3383421.1</v>
      </c>
      <c r="N65" s="734">
        <v>65951463.25</v>
      </c>
      <c r="O65" s="734">
        <v>12937276.4</v>
      </c>
      <c r="P65" s="135">
        <f t="shared" ref="P65:P76" si="9">SUM(M65:O65)</f>
        <v>82272160.75</v>
      </c>
      <c r="Q65" s="734">
        <v>416351.38</v>
      </c>
      <c r="R65" s="734">
        <v>12675596.619999999</v>
      </c>
      <c r="S65" s="135">
        <f t="shared" ref="S65:S76" si="10">SUM(Q65:R65)</f>
        <v>13091948</v>
      </c>
    </row>
    <row r="66" spans="1:19">
      <c r="A66" s="839">
        <f t="shared" si="2"/>
        <v>56</v>
      </c>
      <c r="B66" s="72" t="s">
        <v>904</v>
      </c>
      <c r="C66" s="734">
        <v>19086846.178340659</v>
      </c>
      <c r="D66" s="734">
        <v>9461968.7100000009</v>
      </c>
      <c r="E66" s="734">
        <v>58030.239999999998</v>
      </c>
      <c r="F66" s="135">
        <f t="shared" si="6"/>
        <v>28548814.888340659</v>
      </c>
      <c r="G66" s="734">
        <v>1386360.8900000001</v>
      </c>
      <c r="H66" s="734">
        <v>11118274.670000004</v>
      </c>
      <c r="I66" s="135">
        <f t="shared" si="7"/>
        <v>12504635.560000004</v>
      </c>
      <c r="J66" s="734">
        <v>16635319</v>
      </c>
      <c r="K66" s="734">
        <v>1978868.4499999997</v>
      </c>
      <c r="L66" s="135">
        <f t="shared" si="8"/>
        <v>18614187.449999999</v>
      </c>
      <c r="M66" s="734">
        <v>3383421.1</v>
      </c>
      <c r="N66" s="734">
        <v>65951463.25</v>
      </c>
      <c r="O66" s="734">
        <v>12937276.4</v>
      </c>
      <c r="P66" s="135">
        <f t="shared" si="9"/>
        <v>82272160.75</v>
      </c>
      <c r="Q66" s="734">
        <v>416351.38</v>
      </c>
      <c r="R66" s="734">
        <v>12678649.909999998</v>
      </c>
      <c r="S66" s="135">
        <f t="shared" si="10"/>
        <v>13095001.289999999</v>
      </c>
    </row>
    <row r="67" spans="1:19">
      <c r="A67" s="839">
        <f t="shared" si="2"/>
        <v>57</v>
      </c>
      <c r="B67" s="72" t="s">
        <v>905</v>
      </c>
      <c r="C67" s="734">
        <v>19089366.168271519</v>
      </c>
      <c r="D67" s="734">
        <v>9461968.7100000009</v>
      </c>
      <c r="E67" s="734">
        <v>110368.04999999999</v>
      </c>
      <c r="F67" s="135">
        <f t="shared" si="6"/>
        <v>28551334.87827152</v>
      </c>
      <c r="G67" s="734">
        <v>1386360.8900000001</v>
      </c>
      <c r="H67" s="734">
        <v>12430769.770000001</v>
      </c>
      <c r="I67" s="135">
        <f t="shared" si="7"/>
        <v>13817130.660000002</v>
      </c>
      <c r="J67" s="734">
        <v>16635319</v>
      </c>
      <c r="K67" s="734">
        <v>1983313.0399999998</v>
      </c>
      <c r="L67" s="135">
        <f t="shared" si="8"/>
        <v>18618632.039999999</v>
      </c>
      <c r="M67" s="734">
        <v>3383421.1</v>
      </c>
      <c r="N67" s="734">
        <v>65951463.25</v>
      </c>
      <c r="O67" s="734">
        <v>12937276.4</v>
      </c>
      <c r="P67" s="135">
        <f t="shared" si="9"/>
        <v>82272160.75</v>
      </c>
      <c r="Q67" s="734">
        <v>416351.38</v>
      </c>
      <c r="R67" s="734">
        <v>22141779.479999997</v>
      </c>
      <c r="S67" s="135">
        <f t="shared" si="10"/>
        <v>22558130.859999996</v>
      </c>
    </row>
    <row r="68" spans="1:19">
      <c r="A68" s="839">
        <f t="shared" si="2"/>
        <v>58</v>
      </c>
      <c r="B68" s="72" t="s">
        <v>906</v>
      </c>
      <c r="C68" s="734">
        <v>19090086.16825176</v>
      </c>
      <c r="D68" s="734">
        <v>9461968.7100000009</v>
      </c>
      <c r="E68" s="734">
        <v>175192.63999999998</v>
      </c>
      <c r="F68" s="135">
        <f t="shared" si="6"/>
        <v>28552054.878251761</v>
      </c>
      <c r="G68" s="734">
        <v>1386360.8900000001</v>
      </c>
      <c r="H68" s="734">
        <v>13886646.060000001</v>
      </c>
      <c r="I68" s="135">
        <f t="shared" si="7"/>
        <v>15273006.950000001</v>
      </c>
      <c r="J68" s="734">
        <v>16635319</v>
      </c>
      <c r="K68" s="734">
        <v>1987090.94</v>
      </c>
      <c r="L68" s="135">
        <f t="shared" si="8"/>
        <v>18622409.940000001</v>
      </c>
      <c r="M68" s="734">
        <v>3383421.1</v>
      </c>
      <c r="N68" s="734">
        <v>65951463.25</v>
      </c>
      <c r="O68" s="734">
        <v>12937276.4</v>
      </c>
      <c r="P68" s="135">
        <f t="shared" si="9"/>
        <v>82272160.75</v>
      </c>
      <c r="Q68" s="734">
        <v>416351.38</v>
      </c>
      <c r="R68" s="734">
        <v>22143985.479999997</v>
      </c>
      <c r="S68" s="135">
        <f t="shared" si="10"/>
        <v>22560336.859999996</v>
      </c>
    </row>
    <row r="69" spans="1:19">
      <c r="A69" s="839">
        <f t="shared" si="2"/>
        <v>59</v>
      </c>
      <c r="B69" s="72" t="s">
        <v>907</v>
      </c>
      <c r="C69" s="734">
        <v>19091526.16821225</v>
      </c>
      <c r="D69" s="734">
        <v>9461968.7100000009</v>
      </c>
      <c r="E69" s="734">
        <v>250630.99</v>
      </c>
      <c r="F69" s="135">
        <f t="shared" si="6"/>
        <v>28553494.878212251</v>
      </c>
      <c r="G69" s="734">
        <v>1386360.8900000001</v>
      </c>
      <c r="H69" s="734">
        <v>15481814.620000001</v>
      </c>
      <c r="I69" s="135">
        <f t="shared" si="7"/>
        <v>16868175.510000002</v>
      </c>
      <c r="J69" s="734">
        <v>16635319</v>
      </c>
      <c r="K69" s="734">
        <v>1990302.15</v>
      </c>
      <c r="L69" s="135">
        <f t="shared" si="8"/>
        <v>18625621.149999999</v>
      </c>
      <c r="M69" s="734">
        <v>3383421.1</v>
      </c>
      <c r="N69" s="734">
        <v>65951463.25</v>
      </c>
      <c r="O69" s="734">
        <v>12937276.4</v>
      </c>
      <c r="P69" s="135">
        <f t="shared" si="9"/>
        <v>82272160.75</v>
      </c>
      <c r="Q69" s="734">
        <v>416351.38</v>
      </c>
      <c r="R69" s="734">
        <v>22145860.579999998</v>
      </c>
      <c r="S69" s="135">
        <f t="shared" si="10"/>
        <v>22562211.959999997</v>
      </c>
    </row>
    <row r="70" spans="1:19">
      <c r="A70" s="839">
        <f t="shared" si="2"/>
        <v>60</v>
      </c>
      <c r="B70" s="72" t="s">
        <v>908</v>
      </c>
      <c r="C70" s="734">
        <v>19094046.158143111</v>
      </c>
      <c r="D70" s="734">
        <v>9461968.7100000009</v>
      </c>
      <c r="E70" s="734">
        <v>335091.03999999998</v>
      </c>
      <c r="F70" s="135">
        <f t="shared" si="6"/>
        <v>28556014.868143111</v>
      </c>
      <c r="G70" s="734">
        <v>1386360.8900000001</v>
      </c>
      <c r="H70" s="734">
        <v>17187937.039999999</v>
      </c>
      <c r="I70" s="135">
        <f t="shared" si="7"/>
        <v>18574297.93</v>
      </c>
      <c r="J70" s="734">
        <v>16635319</v>
      </c>
      <c r="K70" s="734">
        <v>1993031.6799999999</v>
      </c>
      <c r="L70" s="135">
        <f t="shared" si="8"/>
        <v>18628350.68</v>
      </c>
      <c r="M70" s="734">
        <v>3383421.1</v>
      </c>
      <c r="N70" s="734">
        <v>65951463.25</v>
      </c>
      <c r="O70" s="734">
        <v>12937276.4</v>
      </c>
      <c r="P70" s="135">
        <f t="shared" si="9"/>
        <v>82272160.75</v>
      </c>
      <c r="Q70" s="734">
        <v>416351.38</v>
      </c>
      <c r="R70" s="734">
        <v>32622029.550000001</v>
      </c>
      <c r="S70" s="135">
        <f t="shared" si="10"/>
        <v>33038380.93</v>
      </c>
    </row>
    <row r="71" spans="1:19">
      <c r="A71" s="839">
        <f t="shared" si="2"/>
        <v>61</v>
      </c>
      <c r="B71" s="72" t="s">
        <v>909</v>
      </c>
      <c r="C71" s="734">
        <v>19095486.1581036</v>
      </c>
      <c r="D71" s="734">
        <v>9461968.7100000009</v>
      </c>
      <c r="E71" s="734">
        <v>427219.52999999997</v>
      </c>
      <c r="F71" s="135">
        <f t="shared" si="6"/>
        <v>28557454.868103601</v>
      </c>
      <c r="G71" s="734">
        <v>1386360.8900000001</v>
      </c>
      <c r="H71" s="734">
        <v>18864091.739999995</v>
      </c>
      <c r="I71" s="135">
        <f t="shared" si="7"/>
        <v>20250452.629999995</v>
      </c>
      <c r="J71" s="734">
        <v>16635319</v>
      </c>
      <c r="K71" s="734">
        <v>1995351.7799999998</v>
      </c>
      <c r="L71" s="135">
        <f t="shared" si="8"/>
        <v>18630670.780000001</v>
      </c>
      <c r="M71" s="734">
        <v>3383421.1</v>
      </c>
      <c r="N71" s="734">
        <v>65951463.25</v>
      </c>
      <c r="O71" s="734">
        <v>12937276.4</v>
      </c>
      <c r="P71" s="135">
        <f t="shared" si="9"/>
        <v>82272160.75</v>
      </c>
      <c r="Q71" s="734">
        <v>416351.38</v>
      </c>
      <c r="R71" s="734">
        <v>32623384.310000002</v>
      </c>
      <c r="S71" s="135">
        <f t="shared" si="10"/>
        <v>33039735.690000001</v>
      </c>
    </row>
    <row r="72" spans="1:19">
      <c r="A72" s="839">
        <f t="shared" si="2"/>
        <v>62</v>
      </c>
      <c r="B72" s="72" t="s">
        <v>910</v>
      </c>
      <c r="C72" s="734">
        <v>19096926.15806409</v>
      </c>
      <c r="D72" s="734">
        <v>9461968.7100000009</v>
      </c>
      <c r="E72" s="734">
        <v>525866.19999999995</v>
      </c>
      <c r="F72" s="135">
        <f t="shared" si="6"/>
        <v>28558894.868064091</v>
      </c>
      <c r="G72" s="734">
        <v>1386360.8900000001</v>
      </c>
      <c r="H72" s="734">
        <v>20552060.299999997</v>
      </c>
      <c r="I72" s="135">
        <f t="shared" si="7"/>
        <v>21938421.189999998</v>
      </c>
      <c r="J72" s="734">
        <v>16635319</v>
      </c>
      <c r="K72" s="734">
        <v>1997323.8699999999</v>
      </c>
      <c r="L72" s="135">
        <f t="shared" si="8"/>
        <v>18632642.870000001</v>
      </c>
      <c r="M72" s="734">
        <v>3383421.1</v>
      </c>
      <c r="N72" s="734">
        <v>65951463.25</v>
      </c>
      <c r="O72" s="734">
        <v>12937276.4</v>
      </c>
      <c r="P72" s="135">
        <f t="shared" si="9"/>
        <v>82272160.75</v>
      </c>
      <c r="Q72" s="734">
        <v>416351.38</v>
      </c>
      <c r="R72" s="734">
        <v>32624535.859999999</v>
      </c>
      <c r="S72" s="135">
        <f t="shared" si="10"/>
        <v>33040887.239999998</v>
      </c>
    </row>
    <row r="73" spans="1:19">
      <c r="A73" s="839">
        <f t="shared" si="2"/>
        <v>63</v>
      </c>
      <c r="B73" s="72" t="s">
        <v>911</v>
      </c>
      <c r="C73" s="734">
        <v>19098366.158024579</v>
      </c>
      <c r="D73" s="734">
        <v>9461968.7100000009</v>
      </c>
      <c r="E73" s="734">
        <v>609716.02</v>
      </c>
      <c r="F73" s="135">
        <f t="shared" si="6"/>
        <v>28560334.86802458</v>
      </c>
      <c r="G73" s="734">
        <v>1386360.8900000001</v>
      </c>
      <c r="H73" s="734">
        <v>22368896.279999997</v>
      </c>
      <c r="I73" s="135">
        <f t="shared" si="7"/>
        <v>23755257.169999998</v>
      </c>
      <c r="J73" s="734">
        <v>16635319</v>
      </c>
      <c r="K73" s="734">
        <v>1999000.14</v>
      </c>
      <c r="L73" s="135">
        <f t="shared" si="8"/>
        <v>18634319.140000001</v>
      </c>
      <c r="M73" s="734">
        <v>3383421.1</v>
      </c>
      <c r="N73" s="734">
        <v>65951463.25</v>
      </c>
      <c r="O73" s="734">
        <v>12937276.4</v>
      </c>
      <c r="P73" s="135">
        <f t="shared" si="9"/>
        <v>82272160.75</v>
      </c>
      <c r="Q73" s="734">
        <v>416351.38</v>
      </c>
      <c r="R73" s="734">
        <v>37213967.709999993</v>
      </c>
      <c r="S73" s="135">
        <f t="shared" si="10"/>
        <v>37630319.089999996</v>
      </c>
    </row>
    <row r="74" spans="1:19">
      <c r="A74" s="839">
        <f t="shared" si="2"/>
        <v>64</v>
      </c>
      <c r="B74" s="72" t="s">
        <v>912</v>
      </c>
      <c r="C74" s="734">
        <v>19100886.14795544</v>
      </c>
      <c r="D74" s="734">
        <v>9461968.7100000009</v>
      </c>
      <c r="E74" s="734">
        <v>680988.37</v>
      </c>
      <c r="F74" s="135">
        <f t="shared" si="6"/>
        <v>28562854.857955441</v>
      </c>
      <c r="G74" s="734">
        <v>1386360.8900000001</v>
      </c>
      <c r="H74" s="734">
        <v>24358795.739999995</v>
      </c>
      <c r="I74" s="135">
        <f t="shared" si="7"/>
        <v>25745156.629999995</v>
      </c>
      <c r="J74" s="734">
        <v>16635319</v>
      </c>
      <c r="K74" s="734">
        <v>2000424.97</v>
      </c>
      <c r="L74" s="135">
        <f t="shared" si="8"/>
        <v>18635743.969999999</v>
      </c>
      <c r="M74" s="734">
        <v>3383421.1</v>
      </c>
      <c r="N74" s="734">
        <v>65951463.25</v>
      </c>
      <c r="O74" s="734">
        <v>12937276.4</v>
      </c>
      <c r="P74" s="135">
        <f t="shared" si="9"/>
        <v>82272160.75</v>
      </c>
      <c r="Q74" s="734">
        <v>416351.38</v>
      </c>
      <c r="R74" s="734">
        <v>38656332.939999998</v>
      </c>
      <c r="S74" s="135">
        <f t="shared" si="10"/>
        <v>39072684.32</v>
      </c>
    </row>
    <row r="75" spans="1:19">
      <c r="A75" s="839">
        <f t="shared" si="2"/>
        <v>65</v>
      </c>
      <c r="B75" s="72" t="s">
        <v>913</v>
      </c>
      <c r="C75" s="734">
        <v>19102326.14791593</v>
      </c>
      <c r="D75" s="734">
        <v>9461968.7100000009</v>
      </c>
      <c r="E75" s="734">
        <v>761907.31</v>
      </c>
      <c r="F75" s="135">
        <f t="shared" si="6"/>
        <v>28564294.85791593</v>
      </c>
      <c r="G75" s="734">
        <v>1386360.8900000001</v>
      </c>
      <c r="H75" s="734">
        <v>26429670.329999998</v>
      </c>
      <c r="I75" s="135">
        <f t="shared" si="7"/>
        <v>27816031.219999999</v>
      </c>
      <c r="J75" s="734">
        <v>16635319</v>
      </c>
      <c r="K75" s="734">
        <v>2001636.0799999998</v>
      </c>
      <c r="L75" s="135">
        <f t="shared" si="8"/>
        <v>18636955.079999998</v>
      </c>
      <c r="M75" s="734">
        <v>3383421.1</v>
      </c>
      <c r="N75" s="734">
        <v>65951463.25</v>
      </c>
      <c r="O75" s="734">
        <v>12937276.4</v>
      </c>
      <c r="P75" s="135">
        <f t="shared" si="9"/>
        <v>82272160.75</v>
      </c>
      <c r="Q75" s="734">
        <v>416351.38</v>
      </c>
      <c r="R75" s="734">
        <v>40098573.369999997</v>
      </c>
      <c r="S75" s="135">
        <f t="shared" si="10"/>
        <v>40514924.75</v>
      </c>
    </row>
    <row r="76" spans="1:19" ht="13.5" thickBot="1">
      <c r="A76" s="839">
        <f t="shared" si="2"/>
        <v>66</v>
      </c>
      <c r="B76" s="72" t="s">
        <v>914</v>
      </c>
      <c r="C76" s="735">
        <v>19107366.147777647</v>
      </c>
      <c r="D76" s="735">
        <v>9461968.7100000009</v>
      </c>
      <c r="E76" s="735">
        <v>835215.8600000001</v>
      </c>
      <c r="F76" s="135">
        <f t="shared" si="6"/>
        <v>28569334.857777648</v>
      </c>
      <c r="G76" s="735">
        <v>1386360.8900000001</v>
      </c>
      <c r="H76" s="735">
        <v>28556432.779999994</v>
      </c>
      <c r="I76" s="135">
        <f t="shared" si="7"/>
        <v>29942793.669999994</v>
      </c>
      <c r="J76" s="735">
        <v>16635319</v>
      </c>
      <c r="K76" s="735">
        <v>3154053.2199999997</v>
      </c>
      <c r="L76" s="135">
        <f t="shared" si="8"/>
        <v>19789372.219999999</v>
      </c>
      <c r="M76" s="735">
        <v>3383421.1</v>
      </c>
      <c r="N76" s="735">
        <v>65951463.25</v>
      </c>
      <c r="O76" s="735">
        <v>12937276.4</v>
      </c>
      <c r="P76" s="135">
        <f t="shared" si="9"/>
        <v>82272160.75</v>
      </c>
      <c r="Q76" s="735">
        <v>416351.38</v>
      </c>
      <c r="R76" s="735">
        <v>44605669.480000004</v>
      </c>
      <c r="S76" s="135">
        <f t="shared" si="10"/>
        <v>45022020.860000007</v>
      </c>
    </row>
    <row r="77" spans="1:19" ht="13.5" thickBot="1">
      <c r="A77" s="839">
        <f t="shared" si="2"/>
        <v>67</v>
      </c>
      <c r="B77" s="850" t="str">
        <f>"13 Month Avg. (Lns "&amp;A64&amp;" - "&amp;A76&amp;")"</f>
        <v>13 Month Avg. (Lns 54 - 66)</v>
      </c>
      <c r="C77" s="169">
        <f t="shared" ref="C77:Q77" si="11">IF(C76=0,0,AVERAGE(C64:C76))</f>
        <v>19092993.856633522</v>
      </c>
      <c r="D77" s="169">
        <f t="shared" si="11"/>
        <v>9461968.6830769274</v>
      </c>
      <c r="E77" s="169">
        <f t="shared" si="11"/>
        <v>368509.76923076925</v>
      </c>
      <c r="F77" s="611">
        <f t="shared" si="11"/>
        <v>28554962.539710447</v>
      </c>
      <c r="G77" s="169">
        <f t="shared" si="11"/>
        <v>1386360.8900000004</v>
      </c>
      <c r="H77" s="169">
        <f t="shared" si="11"/>
        <v>17711046.430769231</v>
      </c>
      <c r="I77" s="611">
        <f t="shared" si="11"/>
        <v>19097407.320769228</v>
      </c>
      <c r="J77" s="169">
        <f t="shared" si="11"/>
        <v>16635319</v>
      </c>
      <c r="K77" s="169">
        <f t="shared" si="11"/>
        <v>2078578.7461538459</v>
      </c>
      <c r="L77" s="611">
        <f t="shared" si="11"/>
        <v>18713897.746153846</v>
      </c>
      <c r="M77" s="169">
        <f t="shared" si="11"/>
        <v>3383421.100000001</v>
      </c>
      <c r="N77" s="169">
        <f t="shared" si="11"/>
        <v>65951463.25</v>
      </c>
      <c r="O77" s="169">
        <f t="shared" si="11"/>
        <v>12937276.400000004</v>
      </c>
      <c r="P77" s="611">
        <f t="shared" si="11"/>
        <v>82272160.75</v>
      </c>
      <c r="Q77" s="169">
        <f t="shared" si="11"/>
        <v>416351.37999999995</v>
      </c>
      <c r="R77" s="169">
        <f t="shared" ref="R77:S77" si="12">IF(R76=0,0,AVERAGE(R64:R76))</f>
        <v>27915566.908461537</v>
      </c>
      <c r="S77" s="611">
        <f t="shared" si="12"/>
        <v>28331918.28846154</v>
      </c>
    </row>
    <row r="78" spans="1:19">
      <c r="A78" s="839">
        <f t="shared" si="2"/>
        <v>68</v>
      </c>
      <c r="J78" s="168"/>
      <c r="K78" s="168"/>
      <c r="L78" s="168"/>
      <c r="M78" s="315"/>
      <c r="N78" s="315"/>
      <c r="O78" s="315"/>
      <c r="R78" s="315"/>
    </row>
    <row r="79" spans="1:19">
      <c r="A79" s="839">
        <f t="shared" si="2"/>
        <v>69</v>
      </c>
      <c r="B79" s="855" t="s">
        <v>966</v>
      </c>
      <c r="J79" s="313"/>
      <c r="K79" s="313"/>
      <c r="L79" s="313"/>
      <c r="M79" s="93"/>
    </row>
    <row r="80" spans="1:19">
      <c r="A80" s="839">
        <f t="shared" si="2"/>
        <v>70</v>
      </c>
      <c r="B80" s="855"/>
      <c r="J80" s="313"/>
      <c r="K80" s="313"/>
      <c r="L80" s="313"/>
      <c r="M80" s="93"/>
    </row>
    <row r="81" spans="1:30" ht="24.75" customHeight="1">
      <c r="A81" s="839">
        <f t="shared" si="2"/>
        <v>71</v>
      </c>
      <c r="B81" s="855"/>
      <c r="C81" s="1234" t="s">
        <v>982</v>
      </c>
      <c r="D81" s="1235"/>
      <c r="E81" s="1235"/>
      <c r="F81" s="1236"/>
      <c r="G81" s="1231" t="s">
        <v>951</v>
      </c>
      <c r="H81" s="1232"/>
      <c r="I81" s="1233"/>
      <c r="J81" s="1231" t="s">
        <v>953</v>
      </c>
      <c r="K81" s="1232"/>
      <c r="L81" s="1233"/>
      <c r="M81" s="1231" t="s">
        <v>954</v>
      </c>
      <c r="N81" s="1232"/>
      <c r="O81" s="1232"/>
      <c r="P81" s="1233"/>
      <c r="Q81" s="1231" t="s">
        <v>955</v>
      </c>
      <c r="R81" s="1232"/>
      <c r="S81" s="1233"/>
    </row>
    <row r="82" spans="1:30">
      <c r="A82" s="839">
        <f t="shared" si="2"/>
        <v>72</v>
      </c>
      <c r="C82" s="1151" t="s">
        <v>946</v>
      </c>
      <c r="D82" s="1151" t="s">
        <v>963</v>
      </c>
      <c r="E82" s="1162" t="s">
        <v>1793</v>
      </c>
      <c r="F82" s="1162" t="s">
        <v>795</v>
      </c>
      <c r="G82" s="1162" t="s">
        <v>963</v>
      </c>
      <c r="H82" s="1162" t="s">
        <v>1793</v>
      </c>
      <c r="I82" s="1162" t="s">
        <v>795</v>
      </c>
      <c r="J82" s="1162" t="s">
        <v>963</v>
      </c>
      <c r="K82" s="1162" t="s">
        <v>1793</v>
      </c>
      <c r="L82" s="1162" t="s">
        <v>795</v>
      </c>
      <c r="M82" s="857" t="s">
        <v>946</v>
      </c>
      <c r="N82" s="857" t="s">
        <v>964</v>
      </c>
      <c r="O82" s="858" t="s">
        <v>965</v>
      </c>
      <c r="P82" s="1162" t="s">
        <v>795</v>
      </c>
      <c r="Q82" s="1162" t="s">
        <v>963</v>
      </c>
      <c r="R82" s="1162" t="s">
        <v>1793</v>
      </c>
      <c r="S82" s="1162" t="s">
        <v>795</v>
      </c>
    </row>
    <row r="83" spans="1:30">
      <c r="A83" s="839">
        <f t="shared" si="2"/>
        <v>73</v>
      </c>
      <c r="B83" s="72" t="s">
        <v>914</v>
      </c>
      <c r="C83" s="734">
        <v>5068895.0000000075</v>
      </c>
      <c r="D83" s="734">
        <v>9461968.7100000009</v>
      </c>
      <c r="E83" s="734">
        <v>1.3162500000000001E-2</v>
      </c>
      <c r="F83" s="135">
        <f t="shared" ref="F83:F95" si="13">SUM(C83:D83)</f>
        <v>14530863.710000008</v>
      </c>
      <c r="G83" s="734">
        <v>827703.18064356642</v>
      </c>
      <c r="H83" s="734">
        <v>-128824.98619160624</v>
      </c>
      <c r="I83" s="135">
        <f>SUM(G83:H83)</f>
        <v>698878.19445196015</v>
      </c>
      <c r="J83" s="734">
        <v>9061745.7009518296</v>
      </c>
      <c r="K83" s="734">
        <v>2316.8462094374986</v>
      </c>
      <c r="L83" s="135">
        <f>SUM(J83:K83)</f>
        <v>9064062.5471612662</v>
      </c>
      <c r="M83" s="734">
        <v>2519091.5599999996</v>
      </c>
      <c r="N83" s="734">
        <v>65442875.380000003</v>
      </c>
      <c r="O83" s="734">
        <v>12937276.4</v>
      </c>
      <c r="P83" s="135">
        <f>SUM(M83:O83)</f>
        <v>80899243.340000004</v>
      </c>
      <c r="Q83" s="734">
        <v>416351.38</v>
      </c>
      <c r="R83" s="734">
        <v>-145.81944537499996</v>
      </c>
      <c r="S83" s="135">
        <f>SUM(Q83:R83)</f>
        <v>416205.560554625</v>
      </c>
      <c r="T83" s="315"/>
      <c r="U83" s="315"/>
      <c r="V83" s="315"/>
      <c r="W83" s="315"/>
      <c r="X83" s="315"/>
      <c r="Y83" s="315"/>
      <c r="Z83" s="315"/>
      <c r="AA83" s="315"/>
      <c r="AB83" s="315"/>
      <c r="AC83" s="315"/>
      <c r="AD83" s="315"/>
    </row>
    <row r="84" spans="1:30">
      <c r="A84" s="839">
        <f t="shared" si="2"/>
        <v>74</v>
      </c>
      <c r="B84" s="72" t="s">
        <v>956</v>
      </c>
      <c r="C84" s="734">
        <v>5112806.3399999971</v>
      </c>
      <c r="D84" s="734">
        <v>9461968.7100000009</v>
      </c>
      <c r="E84" s="734">
        <v>170.01941250000002</v>
      </c>
      <c r="F84" s="135">
        <f t="shared" si="13"/>
        <v>14574775.049999997</v>
      </c>
      <c r="G84" s="734">
        <v>835045.24311339459</v>
      </c>
      <c r="H84" s="734">
        <v>-176017.5435776042</v>
      </c>
      <c r="I84" s="135">
        <f t="shared" ref="I84:I95" si="14">SUM(G84:H84)</f>
        <v>659027.69953579037</v>
      </c>
      <c r="J84" s="734">
        <v>9149090.517634932</v>
      </c>
      <c r="K84" s="734">
        <v>22797.328821437499</v>
      </c>
      <c r="L84" s="135">
        <f t="shared" ref="L84:L95" si="15">SUM(J84:K84)</f>
        <v>9171887.8464563694</v>
      </c>
      <c r="M84" s="734">
        <v>2529354.5499999998</v>
      </c>
      <c r="N84" s="734">
        <v>65078137.700000003</v>
      </c>
      <c r="O84" s="734">
        <v>12937276.4</v>
      </c>
      <c r="P84" s="135">
        <f t="shared" ref="P84:P95" si="16">SUM(M84:O84)</f>
        <v>80544768.650000006</v>
      </c>
      <c r="Q84" s="734">
        <v>416351.38</v>
      </c>
      <c r="R84" s="734">
        <v>1078.6383452875</v>
      </c>
      <c r="S84" s="135">
        <f t="shared" ref="S84:S95" si="17">SUM(Q84:R84)</f>
        <v>417430.01834528748</v>
      </c>
    </row>
    <row r="85" spans="1:30">
      <c r="A85" s="839">
        <f t="shared" si="2"/>
        <v>75</v>
      </c>
      <c r="B85" s="72" t="s">
        <v>904</v>
      </c>
      <c r="C85" s="734">
        <v>5156749.9199999981</v>
      </c>
      <c r="D85" s="734">
        <v>9461968.7100000009</v>
      </c>
      <c r="E85" s="734">
        <v>823.4609958333333</v>
      </c>
      <c r="F85" s="135">
        <f t="shared" si="13"/>
        <v>14618718.629999999</v>
      </c>
      <c r="G85" s="734">
        <v>842387.30558322277</v>
      </c>
      <c r="H85" s="734">
        <v>-239235.6142449021</v>
      </c>
      <c r="I85" s="135">
        <f t="shared" si="14"/>
        <v>603151.69133832073</v>
      </c>
      <c r="J85" s="734">
        <v>9236435.3343180344</v>
      </c>
      <c r="K85" s="734">
        <v>43372.649766770832</v>
      </c>
      <c r="L85" s="135">
        <f t="shared" si="15"/>
        <v>9279807.9840848055</v>
      </c>
      <c r="M85" s="734">
        <v>2539617.5099999998</v>
      </c>
      <c r="N85" s="734">
        <v>65126583.229999997</v>
      </c>
      <c r="O85" s="734">
        <v>12937276.4</v>
      </c>
      <c r="P85" s="135">
        <f t="shared" si="16"/>
        <v>80603477.140000001</v>
      </c>
      <c r="Q85" s="734">
        <v>416351.38</v>
      </c>
      <c r="R85" s="734">
        <v>2358.7770280862496</v>
      </c>
      <c r="S85" s="135">
        <f t="shared" si="17"/>
        <v>418710.15702808625</v>
      </c>
    </row>
    <row r="86" spans="1:30">
      <c r="A86" s="839">
        <f t="shared" si="2"/>
        <v>76</v>
      </c>
      <c r="B86" s="72" t="s">
        <v>905</v>
      </c>
      <c r="C86" s="734">
        <v>5200704.0299999937</v>
      </c>
      <c r="D86" s="734">
        <v>9461968.7100000009</v>
      </c>
      <c r="E86" s="734">
        <v>2226.7800791666668</v>
      </c>
      <c r="F86" s="135">
        <f t="shared" si="13"/>
        <v>14662672.739999995</v>
      </c>
      <c r="G86" s="734">
        <v>849729.36805305094</v>
      </c>
      <c r="H86" s="734">
        <v>-317224.75528002495</v>
      </c>
      <c r="I86" s="135">
        <f t="shared" si="14"/>
        <v>532504.61277302599</v>
      </c>
      <c r="J86" s="734">
        <v>9323780.1510011367</v>
      </c>
      <c r="K86" s="734">
        <v>64028.583295437493</v>
      </c>
      <c r="L86" s="135">
        <f t="shared" si="15"/>
        <v>9387808.7342965733</v>
      </c>
      <c r="M86" s="734">
        <v>2549880.4699999997</v>
      </c>
      <c r="N86" s="734">
        <v>65175028.759999998</v>
      </c>
      <c r="O86" s="734">
        <v>12937276.4</v>
      </c>
      <c r="P86" s="135">
        <f t="shared" si="16"/>
        <v>80662185.63000001</v>
      </c>
      <c r="Q86" s="734">
        <v>416351.38</v>
      </c>
      <c r="R86" s="734">
        <v>3511.0945404212498</v>
      </c>
      <c r="S86" s="135">
        <f t="shared" si="17"/>
        <v>419862.47454042127</v>
      </c>
    </row>
    <row r="87" spans="1:30">
      <c r="A87" s="839">
        <f t="shared" si="2"/>
        <v>77</v>
      </c>
      <c r="B87" s="72" t="s">
        <v>906</v>
      </c>
      <c r="C87" s="734">
        <v>5244664.8599999966</v>
      </c>
      <c r="D87" s="734">
        <v>9461968.7100000009</v>
      </c>
      <c r="E87" s="734">
        <v>4606.4524958333332</v>
      </c>
      <c r="F87" s="135">
        <f t="shared" si="13"/>
        <v>14706633.569999997</v>
      </c>
      <c r="G87" s="734">
        <v>857071.43052287912</v>
      </c>
      <c r="H87" s="734">
        <v>-409951.53811699792</v>
      </c>
      <c r="I87" s="135">
        <f t="shared" si="14"/>
        <v>447119.8924058812</v>
      </c>
      <c r="J87" s="734">
        <v>9411124.9676842391</v>
      </c>
      <c r="K87" s="734">
        <v>84753.037574104164</v>
      </c>
      <c r="L87" s="135">
        <f t="shared" si="15"/>
        <v>9495878.0052583441</v>
      </c>
      <c r="M87" s="734">
        <v>2560143.42</v>
      </c>
      <c r="N87" s="734">
        <v>65223474.289999999</v>
      </c>
      <c r="O87" s="734">
        <v>12937276.4</v>
      </c>
      <c r="P87" s="135">
        <f t="shared" si="16"/>
        <v>80720894.109999999</v>
      </c>
      <c r="Q87" s="734">
        <v>416351.38</v>
      </c>
      <c r="R87" s="734">
        <v>4878.7915452937496</v>
      </c>
      <c r="S87" s="135">
        <f t="shared" si="17"/>
        <v>421230.17154529376</v>
      </c>
    </row>
    <row r="88" spans="1:30">
      <c r="A88" s="839">
        <f t="shared" si="2"/>
        <v>78</v>
      </c>
      <c r="B88" s="72" t="s">
        <v>907</v>
      </c>
      <c r="C88" s="734">
        <v>5288630.1500000013</v>
      </c>
      <c r="D88" s="734">
        <v>9461968.7100000009</v>
      </c>
      <c r="E88" s="734">
        <v>7141.1144254545834</v>
      </c>
      <c r="F88" s="135">
        <f t="shared" si="13"/>
        <v>14750598.860000003</v>
      </c>
      <c r="G88" s="734">
        <v>864413.4929927073</v>
      </c>
      <c r="H88" s="734">
        <v>-515700.92259676533</v>
      </c>
      <c r="I88" s="135">
        <f t="shared" si="14"/>
        <v>348712.57039594196</v>
      </c>
      <c r="J88" s="734">
        <v>9498469.7843673415</v>
      </c>
      <c r="K88" s="734">
        <v>102438.80348999916</v>
      </c>
      <c r="L88" s="135">
        <f t="shared" si="15"/>
        <v>9600908.5878573414</v>
      </c>
      <c r="M88" s="734">
        <v>2570406.3899999997</v>
      </c>
      <c r="N88" s="734">
        <v>65258078.189999998</v>
      </c>
      <c r="O88" s="734">
        <v>12937276.4</v>
      </c>
      <c r="P88" s="135">
        <f t="shared" si="16"/>
        <v>80765760.980000004</v>
      </c>
      <c r="Q88" s="734">
        <v>416351.38</v>
      </c>
      <c r="R88" s="734">
        <v>6024.7718615070826</v>
      </c>
      <c r="S88" s="135">
        <f t="shared" si="17"/>
        <v>422376.1518615071</v>
      </c>
    </row>
    <row r="89" spans="1:30">
      <c r="A89" s="839">
        <f t="shared" si="2"/>
        <v>79</v>
      </c>
      <c r="B89" s="72" t="s">
        <v>908</v>
      </c>
      <c r="C89" s="734">
        <v>5332603.7499999991</v>
      </c>
      <c r="D89" s="734">
        <v>9461968.7100000009</v>
      </c>
      <c r="E89" s="734">
        <v>10627.551593775834</v>
      </c>
      <c r="F89" s="135">
        <f t="shared" si="13"/>
        <v>14794572.460000001</v>
      </c>
      <c r="G89" s="734">
        <v>871755.55546253547</v>
      </c>
      <c r="H89" s="734">
        <v>-630050.18718336849</v>
      </c>
      <c r="I89" s="135">
        <f t="shared" si="14"/>
        <v>241705.36827916699</v>
      </c>
      <c r="J89" s="734">
        <v>9585814.6010504439</v>
      </c>
      <c r="K89" s="734">
        <v>120164.73375891082</v>
      </c>
      <c r="L89" s="135">
        <f t="shared" si="15"/>
        <v>9705979.3348093554</v>
      </c>
      <c r="M89" s="734">
        <v>2580640.59</v>
      </c>
      <c r="N89" s="734">
        <v>65288396.619999997</v>
      </c>
      <c r="O89" s="734">
        <v>12937276.4</v>
      </c>
      <c r="P89" s="135">
        <f t="shared" si="16"/>
        <v>80806313.609999999</v>
      </c>
      <c r="Q89" s="734">
        <v>416351.38</v>
      </c>
      <c r="R89" s="734">
        <v>7080.8121040937494</v>
      </c>
      <c r="S89" s="135">
        <f t="shared" si="17"/>
        <v>423432.19210409373</v>
      </c>
    </row>
    <row r="90" spans="1:30">
      <c r="A90" s="839">
        <f t="shared" si="2"/>
        <v>80</v>
      </c>
      <c r="B90" s="72" t="s">
        <v>909</v>
      </c>
      <c r="C90" s="734">
        <v>5376556.5899999971</v>
      </c>
      <c r="D90" s="734">
        <v>9461968.7100000009</v>
      </c>
      <c r="E90" s="734">
        <v>15165.109972879583</v>
      </c>
      <c r="F90" s="135">
        <f t="shared" si="13"/>
        <v>14838525.299999997</v>
      </c>
      <c r="G90" s="734">
        <v>879097.61793236365</v>
      </c>
      <c r="H90" s="734">
        <v>-741504.52214169316</v>
      </c>
      <c r="I90" s="135">
        <f t="shared" si="14"/>
        <v>137593.09579067049</v>
      </c>
      <c r="J90" s="734">
        <v>9673159.4177335463</v>
      </c>
      <c r="K90" s="734">
        <v>137924.80373464749</v>
      </c>
      <c r="L90" s="135">
        <f t="shared" si="15"/>
        <v>9811084.2214681935</v>
      </c>
      <c r="M90" s="734">
        <v>2590874.7799999998</v>
      </c>
      <c r="N90" s="734">
        <v>65315462.18</v>
      </c>
      <c r="O90" s="734">
        <v>12937276.4</v>
      </c>
      <c r="P90" s="135">
        <f t="shared" si="16"/>
        <v>80843613.359999999</v>
      </c>
      <c r="Q90" s="734">
        <v>416351.38</v>
      </c>
      <c r="R90" s="734">
        <v>8270.7482909470837</v>
      </c>
      <c r="S90" s="135">
        <f t="shared" si="17"/>
        <v>424622.12829094706</v>
      </c>
    </row>
    <row r="91" spans="1:30">
      <c r="A91" s="839">
        <f t="shared" ref="A91:A152" si="18">A90+1</f>
        <v>81</v>
      </c>
      <c r="B91" s="72" t="s">
        <v>910</v>
      </c>
      <c r="C91" s="734">
        <v>5420486.3399999943</v>
      </c>
      <c r="D91" s="734">
        <v>9461968.7100000009</v>
      </c>
      <c r="E91" s="734">
        <v>20838.233644988333</v>
      </c>
      <c r="F91" s="135">
        <f t="shared" si="13"/>
        <v>14882455.049999995</v>
      </c>
      <c r="G91" s="734">
        <v>886439.68040219182</v>
      </c>
      <c r="H91" s="734">
        <v>-851254.79681384726</v>
      </c>
      <c r="I91" s="135">
        <f t="shared" si="14"/>
        <v>35184.883588344557</v>
      </c>
      <c r="J91" s="734">
        <v>9760504.2344166487</v>
      </c>
      <c r="K91" s="734">
        <v>155713.89249160915</v>
      </c>
      <c r="L91" s="135">
        <f t="shared" si="15"/>
        <v>9916218.1269082576</v>
      </c>
      <c r="M91" s="734">
        <v>2601108.98</v>
      </c>
      <c r="N91" s="734">
        <v>65340944.82</v>
      </c>
      <c r="O91" s="734">
        <v>12937276.4</v>
      </c>
      <c r="P91" s="135">
        <f t="shared" si="16"/>
        <v>80879330.200000003</v>
      </c>
      <c r="Q91" s="734">
        <v>416351.38</v>
      </c>
      <c r="R91" s="734">
        <v>9477.851030427084</v>
      </c>
      <c r="S91" s="135">
        <f t="shared" si="17"/>
        <v>425829.23103042709</v>
      </c>
    </row>
    <row r="92" spans="1:30">
      <c r="A92" s="839">
        <f t="shared" si="18"/>
        <v>82</v>
      </c>
      <c r="B92" s="72" t="s">
        <v>911</v>
      </c>
      <c r="C92" s="734">
        <v>5464422.110000005</v>
      </c>
      <c r="D92" s="734">
        <v>9461968.7100000009</v>
      </c>
      <c r="E92" s="734">
        <v>27597.644861760833</v>
      </c>
      <c r="F92" s="135">
        <f t="shared" si="13"/>
        <v>14926390.820000006</v>
      </c>
      <c r="G92" s="734">
        <v>893781.74287202</v>
      </c>
      <c r="H92" s="734">
        <v>-973958.90015800879</v>
      </c>
      <c r="I92" s="135">
        <f t="shared" si="14"/>
        <v>-80177.157285988797</v>
      </c>
      <c r="J92" s="734">
        <v>9847849.0510997511</v>
      </c>
      <c r="K92" s="734">
        <v>173527.64720247081</v>
      </c>
      <c r="L92" s="135">
        <f t="shared" si="15"/>
        <v>10021376.698302222</v>
      </c>
      <c r="M92" s="734">
        <v>2611343.1799999997</v>
      </c>
      <c r="N92" s="734">
        <v>65366427.460000001</v>
      </c>
      <c r="O92" s="734">
        <v>12937276.4</v>
      </c>
      <c r="P92" s="135">
        <f t="shared" si="16"/>
        <v>80915047.040000007</v>
      </c>
      <c r="Q92" s="734">
        <v>416351.38</v>
      </c>
      <c r="R92" s="734">
        <v>10696.935315667084</v>
      </c>
      <c r="S92" s="135">
        <f t="shared" si="17"/>
        <v>427048.31531566707</v>
      </c>
    </row>
    <row r="93" spans="1:30">
      <c r="A93" s="839">
        <f t="shared" si="18"/>
        <v>83</v>
      </c>
      <c r="B93" s="72" t="s">
        <v>912</v>
      </c>
      <c r="C93" s="734">
        <v>5508366.0899999952</v>
      </c>
      <c r="D93" s="734">
        <v>9461968.7100000009</v>
      </c>
      <c r="E93" s="734">
        <v>35280.401405187084</v>
      </c>
      <c r="F93" s="135">
        <f t="shared" si="13"/>
        <v>14970334.799999997</v>
      </c>
      <c r="G93" s="734">
        <v>901123.80534184817</v>
      </c>
      <c r="H93" s="734">
        <v>-1106257.4027616442</v>
      </c>
      <c r="I93" s="135">
        <f t="shared" si="14"/>
        <v>-205133.59741979605</v>
      </c>
      <c r="J93" s="734">
        <v>9935193.8677828535</v>
      </c>
      <c r="K93" s="734">
        <v>191362.36793358249</v>
      </c>
      <c r="L93" s="135">
        <f t="shared" si="15"/>
        <v>10126556.235716436</v>
      </c>
      <c r="M93" s="734">
        <v>2621577.3699999996</v>
      </c>
      <c r="N93" s="734">
        <v>65391910.100000001</v>
      </c>
      <c r="O93" s="734">
        <v>12937276.4</v>
      </c>
      <c r="P93" s="135">
        <f t="shared" si="16"/>
        <v>80950763.870000005</v>
      </c>
      <c r="Q93" s="734">
        <v>416351.38</v>
      </c>
      <c r="R93" s="734">
        <v>11931.032373707083</v>
      </c>
      <c r="S93" s="135">
        <f t="shared" si="17"/>
        <v>428282.41237370711</v>
      </c>
    </row>
    <row r="94" spans="1:30">
      <c r="A94" s="839">
        <f t="shared" si="18"/>
        <v>84</v>
      </c>
      <c r="B94" s="72" t="s">
        <v>913</v>
      </c>
      <c r="C94" s="734">
        <v>5552318.4200000027</v>
      </c>
      <c r="D94" s="734">
        <v>9461968.7100000009</v>
      </c>
      <c r="E94" s="734">
        <v>43869.057578427084</v>
      </c>
      <c r="F94" s="135">
        <f t="shared" si="13"/>
        <v>15014287.130000003</v>
      </c>
      <c r="G94" s="734">
        <v>908465.86781167635</v>
      </c>
      <c r="H94" s="734">
        <v>-1242752.9753724399</v>
      </c>
      <c r="I94" s="135">
        <f t="shared" si="14"/>
        <v>-334287.1075607636</v>
      </c>
      <c r="J94" s="734">
        <v>10022538.684465956</v>
      </c>
      <c r="K94" s="734">
        <v>209214.90981571079</v>
      </c>
      <c r="L94" s="135">
        <f t="shared" si="15"/>
        <v>10231753.594281666</v>
      </c>
      <c r="M94" s="734">
        <v>2631811.5699999998</v>
      </c>
      <c r="N94" s="734">
        <v>65417392.740000002</v>
      </c>
      <c r="O94" s="734">
        <v>12937276.4</v>
      </c>
      <c r="P94" s="135">
        <f t="shared" si="16"/>
        <v>80986480.710000008</v>
      </c>
      <c r="Q94" s="734">
        <v>416351.38</v>
      </c>
      <c r="R94" s="734">
        <v>13175.671788627082</v>
      </c>
      <c r="S94" s="135">
        <f t="shared" si="17"/>
        <v>429527.05178862711</v>
      </c>
    </row>
    <row r="95" spans="1:30" ht="13.5" thickBot="1">
      <c r="A95" s="839">
        <f t="shared" si="18"/>
        <v>85</v>
      </c>
      <c r="B95" s="72" t="s">
        <v>914</v>
      </c>
      <c r="C95" s="735">
        <v>5596284.1600000113</v>
      </c>
      <c r="D95" s="735">
        <v>9461968.7100000009</v>
      </c>
      <c r="E95" s="735">
        <v>53375.733607455833</v>
      </c>
      <c r="F95" s="135">
        <f t="shared" si="13"/>
        <v>15058252.870000012</v>
      </c>
      <c r="G95" s="735">
        <v>915807.93028150452</v>
      </c>
      <c r="H95" s="735">
        <v>-1379991.6077374555</v>
      </c>
      <c r="I95" s="135">
        <f t="shared" si="14"/>
        <v>-464183.67745595099</v>
      </c>
      <c r="J95" s="735">
        <v>10109883.501149058</v>
      </c>
      <c r="K95" s="735">
        <v>223171.12821687665</v>
      </c>
      <c r="L95" s="135">
        <f t="shared" si="15"/>
        <v>10333054.629365936</v>
      </c>
      <c r="M95" s="735">
        <v>2642045.7599999998</v>
      </c>
      <c r="N95" s="735">
        <v>65442875.380000003</v>
      </c>
      <c r="O95" s="735">
        <v>12937276.4</v>
      </c>
      <c r="P95" s="135">
        <f t="shared" si="16"/>
        <v>81022197.540000007</v>
      </c>
      <c r="Q95" s="735">
        <v>416351.38</v>
      </c>
      <c r="R95" s="735">
        <v>14429.272186347082</v>
      </c>
      <c r="S95" s="135">
        <f t="shared" si="17"/>
        <v>430780.65218634711</v>
      </c>
    </row>
    <row r="96" spans="1:30" ht="13.5" thickBot="1">
      <c r="A96" s="839">
        <f t="shared" si="18"/>
        <v>86</v>
      </c>
      <c r="B96" s="850" t="str">
        <f>"13 Month Avg. (Lns "&amp;A83&amp;" - "&amp;A95&amp;")"</f>
        <v>13 Month Avg. (Lns 73 - 85)</v>
      </c>
      <c r="C96" s="169">
        <f t="shared" ref="C96:Q96" si="19">IF(C95=0,0,AVERAGE(C83:C95))</f>
        <v>5332575.9815384606</v>
      </c>
      <c r="D96" s="169">
        <f t="shared" si="19"/>
        <v>9461968.7100000046</v>
      </c>
      <c r="E96" s="169"/>
      <c r="F96" s="611">
        <f t="shared" si="19"/>
        <v>14794544.691538457</v>
      </c>
      <c r="G96" s="169">
        <f t="shared" si="19"/>
        <v>871755.55546253547</v>
      </c>
      <c r="H96" s="169"/>
      <c r="I96" s="611">
        <f t="shared" si="19"/>
        <v>201545.88221820022</v>
      </c>
      <c r="J96" s="169">
        <f t="shared" si="19"/>
        <v>9585814.6010504439</v>
      </c>
      <c r="K96" s="169"/>
      <c r="L96" s="611">
        <f t="shared" si="19"/>
        <v>9703567.4266128279</v>
      </c>
      <c r="M96" s="169">
        <f t="shared" si="19"/>
        <v>2580607.3946153848</v>
      </c>
      <c r="N96" s="169">
        <f t="shared" si="19"/>
        <v>65297506.680769242</v>
      </c>
      <c r="O96" s="169">
        <f t="shared" si="19"/>
        <v>12937276.400000004</v>
      </c>
      <c r="P96" s="611">
        <f t="shared" si="19"/>
        <v>80815390.475384623</v>
      </c>
      <c r="Q96" s="169">
        <f t="shared" si="19"/>
        <v>416351.37999999995</v>
      </c>
      <c r="R96" s="169">
        <f t="shared" ref="R96:S96" si="20">IF(R95=0,0,AVERAGE(R83:R95))</f>
        <v>7136.044381925929</v>
      </c>
      <c r="S96" s="611">
        <f t="shared" si="20"/>
        <v>423487.42438192584</v>
      </c>
    </row>
    <row r="97" spans="1:19">
      <c r="A97" s="839">
        <f t="shared" si="18"/>
        <v>87</v>
      </c>
      <c r="J97" s="313"/>
      <c r="K97" s="313"/>
      <c r="L97" s="313"/>
    </row>
    <row r="98" spans="1:19">
      <c r="A98" s="839">
        <f t="shared" si="18"/>
        <v>88</v>
      </c>
      <c r="B98" s="855" t="s">
        <v>967</v>
      </c>
      <c r="J98" s="313"/>
      <c r="K98" s="313"/>
      <c r="L98" s="313"/>
    </row>
    <row r="99" spans="1:19">
      <c r="A99" s="839">
        <f t="shared" si="18"/>
        <v>89</v>
      </c>
      <c r="B99" s="855"/>
      <c r="J99" s="313"/>
      <c r="K99" s="313"/>
      <c r="L99" s="313"/>
    </row>
    <row r="100" spans="1:19">
      <c r="A100" s="839">
        <f t="shared" si="18"/>
        <v>90</v>
      </c>
      <c r="B100" s="855"/>
      <c r="C100" s="1234" t="s">
        <v>982</v>
      </c>
      <c r="D100" s="1235"/>
      <c r="E100" s="1235"/>
      <c r="F100" s="1236"/>
      <c r="G100" s="1231" t="s">
        <v>951</v>
      </c>
      <c r="H100" s="1232"/>
      <c r="I100" s="1233"/>
      <c r="J100" s="1231" t="s">
        <v>953</v>
      </c>
      <c r="K100" s="1232"/>
      <c r="L100" s="1233"/>
      <c r="M100" s="1231" t="s">
        <v>954</v>
      </c>
      <c r="N100" s="1232"/>
      <c r="O100" s="1232"/>
      <c r="P100" s="1233"/>
      <c r="Q100" s="1231" t="s">
        <v>955</v>
      </c>
      <c r="R100" s="1232"/>
      <c r="S100" s="1233"/>
    </row>
    <row r="101" spans="1:19" ht="13.5" thickBot="1">
      <c r="A101" s="839">
        <f t="shared" si="18"/>
        <v>91</v>
      </c>
      <c r="B101" s="847"/>
      <c r="C101" s="860" t="s">
        <v>946</v>
      </c>
      <c r="D101" s="860" t="s">
        <v>963</v>
      </c>
      <c r="E101" s="860" t="s">
        <v>1793</v>
      </c>
      <c r="F101" s="860" t="s">
        <v>795</v>
      </c>
      <c r="G101" s="861" t="s">
        <v>963</v>
      </c>
      <c r="H101" s="860" t="s">
        <v>1793</v>
      </c>
      <c r="I101" s="860" t="s">
        <v>795</v>
      </c>
      <c r="J101" s="861" t="s">
        <v>963</v>
      </c>
      <c r="K101" s="860" t="s">
        <v>1793</v>
      </c>
      <c r="L101" s="860" t="s">
        <v>795</v>
      </c>
      <c r="M101" s="861" t="s">
        <v>946</v>
      </c>
      <c r="N101" s="861" t="s">
        <v>964</v>
      </c>
      <c r="O101" s="862" t="s">
        <v>965</v>
      </c>
      <c r="P101" s="860" t="s">
        <v>795</v>
      </c>
      <c r="Q101" s="861" t="s">
        <v>963</v>
      </c>
      <c r="R101" s="860" t="s">
        <v>1793</v>
      </c>
      <c r="S101" s="860" t="s">
        <v>795</v>
      </c>
    </row>
    <row r="102" spans="1:19" ht="13.5" thickBot="1">
      <c r="A102" s="839">
        <f t="shared" si="18"/>
        <v>92</v>
      </c>
      <c r="B102" s="72" t="s">
        <v>968</v>
      </c>
      <c r="C102" s="1147">
        <f>C95-C83</f>
        <v>527389.16000000387</v>
      </c>
      <c r="D102" s="1147">
        <f t="shared" ref="D102:F102" si="21">D95-D83</f>
        <v>0</v>
      </c>
      <c r="E102" s="1148">
        <f t="shared" si="21"/>
        <v>53375.720444955834</v>
      </c>
      <c r="F102" s="452">
        <f t="shared" si="21"/>
        <v>527389.16000000387</v>
      </c>
      <c r="G102" s="1157">
        <f t="shared" ref="G102:R102" si="22">G95-G83</f>
        <v>88104.749637938105</v>
      </c>
      <c r="H102" s="1155">
        <f t="shared" si="22"/>
        <v>-1251166.6215458494</v>
      </c>
      <c r="I102" s="452">
        <f t="shared" si="22"/>
        <v>-1163061.8719079113</v>
      </c>
      <c r="J102" s="1157">
        <f t="shared" si="22"/>
        <v>1048137.8001972288</v>
      </c>
      <c r="K102" s="1155">
        <f t="shared" si="22"/>
        <v>220854.28200743915</v>
      </c>
      <c r="L102" s="452">
        <f t="shared" si="22"/>
        <v>1268992.0822046697</v>
      </c>
      <c r="M102" s="1157">
        <f t="shared" si="22"/>
        <v>122954.20000000019</v>
      </c>
      <c r="N102" s="1154">
        <f t="shared" si="22"/>
        <v>0</v>
      </c>
      <c r="O102" s="1155">
        <f t="shared" si="22"/>
        <v>0</v>
      </c>
      <c r="P102" s="1158">
        <f t="shared" si="22"/>
        <v>122954.20000000298</v>
      </c>
      <c r="Q102" s="1156">
        <f t="shared" si="22"/>
        <v>0</v>
      </c>
      <c r="R102" s="1155">
        <f t="shared" si="22"/>
        <v>14575.091631722082</v>
      </c>
      <c r="S102" s="1158">
        <f>S95-S83</f>
        <v>14575.091631722113</v>
      </c>
    </row>
    <row r="103" spans="1:19">
      <c r="A103" s="839">
        <f t="shared" si="18"/>
        <v>93</v>
      </c>
      <c r="B103" s="847"/>
      <c r="J103" s="313"/>
      <c r="K103" s="313"/>
      <c r="L103" s="313"/>
    </row>
    <row r="104" spans="1:19">
      <c r="A104" s="839">
        <f t="shared" si="18"/>
        <v>94</v>
      </c>
      <c r="B104" s="855" t="s">
        <v>969</v>
      </c>
      <c r="J104" s="313"/>
      <c r="K104" s="313"/>
      <c r="L104" s="313"/>
    </row>
    <row r="105" spans="1:19" ht="24.75" customHeight="1">
      <c r="A105" s="839">
        <f t="shared" si="18"/>
        <v>95</v>
      </c>
      <c r="B105" s="855"/>
      <c r="C105" s="1234" t="s">
        <v>982</v>
      </c>
      <c r="D105" s="1235"/>
      <c r="E105" s="1235"/>
      <c r="F105" s="1236"/>
      <c r="G105" s="1231" t="s">
        <v>951</v>
      </c>
      <c r="H105" s="1232"/>
      <c r="I105" s="1233"/>
      <c r="J105" s="1231" t="s">
        <v>953</v>
      </c>
      <c r="K105" s="1232"/>
      <c r="L105" s="1233"/>
      <c r="M105" s="1231" t="s">
        <v>954</v>
      </c>
      <c r="N105" s="1232"/>
      <c r="O105" s="1232"/>
      <c r="P105" s="1233"/>
      <c r="Q105" s="1231" t="s">
        <v>955</v>
      </c>
      <c r="R105" s="1232"/>
      <c r="S105" s="1233"/>
    </row>
    <row r="106" spans="1:19">
      <c r="A106" s="839">
        <f t="shared" si="18"/>
        <v>96</v>
      </c>
      <c r="B106" s="855"/>
      <c r="C106" s="1151" t="s">
        <v>946</v>
      </c>
      <c r="D106" s="1151" t="s">
        <v>963</v>
      </c>
      <c r="E106" s="1162" t="s">
        <v>1793</v>
      </c>
      <c r="F106" s="1162" t="s">
        <v>795</v>
      </c>
      <c r="G106" s="857" t="s">
        <v>963</v>
      </c>
      <c r="H106" s="1162" t="s">
        <v>1793</v>
      </c>
      <c r="I106" s="1162" t="s">
        <v>795</v>
      </c>
      <c r="J106" s="857" t="s">
        <v>963</v>
      </c>
      <c r="K106" s="1162" t="s">
        <v>1793</v>
      </c>
      <c r="L106" s="1162" t="s">
        <v>795</v>
      </c>
      <c r="M106" s="857" t="s">
        <v>946</v>
      </c>
      <c r="N106" s="857" t="s">
        <v>964</v>
      </c>
      <c r="O106" s="858" t="s">
        <v>965</v>
      </c>
      <c r="P106" s="1162" t="s">
        <v>795</v>
      </c>
      <c r="Q106" s="857" t="s">
        <v>963</v>
      </c>
      <c r="R106" s="1162" t="s">
        <v>1793</v>
      </c>
      <c r="S106" s="1162" t="s">
        <v>795</v>
      </c>
    </row>
    <row r="107" spans="1:19">
      <c r="A107" s="839">
        <f t="shared" si="18"/>
        <v>97</v>
      </c>
      <c r="B107" s="72" t="s">
        <v>914</v>
      </c>
      <c r="C107" s="433">
        <v>-312479.00447320897</v>
      </c>
      <c r="D107" s="433">
        <v>-0.13122942676874744</v>
      </c>
      <c r="E107" s="433">
        <v>138338.40174373065</v>
      </c>
      <c r="F107" s="135">
        <f>SUM(C107:E107)</f>
        <v>-174140.7339589051</v>
      </c>
      <c r="G107" s="433">
        <v>180439.5530587238</v>
      </c>
      <c r="H107" s="433">
        <v>2000460.1877856085</v>
      </c>
      <c r="I107" s="772">
        <f>SUM(G107:H107)</f>
        <v>2180899.7408443321</v>
      </c>
      <c r="J107" s="433">
        <v>2877518.4762037825</v>
      </c>
      <c r="K107" s="433">
        <v>430294.70452390285</v>
      </c>
      <c r="L107" s="772">
        <f>SUM(J107:K107)</f>
        <v>3307813.1807276853</v>
      </c>
      <c r="M107" s="433">
        <v>-237242.12999999968</v>
      </c>
      <c r="N107" s="433">
        <v>105653.60999999999</v>
      </c>
      <c r="O107" s="433">
        <v>0</v>
      </c>
      <c r="P107" s="135">
        <f>SUM(M107:O107)</f>
        <v>-131588.5199999997</v>
      </c>
      <c r="Q107" s="247">
        <v>-24931.151938020088</v>
      </c>
      <c r="R107" s="433">
        <v>-45892.803912292584</v>
      </c>
      <c r="S107" s="135">
        <f>SUM(Q107:R107)</f>
        <v>-70823.955850312675</v>
      </c>
    </row>
    <row r="108" spans="1:19">
      <c r="A108" s="839">
        <f t="shared" si="18"/>
        <v>98</v>
      </c>
      <c r="B108" s="72" t="s">
        <v>914</v>
      </c>
      <c r="C108" s="434">
        <v>-354134.94814565236</v>
      </c>
      <c r="D108" s="434">
        <v>-0.13122942676874744</v>
      </c>
      <c r="E108" s="434">
        <v>536846.25315771648</v>
      </c>
      <c r="F108" s="135">
        <f>SUM(C108:E108)</f>
        <v>182711.17378263734</v>
      </c>
      <c r="G108" s="434">
        <v>149510.5734187488</v>
      </c>
      <c r="H108" s="434">
        <v>6030590.2470368706</v>
      </c>
      <c r="I108" s="773">
        <f>SUM(G108:H108)</f>
        <v>6180100.8204556191</v>
      </c>
      <c r="J108" s="434">
        <v>2479286.9041212462</v>
      </c>
      <c r="K108" s="434">
        <v>662143.15692536288</v>
      </c>
      <c r="L108" s="773">
        <f>SUM(J108:K108)</f>
        <v>3141430.0610466092</v>
      </c>
      <c r="M108" s="434">
        <v>-245033.20000000027</v>
      </c>
      <c r="N108" s="434">
        <v>105653.60999999999</v>
      </c>
      <c r="O108" s="434">
        <v>0</v>
      </c>
      <c r="P108" s="135">
        <f>SUM(M108:O108)</f>
        <v>-139379.59000000029</v>
      </c>
      <c r="Q108" s="450">
        <v>-24113.737120380098</v>
      </c>
      <c r="R108" s="434">
        <v>-80176.50208114156</v>
      </c>
      <c r="S108" s="1159">
        <f>SUM(Q108:R108)</f>
        <v>-104290.23920152166</v>
      </c>
    </row>
    <row r="109" spans="1:19" s="313" customFormat="1" ht="13.5" thickBot="1">
      <c r="A109" s="1152">
        <f t="shared" si="18"/>
        <v>99</v>
      </c>
      <c r="B109" s="962" t="s">
        <v>1589</v>
      </c>
      <c r="C109" s="1184">
        <f>+'WP_ADIT Prorate'!J316</f>
        <v>11179.580316656909</v>
      </c>
      <c r="D109" s="1184">
        <f>+'WP_ADIT Prorate'!J347</f>
        <v>0</v>
      </c>
      <c r="E109" s="1184">
        <f>'WP_ADIT Prorate'!J378</f>
        <v>-106951.1368349636</v>
      </c>
      <c r="F109" s="1183">
        <f>SUM(C109:E109)</f>
        <v>-95771.556518306694</v>
      </c>
      <c r="G109" s="1184">
        <f>+'WP_ADIT Prorate'!J409</f>
        <v>8300.6884855686221</v>
      </c>
      <c r="H109" s="1184">
        <f>+'WP_ADIT Prorate'!J440</f>
        <v>-1081602.256769374</v>
      </c>
      <c r="I109" s="1183">
        <f>SUM(G109:H109)</f>
        <v>-1073301.5682838054</v>
      </c>
      <c r="J109" s="1184">
        <f>+'WP_ADIT Prorate'!J471</f>
        <v>106876.98926553037</v>
      </c>
      <c r="K109" s="1184">
        <f>+'WP_ADIT Prorate'!J502</f>
        <v>-62223.254748382722</v>
      </c>
      <c r="L109" s="1183">
        <f>SUM(J109:K109)</f>
        <v>44653.734517147648</v>
      </c>
      <c r="M109" s="1184">
        <f>+'WP_ADIT Prorate'!J533</f>
        <v>2090.9595399544924</v>
      </c>
      <c r="N109" s="1184">
        <f>+'WP_ADIT Prorate'!J564</f>
        <v>0</v>
      </c>
      <c r="O109" s="1184">
        <f>+'WP_ADIT Prorate'!J595</f>
        <v>0</v>
      </c>
      <c r="P109" s="1183">
        <f>SUM(M109:O109)</f>
        <v>2090.9595399544924</v>
      </c>
      <c r="Q109" s="1185">
        <f>+'WP_ADIT Prorate'!J626</f>
        <v>-219.37696761091502</v>
      </c>
      <c r="R109" s="1184">
        <f>+'WP_ADIT Prorate'!J657</f>
        <v>-216.57760179707964</v>
      </c>
      <c r="S109" s="635">
        <f>SUM(Q109:R109)</f>
        <v>-435.95456940799465</v>
      </c>
    </row>
    <row r="110" spans="1:19" ht="13.5" thickBot="1">
      <c r="A110" s="839">
        <f t="shared" si="18"/>
        <v>100</v>
      </c>
      <c r="B110" s="72" t="s">
        <v>1705</v>
      </c>
      <c r="C110" s="169">
        <f t="shared" ref="C110:S110" si="23">IF(C108=0,0,AVERAGE(C107:C108))-C109</f>
        <v>-344486.55662608758</v>
      </c>
      <c r="D110" s="169">
        <f t="shared" si="23"/>
        <v>-0.13122942676874744</v>
      </c>
      <c r="E110" s="169">
        <f t="shared" si="23"/>
        <v>444543.46428568719</v>
      </c>
      <c r="F110" s="611">
        <f>IF(F108=0,0,AVERAGE(F107:F108))-F109</f>
        <v>100056.77643017282</v>
      </c>
      <c r="G110" s="169">
        <f t="shared" si="23"/>
        <v>156674.37475316768</v>
      </c>
      <c r="H110" s="169">
        <f t="shared" si="23"/>
        <v>5097127.4741806136</v>
      </c>
      <c r="I110" s="611">
        <f t="shared" si="23"/>
        <v>5253801.8489337815</v>
      </c>
      <c r="J110" s="169">
        <f t="shared" si="23"/>
        <v>2571525.700896984</v>
      </c>
      <c r="K110" s="169">
        <f t="shared" si="23"/>
        <v>608442.18547301565</v>
      </c>
      <c r="L110" s="611">
        <f t="shared" si="23"/>
        <v>3179967.8863699995</v>
      </c>
      <c r="M110" s="169">
        <f t="shared" si="23"/>
        <v>-243228.62453995447</v>
      </c>
      <c r="N110" s="169">
        <f t="shared" si="23"/>
        <v>105653.60999999999</v>
      </c>
      <c r="O110" s="169">
        <f t="shared" si="23"/>
        <v>0</v>
      </c>
      <c r="P110" s="611">
        <f t="shared" si="23"/>
        <v>-137575.01453995449</v>
      </c>
      <c r="Q110" s="1153">
        <f t="shared" si="23"/>
        <v>-24303.067561589178</v>
      </c>
      <c r="R110" s="169">
        <f t="shared" si="23"/>
        <v>-62818.075394919993</v>
      </c>
      <c r="S110" s="611">
        <f t="shared" si="23"/>
        <v>-87121.142956509168</v>
      </c>
    </row>
    <row r="111" spans="1:19">
      <c r="A111" s="839">
        <f t="shared" si="18"/>
        <v>101</v>
      </c>
    </row>
    <row r="112" spans="1:19">
      <c r="A112" s="839">
        <f t="shared" si="18"/>
        <v>102</v>
      </c>
      <c r="C112" s="93"/>
      <c r="D112" s="93"/>
      <c r="F112" s="93"/>
      <c r="G112" s="93"/>
      <c r="H112" s="93"/>
      <c r="I112" s="93"/>
      <c r="J112" s="93"/>
      <c r="L112" s="93"/>
    </row>
    <row r="113" spans="1:11">
      <c r="A113" s="839">
        <f t="shared" si="18"/>
        <v>103</v>
      </c>
      <c r="B113" s="847" t="s">
        <v>970</v>
      </c>
    </row>
    <row r="114" spans="1:11">
      <c r="A114" s="839">
        <f t="shared" si="18"/>
        <v>104</v>
      </c>
      <c r="C114" s="1239" t="s">
        <v>944</v>
      </c>
      <c r="D114" s="1240"/>
      <c r="E114" s="1241"/>
      <c r="F114" s="1239" t="s">
        <v>971</v>
      </c>
      <c r="G114" s="1240"/>
      <c r="H114" s="1241"/>
      <c r="I114" s="1239" t="s">
        <v>969</v>
      </c>
      <c r="J114" s="1240"/>
      <c r="K114" s="1241"/>
    </row>
    <row r="115" spans="1:11" ht="25.5">
      <c r="A115" s="839">
        <f t="shared" si="18"/>
        <v>105</v>
      </c>
      <c r="C115" s="864" t="s">
        <v>972</v>
      </c>
      <c r="D115" s="824" t="s">
        <v>973</v>
      </c>
      <c r="E115" s="865" t="s">
        <v>974</v>
      </c>
      <c r="F115" s="864" t="s">
        <v>972</v>
      </c>
      <c r="G115" s="824" t="s">
        <v>973</v>
      </c>
      <c r="H115" s="865" t="s">
        <v>974</v>
      </c>
      <c r="I115" s="864" t="s">
        <v>972</v>
      </c>
      <c r="J115" s="824" t="s">
        <v>973</v>
      </c>
      <c r="K115" s="865" t="s">
        <v>974</v>
      </c>
    </row>
    <row r="116" spans="1:11">
      <c r="A116" s="839">
        <f t="shared" si="18"/>
        <v>106</v>
      </c>
      <c r="B116" s="72" t="s">
        <v>914</v>
      </c>
      <c r="C116" s="451">
        <v>57167098.570000038</v>
      </c>
      <c r="D116" s="451">
        <v>189173.99999999965</v>
      </c>
      <c r="E116" s="451">
        <v>55489.18</v>
      </c>
      <c r="F116" s="451">
        <v>22548953.050000008</v>
      </c>
      <c r="G116" s="451">
        <v>135086.19000000038</v>
      </c>
      <c r="H116" s="451">
        <v>55489.18</v>
      </c>
      <c r="I116" s="451">
        <v>-2926796.0813383637</v>
      </c>
      <c r="J116" s="451">
        <v>-117208.60999999999</v>
      </c>
      <c r="K116" s="451">
        <v>45922.12</v>
      </c>
    </row>
    <row r="117" spans="1:11">
      <c r="A117" s="839">
        <f t="shared" si="18"/>
        <v>107</v>
      </c>
      <c r="B117" s="72" t="s">
        <v>956</v>
      </c>
      <c r="C117" s="451">
        <v>57167098.570000038</v>
      </c>
      <c r="D117" s="451">
        <v>189173.99999999965</v>
      </c>
      <c r="E117" s="451">
        <v>55489.18</v>
      </c>
      <c r="F117" s="451">
        <v>22625694.050000001</v>
      </c>
      <c r="G117" s="451">
        <v>135408.73000000042</v>
      </c>
      <c r="H117" s="451">
        <v>55489.18</v>
      </c>
      <c r="I117" s="433">
        <v>0</v>
      </c>
      <c r="J117" s="433">
        <v>0</v>
      </c>
      <c r="K117" s="433">
        <v>0</v>
      </c>
    </row>
    <row r="118" spans="1:11">
      <c r="A118" s="839">
        <f t="shared" si="18"/>
        <v>108</v>
      </c>
      <c r="B118" s="72" t="s">
        <v>904</v>
      </c>
      <c r="C118" s="451">
        <v>57167098.570000038</v>
      </c>
      <c r="D118" s="451">
        <v>189173.99999999965</v>
      </c>
      <c r="E118" s="451">
        <v>55489.18</v>
      </c>
      <c r="F118" s="451">
        <v>22702435.049999993</v>
      </c>
      <c r="G118" s="451">
        <v>135731.26999999949</v>
      </c>
      <c r="H118" s="451">
        <v>55489.18</v>
      </c>
      <c r="I118" s="433">
        <v>0</v>
      </c>
      <c r="J118" s="433">
        <v>0</v>
      </c>
      <c r="K118" s="433">
        <v>0</v>
      </c>
    </row>
    <row r="119" spans="1:11">
      <c r="A119" s="839">
        <f t="shared" si="18"/>
        <v>109</v>
      </c>
      <c r="B119" s="72" t="s">
        <v>905</v>
      </c>
      <c r="C119" s="451">
        <v>57167098.570000038</v>
      </c>
      <c r="D119" s="451">
        <v>189173.99999999965</v>
      </c>
      <c r="E119" s="451">
        <v>55489.18</v>
      </c>
      <c r="F119" s="451">
        <v>22779176.049999986</v>
      </c>
      <c r="G119" s="451">
        <v>136053.80999999953</v>
      </c>
      <c r="H119" s="451">
        <v>55489.18</v>
      </c>
      <c r="I119" s="433">
        <v>0</v>
      </c>
      <c r="J119" s="433">
        <v>0</v>
      </c>
      <c r="K119" s="433">
        <v>0</v>
      </c>
    </row>
    <row r="120" spans="1:11">
      <c r="A120" s="839">
        <f t="shared" si="18"/>
        <v>110</v>
      </c>
      <c r="B120" s="72" t="s">
        <v>906</v>
      </c>
      <c r="C120" s="451">
        <v>57167098.570000038</v>
      </c>
      <c r="D120" s="451">
        <v>189173.99999999965</v>
      </c>
      <c r="E120" s="451">
        <v>55489.18</v>
      </c>
      <c r="F120" s="451">
        <v>22855917.049999978</v>
      </c>
      <c r="G120" s="451">
        <v>136376.3499999996</v>
      </c>
      <c r="H120" s="451">
        <v>55489.18</v>
      </c>
      <c r="I120" s="433">
        <v>0</v>
      </c>
      <c r="J120" s="433">
        <v>0</v>
      </c>
      <c r="K120" s="433">
        <v>0</v>
      </c>
    </row>
    <row r="121" spans="1:11">
      <c r="A121" s="839">
        <f t="shared" si="18"/>
        <v>111</v>
      </c>
      <c r="B121" s="72" t="s">
        <v>907</v>
      </c>
      <c r="C121" s="451">
        <v>57167098.570000038</v>
      </c>
      <c r="D121" s="451">
        <v>189173.99999999965</v>
      </c>
      <c r="E121" s="451">
        <v>55489.18</v>
      </c>
      <c r="F121" s="451">
        <v>22948868.370000023</v>
      </c>
      <c r="G121" s="451">
        <v>136669.50000000023</v>
      </c>
      <c r="H121" s="451">
        <v>55489.18</v>
      </c>
      <c r="I121" s="433">
        <v>0</v>
      </c>
      <c r="J121" s="433">
        <v>0</v>
      </c>
      <c r="K121" s="433">
        <v>0</v>
      </c>
    </row>
    <row r="122" spans="1:11">
      <c r="A122" s="839">
        <f t="shared" si="18"/>
        <v>112</v>
      </c>
      <c r="B122" s="72" t="s">
        <v>908</v>
      </c>
      <c r="C122" s="451">
        <v>57167098.570000038</v>
      </c>
      <c r="D122" s="451">
        <v>189173.99999999965</v>
      </c>
      <c r="E122" s="451">
        <v>55489.18</v>
      </c>
      <c r="F122" s="451">
        <v>23041819.689999972</v>
      </c>
      <c r="G122" s="451">
        <v>136962.64999999988</v>
      </c>
      <c r="H122" s="451">
        <v>55489.18</v>
      </c>
      <c r="I122" s="433">
        <v>0</v>
      </c>
      <c r="J122" s="433">
        <v>0</v>
      </c>
      <c r="K122" s="433">
        <v>0</v>
      </c>
    </row>
    <row r="123" spans="1:11">
      <c r="A123" s="839">
        <f t="shared" si="18"/>
        <v>113</v>
      </c>
      <c r="B123" s="72" t="s">
        <v>909</v>
      </c>
      <c r="C123" s="451">
        <v>57167098.570000038</v>
      </c>
      <c r="D123" s="451">
        <v>189173.99999999965</v>
      </c>
      <c r="E123" s="451">
        <v>55489.18</v>
      </c>
      <c r="F123" s="451">
        <v>23134771.010000024</v>
      </c>
      <c r="G123" s="451">
        <v>137255.80000000048</v>
      </c>
      <c r="H123" s="451">
        <v>55489.18</v>
      </c>
      <c r="I123" s="433">
        <v>0</v>
      </c>
      <c r="J123" s="433">
        <v>0</v>
      </c>
      <c r="K123" s="433">
        <v>0</v>
      </c>
    </row>
    <row r="124" spans="1:11">
      <c r="A124" s="839">
        <f t="shared" si="18"/>
        <v>114</v>
      </c>
      <c r="B124" s="72" t="s">
        <v>910</v>
      </c>
      <c r="C124" s="451">
        <v>174372808.63000003</v>
      </c>
      <c r="D124" s="451">
        <v>189173.99999999965</v>
      </c>
      <c r="E124" s="451">
        <v>55489.18</v>
      </c>
      <c r="F124" s="451">
        <v>23232200.81999997</v>
      </c>
      <c r="G124" s="451">
        <v>137548.95000000013</v>
      </c>
      <c r="H124" s="451">
        <v>55489.18</v>
      </c>
      <c r="I124" s="433">
        <v>0</v>
      </c>
      <c r="J124" s="433">
        <v>0</v>
      </c>
      <c r="K124" s="433">
        <v>0</v>
      </c>
    </row>
    <row r="125" spans="1:11">
      <c r="A125" s="839">
        <f t="shared" si="18"/>
        <v>115</v>
      </c>
      <c r="B125" s="72" t="s">
        <v>911</v>
      </c>
      <c r="C125" s="451">
        <v>174372808.63000003</v>
      </c>
      <c r="D125" s="451">
        <v>189173.99999999965</v>
      </c>
      <c r="E125" s="451">
        <v>55489.18</v>
      </c>
      <c r="F125" s="451">
        <v>23513394.280000016</v>
      </c>
      <c r="G125" s="451">
        <v>137842.09999999974</v>
      </c>
      <c r="H125" s="451">
        <v>55489.18</v>
      </c>
      <c r="I125" s="433">
        <v>0</v>
      </c>
      <c r="J125" s="433">
        <v>0</v>
      </c>
      <c r="K125" s="433">
        <v>0</v>
      </c>
    </row>
    <row r="126" spans="1:11">
      <c r="A126" s="839">
        <f t="shared" si="18"/>
        <v>116</v>
      </c>
      <c r="B126" s="72" t="s">
        <v>912</v>
      </c>
      <c r="C126" s="451">
        <v>176105563.26999992</v>
      </c>
      <c r="D126" s="451">
        <v>189173.99999999965</v>
      </c>
      <c r="E126" s="451">
        <v>55489.18</v>
      </c>
      <c r="F126" s="451">
        <v>23795976.770000022</v>
      </c>
      <c r="G126" s="451">
        <v>138135.25000000038</v>
      </c>
      <c r="H126" s="451">
        <v>55489.18</v>
      </c>
      <c r="I126" s="433">
        <v>0</v>
      </c>
      <c r="J126" s="433">
        <v>0</v>
      </c>
      <c r="K126" s="433">
        <v>0</v>
      </c>
    </row>
    <row r="127" spans="1:11">
      <c r="A127" s="839">
        <f t="shared" si="18"/>
        <v>117</v>
      </c>
      <c r="B127" s="72" t="s">
        <v>913</v>
      </c>
      <c r="C127" s="451">
        <v>176105563.26999992</v>
      </c>
      <c r="D127" s="451">
        <v>189173.99999999965</v>
      </c>
      <c r="E127" s="451">
        <v>55489.18</v>
      </c>
      <c r="F127" s="451">
        <v>24079948.269999955</v>
      </c>
      <c r="G127" s="451">
        <v>138428.4</v>
      </c>
      <c r="H127" s="451">
        <v>55489.18</v>
      </c>
      <c r="I127" s="433">
        <v>0</v>
      </c>
      <c r="J127" s="433">
        <v>0</v>
      </c>
      <c r="K127" s="433">
        <v>0</v>
      </c>
    </row>
    <row r="128" spans="1:11" ht="13.5" thickBot="1">
      <c r="A128" s="839">
        <f t="shared" si="18"/>
        <v>118</v>
      </c>
      <c r="B128" s="72" t="s">
        <v>914</v>
      </c>
      <c r="C128" s="451">
        <v>176105564.26999998</v>
      </c>
      <c r="D128" s="451">
        <v>189173.99999999965</v>
      </c>
      <c r="E128" s="451">
        <v>55489.18</v>
      </c>
      <c r="F128" s="451">
        <v>24331582.999999978</v>
      </c>
      <c r="G128" s="451">
        <v>138721.54999999964</v>
      </c>
      <c r="H128" s="451">
        <v>55489.18</v>
      </c>
      <c r="I128" s="451">
        <v>-26041446.824591279</v>
      </c>
      <c r="J128" s="451">
        <v>-99801.430000000022</v>
      </c>
      <c r="K128" s="451">
        <v>31252.940000000002</v>
      </c>
    </row>
    <row r="129" spans="1:11" ht="26.25" thickBot="1">
      <c r="A129" s="839">
        <f t="shared" si="18"/>
        <v>119</v>
      </c>
      <c r="B129" s="850" t="str">
        <f>"13 Month Avg. (Lns "&amp;A116&amp;" - "&amp;A128&amp;")"</f>
        <v>13 Month Avg. (Lns 106 - 118)</v>
      </c>
      <c r="C129" s="611">
        <f t="shared" ref="C129:K129" si="24">IF(C128=0,0,AVERAGE(C116:C128))</f>
        <v>102646084.35615388</v>
      </c>
      <c r="D129" s="611">
        <f t="shared" si="24"/>
        <v>189173.99999999959</v>
      </c>
      <c r="E129" s="611">
        <f t="shared" si="24"/>
        <v>55489.180000000015</v>
      </c>
      <c r="F129" s="611">
        <f t="shared" si="24"/>
        <v>23199287.49692307</v>
      </c>
      <c r="G129" s="611">
        <f t="shared" si="24"/>
        <v>136940.04230769232</v>
      </c>
      <c r="H129" s="611">
        <f t="shared" si="24"/>
        <v>55489.180000000015</v>
      </c>
      <c r="I129" s="611">
        <f t="shared" si="24"/>
        <v>-2228326.3773792032</v>
      </c>
      <c r="J129" s="611">
        <f t="shared" si="24"/>
        <v>-16693.080000000002</v>
      </c>
      <c r="K129" s="611">
        <f t="shared" si="24"/>
        <v>5936.543076923077</v>
      </c>
    </row>
    <row r="130" spans="1:11">
      <c r="A130" s="839">
        <f t="shared" si="18"/>
        <v>120</v>
      </c>
    </row>
    <row r="131" spans="1:11">
      <c r="A131" s="839">
        <f t="shared" si="18"/>
        <v>121</v>
      </c>
      <c r="F131" s="1239" t="s">
        <v>967</v>
      </c>
      <c r="G131" s="1240"/>
      <c r="H131" s="1241"/>
    </row>
    <row r="132" spans="1:11">
      <c r="A132" s="839">
        <f t="shared" si="18"/>
        <v>122</v>
      </c>
      <c r="F132" s="864" t="s">
        <v>972</v>
      </c>
      <c r="G132" s="824" t="s">
        <v>973</v>
      </c>
      <c r="H132" s="865" t="s">
        <v>974</v>
      </c>
    </row>
    <row r="133" spans="1:11" ht="13.5" thickBot="1">
      <c r="A133" s="839">
        <f t="shared" si="18"/>
        <v>123</v>
      </c>
      <c r="J133" s="93"/>
    </row>
    <row r="134" spans="1:11" ht="13.5" thickBot="1">
      <c r="A134" s="839">
        <f t="shared" si="18"/>
        <v>124</v>
      </c>
      <c r="B134" s="72" t="s">
        <v>968</v>
      </c>
      <c r="F134" s="149">
        <v>1904609.3099999996</v>
      </c>
      <c r="G134" s="149">
        <v>3635.3599999999997</v>
      </c>
      <c r="H134" s="149">
        <v>0</v>
      </c>
    </row>
    <row r="135" spans="1:11">
      <c r="A135" s="839">
        <f t="shared" si="18"/>
        <v>125</v>
      </c>
    </row>
    <row r="136" spans="1:11">
      <c r="A136" s="839">
        <f t="shared" si="18"/>
        <v>126</v>
      </c>
      <c r="I136" s="314"/>
      <c r="J136" s="314"/>
      <c r="K136" s="314"/>
    </row>
    <row r="137" spans="1:11">
      <c r="A137" s="839">
        <f t="shared" si="18"/>
        <v>127</v>
      </c>
      <c r="D137" s="867"/>
      <c r="E137" s="867" t="s">
        <v>94</v>
      </c>
      <c r="H137" s="867"/>
      <c r="I137" s="867" t="s">
        <v>94</v>
      </c>
    </row>
    <row r="138" spans="1:11">
      <c r="A138" s="839">
        <f t="shared" si="18"/>
        <v>128</v>
      </c>
      <c r="C138" s="415" t="s">
        <v>628</v>
      </c>
      <c r="D138" s="867" t="s">
        <v>511</v>
      </c>
      <c r="E138" s="867" t="s">
        <v>512</v>
      </c>
      <c r="G138" s="415" t="s">
        <v>628</v>
      </c>
      <c r="H138" s="867" t="s">
        <v>511</v>
      </c>
      <c r="I138" s="867" t="s">
        <v>512</v>
      </c>
      <c r="K138" s="415" t="s">
        <v>630</v>
      </c>
    </row>
    <row r="139" spans="1:11">
      <c r="A139" s="839">
        <f t="shared" si="18"/>
        <v>129</v>
      </c>
      <c r="C139" s="415" t="s">
        <v>627</v>
      </c>
      <c r="D139" s="867" t="s">
        <v>626</v>
      </c>
      <c r="E139" s="867" t="s">
        <v>95</v>
      </c>
      <c r="G139" s="415" t="s">
        <v>629</v>
      </c>
      <c r="H139" s="867" t="s">
        <v>626</v>
      </c>
      <c r="I139" s="867" t="s">
        <v>95</v>
      </c>
      <c r="K139" s="415" t="s">
        <v>631</v>
      </c>
    </row>
    <row r="140" spans="1:11">
      <c r="A140" s="839">
        <f t="shared" si="18"/>
        <v>130</v>
      </c>
      <c r="C140" s="823" t="s">
        <v>593</v>
      </c>
      <c r="D140" s="868" t="s">
        <v>594</v>
      </c>
      <c r="E140" s="868" t="s">
        <v>511</v>
      </c>
      <c r="G140" s="823" t="s">
        <v>596</v>
      </c>
      <c r="H140" s="868" t="s">
        <v>594</v>
      </c>
      <c r="I140" s="868" t="s">
        <v>511</v>
      </c>
      <c r="K140" s="823" t="s">
        <v>597</v>
      </c>
    </row>
    <row r="141" spans="1:11">
      <c r="A141" s="839">
        <f t="shared" si="18"/>
        <v>131</v>
      </c>
      <c r="B141" s="72" t="s">
        <v>914</v>
      </c>
      <c r="C141" s="324"/>
      <c r="D141" s="558"/>
      <c r="E141" s="315">
        <f>C141-D141</f>
        <v>0</v>
      </c>
      <c r="G141" s="324"/>
      <c r="H141" s="558"/>
      <c r="I141" s="315">
        <f>G141-H141</f>
        <v>0</v>
      </c>
      <c r="K141" s="324"/>
    </row>
    <row r="142" spans="1:11">
      <c r="A142" s="839">
        <f t="shared" si="18"/>
        <v>132</v>
      </c>
      <c r="B142" s="72" t="s">
        <v>956</v>
      </c>
      <c r="C142" s="558"/>
      <c r="D142" s="558"/>
      <c r="E142" s="315">
        <f t="shared" ref="E142:E153" si="25">C142-D142</f>
        <v>0</v>
      </c>
      <c r="G142" s="558"/>
      <c r="H142" s="558"/>
      <c r="I142" s="315">
        <f t="shared" ref="I142:I153" si="26">G142-H142</f>
        <v>0</v>
      </c>
      <c r="K142" s="558"/>
    </row>
    <row r="143" spans="1:11">
      <c r="A143" s="839">
        <f t="shared" si="18"/>
        <v>133</v>
      </c>
      <c r="B143" s="72" t="s">
        <v>904</v>
      </c>
      <c r="C143" s="558"/>
      <c r="D143" s="558"/>
      <c r="E143" s="315">
        <f t="shared" si="25"/>
        <v>0</v>
      </c>
      <c r="G143" s="558"/>
      <c r="H143" s="558"/>
      <c r="I143" s="315">
        <f t="shared" si="26"/>
        <v>0</v>
      </c>
      <c r="K143" s="558"/>
    </row>
    <row r="144" spans="1:11">
      <c r="A144" s="839">
        <f t="shared" si="18"/>
        <v>134</v>
      </c>
      <c r="B144" s="72" t="s">
        <v>905</v>
      </c>
      <c r="C144" s="558"/>
      <c r="D144" s="558"/>
      <c r="E144" s="315">
        <f t="shared" si="25"/>
        <v>0</v>
      </c>
      <c r="G144" s="558"/>
      <c r="H144" s="558"/>
      <c r="I144" s="315">
        <f t="shared" si="26"/>
        <v>0</v>
      </c>
      <c r="K144" s="558"/>
    </row>
    <row r="145" spans="1:11">
      <c r="A145" s="839">
        <f t="shared" si="18"/>
        <v>135</v>
      </c>
      <c r="B145" s="72" t="s">
        <v>906</v>
      </c>
      <c r="C145" s="558"/>
      <c r="D145" s="558"/>
      <c r="E145" s="315">
        <f t="shared" si="25"/>
        <v>0</v>
      </c>
      <c r="G145" s="558"/>
      <c r="H145" s="558"/>
      <c r="I145" s="315">
        <f t="shared" si="26"/>
        <v>0</v>
      </c>
      <c r="K145" s="558"/>
    </row>
    <row r="146" spans="1:11">
      <c r="A146" s="839">
        <f t="shared" si="18"/>
        <v>136</v>
      </c>
      <c r="B146" s="72" t="s">
        <v>907</v>
      </c>
      <c r="C146" s="558"/>
      <c r="D146" s="558"/>
      <c r="E146" s="315">
        <f t="shared" si="25"/>
        <v>0</v>
      </c>
      <c r="G146" s="558"/>
      <c r="H146" s="558"/>
      <c r="I146" s="315">
        <f t="shared" si="26"/>
        <v>0</v>
      </c>
      <c r="K146" s="558"/>
    </row>
    <row r="147" spans="1:11">
      <c r="A147" s="839">
        <f t="shared" si="18"/>
        <v>137</v>
      </c>
      <c r="B147" s="72" t="s">
        <v>908</v>
      </c>
      <c r="C147" s="558"/>
      <c r="D147" s="558"/>
      <c r="E147" s="315">
        <f t="shared" si="25"/>
        <v>0</v>
      </c>
      <c r="G147" s="558"/>
      <c r="H147" s="558"/>
      <c r="I147" s="315">
        <f t="shared" si="26"/>
        <v>0</v>
      </c>
      <c r="K147" s="558"/>
    </row>
    <row r="148" spans="1:11">
      <c r="A148" s="839">
        <f t="shared" si="18"/>
        <v>138</v>
      </c>
      <c r="B148" s="72" t="s">
        <v>909</v>
      </c>
      <c r="C148" s="558"/>
      <c r="D148" s="558"/>
      <c r="E148" s="315">
        <f t="shared" si="25"/>
        <v>0</v>
      </c>
      <c r="G148" s="558"/>
      <c r="H148" s="558"/>
      <c r="I148" s="315">
        <f t="shared" si="26"/>
        <v>0</v>
      </c>
      <c r="K148" s="558"/>
    </row>
    <row r="149" spans="1:11">
      <c r="A149" s="839">
        <f t="shared" si="18"/>
        <v>139</v>
      </c>
      <c r="B149" s="72" t="s">
        <v>910</v>
      </c>
      <c r="C149" s="558"/>
      <c r="D149" s="558"/>
      <c r="E149" s="315">
        <f t="shared" si="25"/>
        <v>0</v>
      </c>
      <c r="G149" s="558"/>
      <c r="H149" s="558"/>
      <c r="I149" s="315">
        <f t="shared" si="26"/>
        <v>0</v>
      </c>
      <c r="K149" s="558"/>
    </row>
    <row r="150" spans="1:11">
      <c r="A150" s="839">
        <f t="shared" si="18"/>
        <v>140</v>
      </c>
      <c r="B150" s="72" t="s">
        <v>911</v>
      </c>
      <c r="C150" s="558"/>
      <c r="D150" s="558"/>
      <c r="E150" s="315">
        <f t="shared" si="25"/>
        <v>0</v>
      </c>
      <c r="G150" s="558"/>
      <c r="H150" s="558"/>
      <c r="I150" s="315">
        <f t="shared" si="26"/>
        <v>0</v>
      </c>
      <c r="K150" s="558"/>
    </row>
    <row r="151" spans="1:11">
      <c r="A151" s="839">
        <f t="shared" si="18"/>
        <v>141</v>
      </c>
      <c r="B151" s="72" t="s">
        <v>912</v>
      </c>
      <c r="C151" s="558"/>
      <c r="D151" s="558"/>
      <c r="E151" s="315">
        <f t="shared" si="25"/>
        <v>0</v>
      </c>
      <c r="G151" s="558"/>
      <c r="H151" s="558"/>
      <c r="I151" s="315">
        <f t="shared" si="26"/>
        <v>0</v>
      </c>
      <c r="K151" s="558"/>
    </row>
    <row r="152" spans="1:11">
      <c r="A152" s="839">
        <f t="shared" si="18"/>
        <v>142</v>
      </c>
      <c r="B152" s="72" t="s">
        <v>913</v>
      </c>
      <c r="C152" s="558"/>
      <c r="D152" s="558"/>
      <c r="E152" s="315">
        <f t="shared" si="25"/>
        <v>0</v>
      </c>
      <c r="G152" s="558"/>
      <c r="H152" s="558"/>
      <c r="I152" s="315">
        <f t="shared" si="26"/>
        <v>0</v>
      </c>
      <c r="K152" s="558"/>
    </row>
    <row r="153" spans="1:11" ht="13.5" thickBot="1">
      <c r="A153" s="839">
        <f t="shared" ref="A153:A162" si="27">A152+1</f>
        <v>143</v>
      </c>
      <c r="B153" s="72" t="s">
        <v>914</v>
      </c>
      <c r="C153" s="869"/>
      <c r="D153" s="869"/>
      <c r="E153" s="315">
        <f t="shared" si="25"/>
        <v>0</v>
      </c>
      <c r="G153" s="869"/>
      <c r="H153" s="869"/>
      <c r="I153" s="315">
        <f t="shared" si="26"/>
        <v>0</v>
      </c>
      <c r="K153" s="870"/>
    </row>
    <row r="154" spans="1:11" ht="26.25" thickBot="1">
      <c r="A154" s="839">
        <f t="shared" si="27"/>
        <v>144</v>
      </c>
      <c r="B154" s="850" t="str">
        <f>"13 Month Avg. (Lns "&amp;A141&amp;" - "&amp;A153&amp;")"</f>
        <v>13 Month Avg. (Lns 131 - 143)</v>
      </c>
      <c r="C154" s="169">
        <f>IF(C153=0,0,AVERAGE(C141:C153))</f>
        <v>0</v>
      </c>
      <c r="D154" s="614">
        <f>SUM(D142:D153)</f>
        <v>0</v>
      </c>
      <c r="E154" s="611">
        <f>IF(E153=0,0,AVERAGE(E141:E153))</f>
        <v>0</v>
      </c>
      <c r="G154" s="169">
        <f>IF(G153=0,0,AVERAGE(G141:G153))</f>
        <v>0</v>
      </c>
      <c r="H154" s="614">
        <f>SUM(H142:H153)</f>
        <v>0</v>
      </c>
      <c r="I154" s="611">
        <f>IF(I153=0,0,AVERAGE(I141:I153))</f>
        <v>0</v>
      </c>
      <c r="K154" s="611">
        <f>IF(K153=0,0,AVERAGE(K141:K153))</f>
        <v>0</v>
      </c>
    </row>
    <row r="155" spans="1:11">
      <c r="A155" s="839">
        <f t="shared" si="27"/>
        <v>145</v>
      </c>
      <c r="F155" s="781"/>
    </row>
    <row r="156" spans="1:11">
      <c r="A156" s="839">
        <f t="shared" si="27"/>
        <v>146</v>
      </c>
    </row>
    <row r="157" spans="1:11">
      <c r="A157" s="839">
        <f t="shared" si="27"/>
        <v>147</v>
      </c>
      <c r="B157" t="s">
        <v>975</v>
      </c>
    </row>
    <row r="158" spans="1:11">
      <c r="A158" s="839">
        <f t="shared" si="27"/>
        <v>148</v>
      </c>
      <c r="B158" t="s">
        <v>598</v>
      </c>
    </row>
    <row r="159" spans="1:11">
      <c r="A159" s="839">
        <f t="shared" si="27"/>
        <v>149</v>
      </c>
      <c r="B159" t="s">
        <v>599</v>
      </c>
    </row>
    <row r="160" spans="1:11">
      <c r="A160" s="839">
        <f t="shared" si="27"/>
        <v>150</v>
      </c>
      <c r="B160" s="72" t="s">
        <v>1696</v>
      </c>
    </row>
    <row r="161" spans="1:11">
      <c r="A161" s="839">
        <f t="shared" si="27"/>
        <v>151</v>
      </c>
      <c r="B161" s="963" t="s">
        <v>1697</v>
      </c>
    </row>
    <row r="162" spans="1:11">
      <c r="A162" s="839">
        <f t="shared" si="27"/>
        <v>152</v>
      </c>
      <c r="B162" s="963" t="s">
        <v>1590</v>
      </c>
    </row>
    <row r="163" spans="1:11">
      <c r="I163" s="315"/>
      <c r="J163" s="315"/>
      <c r="K163" s="315"/>
    </row>
    <row r="165" spans="1:11">
      <c r="I165" s="93"/>
      <c r="J165" s="93"/>
      <c r="K165" s="93"/>
    </row>
    <row r="166" spans="1:11">
      <c r="I166" s="93"/>
      <c r="J166" s="93"/>
      <c r="K166" s="93"/>
    </row>
  </sheetData>
  <mergeCells count="27">
    <mergeCell ref="I114:K114"/>
    <mergeCell ref="C81:F81"/>
    <mergeCell ref="G81:I81"/>
    <mergeCell ref="J81:L81"/>
    <mergeCell ref="C105:F105"/>
    <mergeCell ref="G105:I105"/>
    <mergeCell ref="J105:L105"/>
    <mergeCell ref="A24:A25"/>
    <mergeCell ref="B24:B25"/>
    <mergeCell ref="B47:B48"/>
    <mergeCell ref="F131:H131"/>
    <mergeCell ref="C114:E114"/>
    <mergeCell ref="F114:H114"/>
    <mergeCell ref="Q62:S62"/>
    <mergeCell ref="M62:P62"/>
    <mergeCell ref="J62:L62"/>
    <mergeCell ref="G62:I62"/>
    <mergeCell ref="C62:F62"/>
    <mergeCell ref="M105:P105"/>
    <mergeCell ref="Q105:S105"/>
    <mergeCell ref="M81:P81"/>
    <mergeCell ref="Q81:S81"/>
    <mergeCell ref="C100:F100"/>
    <mergeCell ref="G100:I100"/>
    <mergeCell ref="J100:L100"/>
    <mergeCell ref="M100:P100"/>
    <mergeCell ref="Q100:S100"/>
  </mergeCells>
  <pageMargins left="0.7" right="0.7" top="0.75" bottom="0.75" header="0.3" footer="0.3"/>
  <pageSetup scale="47" orientation="portrait" r:id="rId1"/>
  <rowBreaks count="2" manualBreakCount="2">
    <brk id="51" max="16383" man="1"/>
    <brk id="11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4"/>
  <sheetViews>
    <sheetView topLeftCell="A55" zoomScale="85" zoomScaleNormal="85" workbookViewId="0">
      <selection activeCell="L20" sqref="L20"/>
    </sheetView>
  </sheetViews>
  <sheetFormatPr defaultRowHeight="12.75"/>
  <cols>
    <col min="1" max="1" width="5.42578125" style="74" customWidth="1"/>
    <col min="2" max="2" width="23.28515625" style="72" customWidth="1"/>
    <col min="3" max="3" width="18.28515625" style="72" bestFit="1" customWidth="1"/>
    <col min="4" max="4" width="15.28515625" style="72" bestFit="1" customWidth="1"/>
    <col min="5" max="5" width="16.5703125" style="72" bestFit="1" customWidth="1"/>
    <col min="6" max="6" width="18.5703125" style="72" bestFit="1" customWidth="1"/>
    <col min="7" max="7" width="18" style="72" bestFit="1" customWidth="1"/>
    <col min="8" max="8" width="15.7109375" style="72" bestFit="1" customWidth="1"/>
    <col min="9" max="9" width="14.28515625" style="72" bestFit="1" customWidth="1"/>
    <col min="10" max="10" width="16.28515625" style="72" bestFit="1" customWidth="1"/>
    <col min="11" max="11" width="12.85546875" style="72" bestFit="1" customWidth="1"/>
    <col min="12" max="12" width="17" style="72" bestFit="1" customWidth="1"/>
    <col min="13" max="13" width="16.5703125" style="72" bestFit="1" customWidth="1"/>
    <col min="14" max="14" width="16.7109375" style="72" bestFit="1" customWidth="1"/>
    <col min="15" max="25" width="11.28515625" style="72" bestFit="1" customWidth="1"/>
    <col min="26" max="16384" width="9.140625" style="72"/>
  </cols>
  <sheetData>
    <row r="1" spans="1:26">
      <c r="A1" s="821" t="s">
        <v>779</v>
      </c>
      <c r="L1" s="781" t="s">
        <v>149</v>
      </c>
    </row>
    <row r="2" spans="1:26">
      <c r="A2" s="821" t="s">
        <v>383</v>
      </c>
      <c r="G2" s="315"/>
      <c r="H2" s="315"/>
      <c r="L2" s="781" t="s">
        <v>1591</v>
      </c>
    </row>
    <row r="3" spans="1:26">
      <c r="A3" s="821" t="s">
        <v>1454</v>
      </c>
      <c r="G3" s="93"/>
      <c r="H3" s="93"/>
    </row>
    <row r="4" spans="1:26">
      <c r="A4" s="821" t="s">
        <v>523</v>
      </c>
    </row>
    <row r="5" spans="1:26">
      <c r="A5" s="821"/>
      <c r="E5" s="93"/>
      <c r="G5" s="93"/>
      <c r="H5" s="93"/>
    </row>
    <row r="6" spans="1:26">
      <c r="G6" s="315"/>
      <c r="H6" s="315"/>
    </row>
    <row r="7" spans="1:26">
      <c r="B7" s="847" t="s">
        <v>944</v>
      </c>
    </row>
    <row r="8" spans="1:26" ht="25.5">
      <c r="C8" s="848" t="s">
        <v>945</v>
      </c>
      <c r="D8" s="848" t="s">
        <v>947</v>
      </c>
      <c r="E8" s="848" t="s">
        <v>948</v>
      </c>
      <c r="F8" s="848" t="s">
        <v>949</v>
      </c>
      <c r="G8" s="849" t="s">
        <v>950</v>
      </c>
      <c r="H8" s="848" t="s">
        <v>951</v>
      </c>
      <c r="I8" s="848" t="s">
        <v>953</v>
      </c>
      <c r="J8" s="848" t="s">
        <v>954</v>
      </c>
      <c r="K8" s="848" t="s">
        <v>955</v>
      </c>
    </row>
    <row r="9" spans="1:26" ht="25.5">
      <c r="B9" s="850" t="s">
        <v>167</v>
      </c>
      <c r="C9" s="850" t="s">
        <v>168</v>
      </c>
      <c r="D9" s="850" t="s">
        <v>169</v>
      </c>
      <c r="E9" s="850" t="s">
        <v>170</v>
      </c>
      <c r="F9" s="850" t="s">
        <v>171</v>
      </c>
      <c r="G9" s="850" t="s">
        <v>172</v>
      </c>
      <c r="H9" s="850" t="s">
        <v>173</v>
      </c>
      <c r="I9" s="850" t="s">
        <v>181</v>
      </c>
      <c r="J9" s="420" t="s">
        <v>1701</v>
      </c>
      <c r="K9" s="420" t="s">
        <v>1701</v>
      </c>
    </row>
    <row r="10" spans="1:26">
      <c r="A10" s="839">
        <v>1</v>
      </c>
      <c r="B10" s="72" t="s">
        <v>914</v>
      </c>
      <c r="C10" s="247"/>
      <c r="D10" s="247"/>
      <c r="E10" s="247"/>
      <c r="F10" s="247"/>
      <c r="G10" s="247"/>
      <c r="H10" s="247"/>
      <c r="I10" s="247"/>
      <c r="J10" s="247"/>
      <c r="K10" s="247"/>
      <c r="M10" s="315"/>
      <c r="N10" s="315"/>
      <c r="O10" s="315"/>
      <c r="P10" s="315"/>
      <c r="Q10" s="315"/>
      <c r="R10" s="315"/>
      <c r="S10" s="315"/>
      <c r="T10" s="315"/>
      <c r="U10" s="315"/>
      <c r="V10" s="315"/>
      <c r="W10" s="315"/>
      <c r="X10" s="315"/>
      <c r="Y10" s="315"/>
      <c r="Z10" s="315"/>
    </row>
    <row r="11" spans="1:26">
      <c r="A11" s="839">
        <f t="shared" ref="A11:A24" si="0">A10+1</f>
        <v>2</v>
      </c>
      <c r="B11" s="72" t="s">
        <v>956</v>
      </c>
      <c r="C11" s="247"/>
      <c r="D11" s="247"/>
      <c r="E11" s="247"/>
      <c r="F11" s="247"/>
      <c r="G11" s="247"/>
      <c r="H11" s="247"/>
      <c r="I11" s="247"/>
      <c r="J11" s="247"/>
      <c r="K11" s="247"/>
    </row>
    <row r="12" spans="1:26">
      <c r="A12" s="839">
        <f t="shared" si="0"/>
        <v>3</v>
      </c>
      <c r="B12" s="72" t="s">
        <v>904</v>
      </c>
      <c r="C12" s="247"/>
      <c r="D12" s="247"/>
      <c r="E12" s="247"/>
      <c r="F12" s="247"/>
      <c r="G12" s="247"/>
      <c r="H12" s="247"/>
      <c r="I12" s="247"/>
      <c r="J12" s="247"/>
      <c r="K12" s="247"/>
    </row>
    <row r="13" spans="1:26">
      <c r="A13" s="839">
        <f t="shared" si="0"/>
        <v>4</v>
      </c>
      <c r="B13" s="72" t="s">
        <v>905</v>
      </c>
      <c r="C13" s="247"/>
      <c r="D13" s="247"/>
      <c r="E13" s="247"/>
      <c r="F13" s="247"/>
      <c r="G13" s="247"/>
      <c r="H13" s="247"/>
      <c r="I13" s="247"/>
      <c r="J13" s="247"/>
      <c r="K13" s="247"/>
    </row>
    <row r="14" spans="1:26">
      <c r="A14" s="839">
        <f t="shared" si="0"/>
        <v>5</v>
      </c>
      <c r="B14" s="72" t="s">
        <v>906</v>
      </c>
      <c r="C14" s="247"/>
      <c r="D14" s="247"/>
      <c r="E14" s="247"/>
      <c r="F14" s="247"/>
      <c r="G14" s="247"/>
      <c r="H14" s="247"/>
      <c r="I14" s="247"/>
      <c r="J14" s="247"/>
      <c r="K14" s="247"/>
    </row>
    <row r="15" spans="1:26">
      <c r="A15" s="839">
        <f t="shared" si="0"/>
        <v>6</v>
      </c>
      <c r="B15" s="72" t="s">
        <v>907</v>
      </c>
      <c r="C15" s="247"/>
      <c r="D15" s="247"/>
      <c r="E15" s="247"/>
      <c r="F15" s="247"/>
      <c r="G15" s="247"/>
      <c r="H15" s="247"/>
      <c r="I15" s="247"/>
      <c r="J15" s="247"/>
      <c r="K15" s="247"/>
    </row>
    <row r="16" spans="1:26">
      <c r="A16" s="839">
        <f t="shared" si="0"/>
        <v>7</v>
      </c>
      <c r="B16" s="72" t="s">
        <v>908</v>
      </c>
      <c r="C16" s="247"/>
      <c r="D16" s="247"/>
      <c r="E16" s="247"/>
      <c r="F16" s="247"/>
      <c r="G16" s="247"/>
      <c r="H16" s="247"/>
      <c r="I16" s="247"/>
      <c r="J16" s="247"/>
      <c r="K16" s="247"/>
    </row>
    <row r="17" spans="1:11">
      <c r="A17" s="839">
        <f t="shared" si="0"/>
        <v>8</v>
      </c>
      <c r="B17" s="72" t="s">
        <v>909</v>
      </c>
      <c r="C17" s="247"/>
      <c r="D17" s="247"/>
      <c r="E17" s="247"/>
      <c r="F17" s="247"/>
      <c r="G17" s="247"/>
      <c r="H17" s="247"/>
      <c r="I17" s="247"/>
      <c r="J17" s="247"/>
      <c r="K17" s="247"/>
    </row>
    <row r="18" spans="1:11">
      <c r="A18" s="839">
        <f t="shared" si="0"/>
        <v>9</v>
      </c>
      <c r="B18" s="72" t="s">
        <v>910</v>
      </c>
      <c r="C18" s="247"/>
      <c r="D18" s="247"/>
      <c r="E18" s="247"/>
      <c r="F18" s="247"/>
      <c r="G18" s="247"/>
      <c r="H18" s="247"/>
      <c r="I18" s="247"/>
      <c r="J18" s="247"/>
      <c r="K18" s="247"/>
    </row>
    <row r="19" spans="1:11">
      <c r="A19" s="839">
        <f t="shared" si="0"/>
        <v>10</v>
      </c>
      <c r="B19" s="72" t="s">
        <v>911</v>
      </c>
      <c r="C19" s="247"/>
      <c r="D19" s="247"/>
      <c r="E19" s="247"/>
      <c r="F19" s="247"/>
      <c r="G19" s="247"/>
      <c r="H19" s="247"/>
      <c r="I19" s="247"/>
      <c r="J19" s="247"/>
      <c r="K19" s="247"/>
    </row>
    <row r="20" spans="1:11">
      <c r="A20" s="839">
        <f t="shared" si="0"/>
        <v>11</v>
      </c>
      <c r="B20" s="72" t="s">
        <v>912</v>
      </c>
      <c r="C20" s="247"/>
      <c r="D20" s="247"/>
      <c r="E20" s="247"/>
      <c r="F20" s="247"/>
      <c r="G20" s="247"/>
      <c r="H20" s="247"/>
      <c r="I20" s="247"/>
      <c r="J20" s="247"/>
      <c r="K20" s="247"/>
    </row>
    <row r="21" spans="1:11">
      <c r="A21" s="839">
        <f t="shared" si="0"/>
        <v>12</v>
      </c>
      <c r="B21" s="72" t="s">
        <v>913</v>
      </c>
      <c r="C21" s="247"/>
      <c r="D21" s="247"/>
      <c r="E21" s="247"/>
      <c r="F21" s="247"/>
      <c r="G21" s="247"/>
      <c r="H21" s="247"/>
      <c r="I21" s="247"/>
      <c r="J21" s="247"/>
      <c r="K21" s="247"/>
    </row>
    <row r="22" spans="1:11">
      <c r="A22" s="839">
        <f t="shared" si="0"/>
        <v>13</v>
      </c>
      <c r="B22" s="72" t="s">
        <v>914</v>
      </c>
      <c r="C22" s="250"/>
      <c r="D22" s="250"/>
      <c r="E22" s="250"/>
      <c r="F22" s="250"/>
      <c r="G22" s="250"/>
      <c r="H22" s="250"/>
      <c r="I22" s="250"/>
      <c r="J22" s="250"/>
      <c r="K22" s="250"/>
    </row>
    <row r="23" spans="1:11">
      <c r="A23" s="839">
        <f t="shared" si="0"/>
        <v>14</v>
      </c>
      <c r="B23" s="850" t="str">
        <f>"13 Month Avg. (Lns "&amp;A10&amp;" - "&amp;A22&amp;")"</f>
        <v>13 Month Avg. (Lns 1 - 13)</v>
      </c>
      <c r="C23" s="169">
        <f t="shared" ref="C23:K23" si="1">IF(C22=0,0,AVERAGE(C10:C22))</f>
        <v>0</v>
      </c>
      <c r="D23" s="169">
        <f t="shared" si="1"/>
        <v>0</v>
      </c>
      <c r="E23" s="169">
        <f t="shared" si="1"/>
        <v>0</v>
      </c>
      <c r="F23" s="169">
        <f t="shared" si="1"/>
        <v>0</v>
      </c>
      <c r="G23" s="169">
        <f t="shared" si="1"/>
        <v>0</v>
      </c>
      <c r="H23" s="169">
        <f t="shared" si="1"/>
        <v>0</v>
      </c>
      <c r="I23" s="169">
        <f t="shared" si="1"/>
        <v>0</v>
      </c>
      <c r="J23" s="169">
        <f t="shared" si="1"/>
        <v>0</v>
      </c>
      <c r="K23" s="169">
        <f t="shared" si="1"/>
        <v>0</v>
      </c>
    </row>
    <row r="24" spans="1:11">
      <c r="A24" s="1237">
        <f t="shared" si="0"/>
        <v>15</v>
      </c>
      <c r="B24" s="1238" t="s">
        <v>958</v>
      </c>
      <c r="C24" s="169"/>
      <c r="D24" s="169"/>
      <c r="E24" s="169"/>
      <c r="F24" s="169"/>
      <c r="G24" s="169"/>
      <c r="H24" s="169"/>
      <c r="I24" s="169"/>
      <c r="J24" s="169"/>
    </row>
    <row r="25" spans="1:11">
      <c r="A25" s="1237"/>
      <c r="B25" s="1238"/>
      <c r="C25" s="851"/>
      <c r="D25" s="250"/>
      <c r="E25" s="250"/>
      <c r="F25" s="250"/>
      <c r="G25" s="250"/>
      <c r="H25" s="250"/>
      <c r="I25" s="250"/>
      <c r="J25" s="250"/>
      <c r="K25" s="250"/>
    </row>
    <row r="26" spans="1:11" ht="13.5" thickBot="1">
      <c r="A26" s="839">
        <f>A24+1</f>
        <v>16</v>
      </c>
    </row>
    <row r="27" spans="1:11" ht="13.5" thickBot="1">
      <c r="A27" s="839">
        <f t="shared" ref="A27:A91" si="2">A26+1</f>
        <v>17</v>
      </c>
      <c r="B27" s="72" t="s">
        <v>959</v>
      </c>
      <c r="C27" s="611">
        <f t="shared" ref="C27:K27" si="3">C23-C25</f>
        <v>0</v>
      </c>
      <c r="D27" s="611">
        <f t="shared" si="3"/>
        <v>0</v>
      </c>
      <c r="E27" s="611">
        <f t="shared" si="3"/>
        <v>0</v>
      </c>
      <c r="F27" s="611">
        <f t="shared" si="3"/>
        <v>0</v>
      </c>
      <c r="G27" s="611">
        <f t="shared" si="3"/>
        <v>0</v>
      </c>
      <c r="H27" s="611">
        <f t="shared" si="3"/>
        <v>0</v>
      </c>
      <c r="I27" s="611">
        <f t="shared" si="3"/>
        <v>0</v>
      </c>
      <c r="J27" s="611">
        <f t="shared" si="3"/>
        <v>0</v>
      </c>
      <c r="K27" s="611">
        <f t="shared" si="3"/>
        <v>0</v>
      </c>
    </row>
    <row r="28" spans="1:11">
      <c r="A28" s="839">
        <f t="shared" si="2"/>
        <v>18</v>
      </c>
      <c r="C28" s="169"/>
      <c r="D28" s="169"/>
      <c r="E28" s="169"/>
      <c r="F28" s="169"/>
      <c r="G28" s="169"/>
      <c r="H28" s="169"/>
    </row>
    <row r="29" spans="1:11">
      <c r="A29" s="839">
        <f t="shared" si="2"/>
        <v>19</v>
      </c>
      <c r="B29" s="847" t="s">
        <v>960</v>
      </c>
      <c r="C29" s="169"/>
      <c r="D29" s="169"/>
      <c r="E29" s="169"/>
      <c r="F29" s="169"/>
      <c r="G29" s="169"/>
      <c r="H29" s="169"/>
    </row>
    <row r="30" spans="1:11">
      <c r="A30" s="839">
        <f t="shared" si="2"/>
        <v>20</v>
      </c>
    </row>
    <row r="31" spans="1:11" ht="25.5">
      <c r="A31" s="839">
        <f t="shared" si="2"/>
        <v>21</v>
      </c>
      <c r="C31" s="848" t="s">
        <v>945</v>
      </c>
      <c r="D31" s="848" t="s">
        <v>947</v>
      </c>
      <c r="E31" s="848" t="s">
        <v>948</v>
      </c>
      <c r="F31" s="848" t="s">
        <v>949</v>
      </c>
      <c r="G31" s="849" t="s">
        <v>950</v>
      </c>
      <c r="H31" s="848" t="s">
        <v>951</v>
      </c>
      <c r="I31" s="848" t="s">
        <v>953</v>
      </c>
      <c r="J31" s="848" t="s">
        <v>954</v>
      </c>
      <c r="K31" s="848" t="s">
        <v>955</v>
      </c>
    </row>
    <row r="32" spans="1:11" ht="25.5">
      <c r="A32" s="839">
        <f t="shared" si="2"/>
        <v>22</v>
      </c>
      <c r="B32" s="850" t="s">
        <v>167</v>
      </c>
      <c r="C32" s="850" t="s">
        <v>174</v>
      </c>
      <c r="D32" s="850" t="s">
        <v>175</v>
      </c>
      <c r="E32" s="850" t="s">
        <v>176</v>
      </c>
      <c r="F32" s="850" t="s">
        <v>177</v>
      </c>
      <c r="G32" s="850" t="s">
        <v>178</v>
      </c>
      <c r="H32" s="850" t="s">
        <v>179</v>
      </c>
      <c r="I32" s="850" t="s">
        <v>180</v>
      </c>
      <c r="J32" s="420" t="s">
        <v>1702</v>
      </c>
      <c r="K32" s="420" t="s">
        <v>1702</v>
      </c>
    </row>
    <row r="33" spans="1:26">
      <c r="A33" s="839">
        <f t="shared" si="2"/>
        <v>23</v>
      </c>
      <c r="B33" s="72" t="s">
        <v>914</v>
      </c>
      <c r="C33" s="247"/>
      <c r="D33" s="247"/>
      <c r="E33" s="247"/>
      <c r="F33" s="247"/>
      <c r="G33" s="247"/>
      <c r="H33" s="247"/>
      <c r="I33" s="247"/>
      <c r="J33" s="247"/>
      <c r="K33" s="247"/>
      <c r="M33" s="315"/>
      <c r="N33" s="315"/>
      <c r="O33" s="315"/>
      <c r="P33" s="315"/>
      <c r="Q33" s="315"/>
      <c r="R33" s="315"/>
      <c r="S33" s="315"/>
      <c r="T33" s="315"/>
      <c r="U33" s="315"/>
      <c r="V33" s="315"/>
      <c r="W33" s="315"/>
      <c r="X33" s="315"/>
      <c r="Y33" s="315"/>
      <c r="Z33" s="315"/>
    </row>
    <row r="34" spans="1:26">
      <c r="A34" s="839">
        <f t="shared" si="2"/>
        <v>24</v>
      </c>
      <c r="B34" s="72" t="s">
        <v>956</v>
      </c>
      <c r="C34" s="247"/>
      <c r="D34" s="247"/>
      <c r="E34" s="247"/>
      <c r="F34" s="247"/>
      <c r="G34" s="247"/>
      <c r="H34" s="247"/>
      <c r="I34" s="247"/>
      <c r="J34" s="247"/>
      <c r="K34" s="247"/>
    </row>
    <row r="35" spans="1:26">
      <c r="A35" s="839">
        <f t="shared" si="2"/>
        <v>25</v>
      </c>
      <c r="B35" s="72" t="s">
        <v>904</v>
      </c>
      <c r="C35" s="247"/>
      <c r="D35" s="247"/>
      <c r="E35" s="247"/>
      <c r="F35" s="247"/>
      <c r="G35" s="247"/>
      <c r="H35" s="247"/>
      <c r="I35" s="247"/>
      <c r="J35" s="247"/>
      <c r="K35" s="247"/>
    </row>
    <row r="36" spans="1:26">
      <c r="A36" s="839">
        <f t="shared" si="2"/>
        <v>26</v>
      </c>
      <c r="B36" s="72" t="s">
        <v>905</v>
      </c>
      <c r="C36" s="247"/>
      <c r="D36" s="247"/>
      <c r="E36" s="247"/>
      <c r="F36" s="247"/>
      <c r="G36" s="247"/>
      <c r="H36" s="247"/>
      <c r="I36" s="247"/>
      <c r="J36" s="247"/>
      <c r="K36" s="247"/>
    </row>
    <row r="37" spans="1:26">
      <c r="A37" s="839">
        <f t="shared" si="2"/>
        <v>27</v>
      </c>
      <c r="B37" s="72" t="s">
        <v>906</v>
      </c>
      <c r="C37" s="247"/>
      <c r="D37" s="247"/>
      <c r="E37" s="247"/>
      <c r="F37" s="247"/>
      <c r="G37" s="247"/>
      <c r="H37" s="247"/>
      <c r="I37" s="247"/>
      <c r="J37" s="247"/>
      <c r="K37" s="247"/>
    </row>
    <row r="38" spans="1:26">
      <c r="A38" s="839">
        <f t="shared" si="2"/>
        <v>28</v>
      </c>
      <c r="B38" s="72" t="s">
        <v>907</v>
      </c>
      <c r="C38" s="247"/>
      <c r="D38" s="247"/>
      <c r="E38" s="247"/>
      <c r="F38" s="247"/>
      <c r="G38" s="247"/>
      <c r="H38" s="247"/>
      <c r="I38" s="247"/>
      <c r="J38" s="247"/>
      <c r="K38" s="247"/>
    </row>
    <row r="39" spans="1:26">
      <c r="A39" s="839">
        <f t="shared" si="2"/>
        <v>29</v>
      </c>
      <c r="B39" s="72" t="s">
        <v>908</v>
      </c>
      <c r="C39" s="247"/>
      <c r="D39" s="247"/>
      <c r="E39" s="247"/>
      <c r="F39" s="247"/>
      <c r="G39" s="247"/>
      <c r="H39" s="247"/>
      <c r="I39" s="247"/>
      <c r="J39" s="247"/>
      <c r="K39" s="247"/>
    </row>
    <row r="40" spans="1:26">
      <c r="A40" s="839">
        <f t="shared" si="2"/>
        <v>30</v>
      </c>
      <c r="B40" s="72" t="s">
        <v>909</v>
      </c>
      <c r="C40" s="247"/>
      <c r="D40" s="247"/>
      <c r="E40" s="247"/>
      <c r="F40" s="247"/>
      <c r="G40" s="247"/>
      <c r="H40" s="247"/>
      <c r="I40" s="247"/>
      <c r="J40" s="247"/>
      <c r="K40" s="247"/>
    </row>
    <row r="41" spans="1:26">
      <c r="A41" s="839">
        <f t="shared" si="2"/>
        <v>31</v>
      </c>
      <c r="B41" s="72" t="s">
        <v>910</v>
      </c>
      <c r="C41" s="247"/>
      <c r="D41" s="247"/>
      <c r="E41" s="247"/>
      <c r="F41" s="247"/>
      <c r="G41" s="247"/>
      <c r="H41" s="247"/>
      <c r="I41" s="247"/>
      <c r="J41" s="247"/>
      <c r="K41" s="247"/>
    </row>
    <row r="42" spans="1:26">
      <c r="A42" s="839">
        <f t="shared" si="2"/>
        <v>32</v>
      </c>
      <c r="B42" s="72" t="s">
        <v>911</v>
      </c>
      <c r="C42" s="247"/>
      <c r="D42" s="247"/>
      <c r="E42" s="247"/>
      <c r="F42" s="247"/>
      <c r="G42" s="247"/>
      <c r="H42" s="247"/>
      <c r="I42" s="247"/>
      <c r="J42" s="247"/>
      <c r="K42" s="247"/>
    </row>
    <row r="43" spans="1:26">
      <c r="A43" s="839">
        <f t="shared" si="2"/>
        <v>33</v>
      </c>
      <c r="B43" s="72" t="s">
        <v>912</v>
      </c>
      <c r="C43" s="247"/>
      <c r="D43" s="247"/>
      <c r="E43" s="247"/>
      <c r="F43" s="247"/>
      <c r="G43" s="247"/>
      <c r="H43" s="247"/>
      <c r="I43" s="247"/>
      <c r="J43" s="247"/>
      <c r="K43" s="247"/>
    </row>
    <row r="44" spans="1:26">
      <c r="A44" s="839">
        <f t="shared" si="2"/>
        <v>34</v>
      </c>
      <c r="B44" s="72" t="s">
        <v>913</v>
      </c>
      <c r="C44" s="247"/>
      <c r="D44" s="247"/>
      <c r="E44" s="247"/>
      <c r="F44" s="247"/>
      <c r="G44" s="247"/>
      <c r="H44" s="247"/>
      <c r="I44" s="247"/>
      <c r="J44" s="247"/>
      <c r="K44" s="247"/>
    </row>
    <row r="45" spans="1:26">
      <c r="A45" s="839">
        <f t="shared" si="2"/>
        <v>35</v>
      </c>
      <c r="B45" s="72" t="s">
        <v>914</v>
      </c>
      <c r="C45" s="250"/>
      <c r="D45" s="250"/>
      <c r="E45" s="250"/>
      <c r="F45" s="250"/>
      <c r="G45" s="250"/>
      <c r="H45" s="250"/>
      <c r="I45" s="250"/>
      <c r="J45" s="250"/>
      <c r="K45" s="250"/>
    </row>
    <row r="46" spans="1:26" ht="25.5">
      <c r="A46" s="839">
        <f t="shared" si="2"/>
        <v>36</v>
      </c>
      <c r="B46" s="850" t="str">
        <f>"13 Month Avg. (Lns "&amp;A33&amp;" - "&amp;A45&amp;")"</f>
        <v>13 Month Avg. (Lns 23 - 35)</v>
      </c>
      <c r="C46" s="169">
        <f t="shared" ref="C46:K46" si="4">IF(C45=0,0,AVERAGE(C33:C45))</f>
        <v>0</v>
      </c>
      <c r="D46" s="169">
        <f t="shared" si="4"/>
        <v>0</v>
      </c>
      <c r="E46" s="169">
        <f t="shared" si="4"/>
        <v>0</v>
      </c>
      <c r="F46" s="169">
        <f t="shared" si="4"/>
        <v>0</v>
      </c>
      <c r="G46" s="169">
        <f t="shared" si="4"/>
        <v>0</v>
      </c>
      <c r="H46" s="169">
        <f t="shared" si="4"/>
        <v>0</v>
      </c>
      <c r="I46" s="169">
        <f t="shared" si="4"/>
        <v>0</v>
      </c>
      <c r="J46" s="169">
        <f t="shared" si="4"/>
        <v>0</v>
      </c>
      <c r="K46" s="169">
        <f t="shared" si="4"/>
        <v>0</v>
      </c>
    </row>
    <row r="47" spans="1:26">
      <c r="A47" s="839">
        <f t="shared" si="2"/>
        <v>37</v>
      </c>
      <c r="B47" s="1238" t="s">
        <v>958</v>
      </c>
      <c r="C47" s="169"/>
      <c r="D47" s="169"/>
      <c r="E47" s="169"/>
      <c r="F47" s="169"/>
      <c r="G47" s="169"/>
      <c r="H47" s="169"/>
      <c r="I47" s="169"/>
      <c r="J47" s="169"/>
    </row>
    <row r="48" spans="1:26">
      <c r="A48" s="839">
        <f t="shared" si="2"/>
        <v>38</v>
      </c>
      <c r="B48" s="1238"/>
      <c r="C48" s="852"/>
      <c r="D48" s="250"/>
      <c r="E48" s="250"/>
      <c r="F48" s="250"/>
      <c r="G48" s="250"/>
      <c r="H48" s="250"/>
      <c r="I48" s="852"/>
      <c r="J48" s="852"/>
      <c r="K48" s="250"/>
    </row>
    <row r="49" spans="1:30" ht="13.5" thickBot="1">
      <c r="A49" s="839">
        <f t="shared" si="2"/>
        <v>39</v>
      </c>
    </row>
    <row r="50" spans="1:30" ht="13.5" thickBot="1">
      <c r="A50" s="839">
        <f t="shared" si="2"/>
        <v>40</v>
      </c>
      <c r="B50" s="72" t="s">
        <v>959</v>
      </c>
      <c r="C50" s="611">
        <f t="shared" ref="C50:K50" si="5">C46-C48</f>
        <v>0</v>
      </c>
      <c r="D50" s="611">
        <f t="shared" si="5"/>
        <v>0</v>
      </c>
      <c r="E50" s="611">
        <f t="shared" si="5"/>
        <v>0</v>
      </c>
      <c r="F50" s="611">
        <f t="shared" si="5"/>
        <v>0</v>
      </c>
      <c r="G50" s="611">
        <f t="shared" si="5"/>
        <v>0</v>
      </c>
      <c r="H50" s="611">
        <f t="shared" si="5"/>
        <v>0</v>
      </c>
      <c r="I50" s="611">
        <f t="shared" si="5"/>
        <v>0</v>
      </c>
      <c r="J50" s="611">
        <f t="shared" si="5"/>
        <v>0</v>
      </c>
      <c r="K50" s="611">
        <f t="shared" si="5"/>
        <v>0</v>
      </c>
    </row>
    <row r="51" spans="1:30">
      <c r="A51" s="839">
        <f t="shared" si="2"/>
        <v>41</v>
      </c>
      <c r="C51" s="93"/>
    </row>
    <row r="52" spans="1:30">
      <c r="A52" s="839">
        <f t="shared" si="2"/>
        <v>42</v>
      </c>
      <c r="B52" s="843" t="s">
        <v>967</v>
      </c>
      <c r="C52" s="93"/>
    </row>
    <row r="53" spans="1:30">
      <c r="A53" s="839">
        <f t="shared" si="2"/>
        <v>43</v>
      </c>
      <c r="B53" s="847"/>
      <c r="C53" s="853"/>
    </row>
    <row r="54" spans="1:30" ht="25.5">
      <c r="A54" s="839">
        <f t="shared" si="2"/>
        <v>44</v>
      </c>
      <c r="B54" s="847"/>
      <c r="C54" s="848" t="s">
        <v>945</v>
      </c>
      <c r="D54" s="848" t="s">
        <v>947</v>
      </c>
      <c r="E54" s="848" t="s">
        <v>948</v>
      </c>
      <c r="F54" s="848" t="s">
        <v>949</v>
      </c>
      <c r="G54" s="849" t="s">
        <v>950</v>
      </c>
      <c r="H54" s="848" t="s">
        <v>951</v>
      </c>
      <c r="I54" s="848" t="s">
        <v>953</v>
      </c>
      <c r="J54" s="848" t="s">
        <v>954</v>
      </c>
      <c r="K54" s="848" t="s">
        <v>955</v>
      </c>
    </row>
    <row r="55" spans="1:30" ht="26.25" thickBot="1">
      <c r="A55" s="839">
        <f t="shared" si="2"/>
        <v>45</v>
      </c>
      <c r="B55" s="850" t="s">
        <v>167</v>
      </c>
      <c r="C55" s="850" t="s">
        <v>182</v>
      </c>
      <c r="D55" s="850" t="s">
        <v>183</v>
      </c>
      <c r="E55" s="850" t="s">
        <v>184</v>
      </c>
      <c r="F55" s="850" t="s">
        <v>185</v>
      </c>
      <c r="G55" s="850" t="s">
        <v>186</v>
      </c>
      <c r="H55" s="850" t="s">
        <v>187</v>
      </c>
      <c r="I55" s="850" t="s">
        <v>188</v>
      </c>
      <c r="J55" s="850" t="s">
        <v>189</v>
      </c>
      <c r="K55" s="850" t="s">
        <v>189</v>
      </c>
    </row>
    <row r="56" spans="1:30" ht="13.5" thickBot="1">
      <c r="A56" s="839">
        <f t="shared" si="2"/>
        <v>46</v>
      </c>
      <c r="B56" s="72" t="s">
        <v>795</v>
      </c>
      <c r="C56" s="854"/>
      <c r="D56" s="854"/>
      <c r="E56" s="854"/>
      <c r="F56" s="854"/>
      <c r="G56" s="854"/>
      <c r="H56" s="854"/>
      <c r="I56" s="854"/>
      <c r="J56" s="854"/>
      <c r="K56" s="854"/>
      <c r="L56" s="93"/>
    </row>
    <row r="57" spans="1:30">
      <c r="A57" s="839">
        <f t="shared" si="2"/>
        <v>47</v>
      </c>
      <c r="C57" s="93"/>
    </row>
    <row r="58" spans="1:30">
      <c r="A58" s="839">
        <f t="shared" si="2"/>
        <v>48</v>
      </c>
      <c r="B58" s="843" t="s">
        <v>1698</v>
      </c>
      <c r="C58" s="635"/>
      <c r="D58" s="313"/>
    </row>
    <row r="59" spans="1:30">
      <c r="A59" s="839">
        <f t="shared" si="2"/>
        <v>49</v>
      </c>
      <c r="B59" s="843"/>
      <c r="C59" s="635"/>
      <c r="D59" s="313"/>
    </row>
    <row r="60" spans="1:30">
      <c r="A60" s="839">
        <f t="shared" si="2"/>
        <v>50</v>
      </c>
      <c r="B60" s="855" t="s">
        <v>962</v>
      </c>
    </row>
    <row r="61" spans="1:30">
      <c r="A61" s="839">
        <f>A60+1</f>
        <v>51</v>
      </c>
      <c r="B61" s="847"/>
    </row>
    <row r="62" spans="1:30" ht="25.5" customHeight="1">
      <c r="A62" s="839">
        <f t="shared" si="2"/>
        <v>52</v>
      </c>
      <c r="B62" s="847"/>
      <c r="C62" s="1234" t="s">
        <v>982</v>
      </c>
      <c r="D62" s="1235"/>
      <c r="E62" s="1235"/>
      <c r="F62" s="1236"/>
      <c r="G62" s="1231" t="s">
        <v>951</v>
      </c>
      <c r="H62" s="1232"/>
      <c r="I62" s="1233"/>
      <c r="J62" s="1231" t="s">
        <v>953</v>
      </c>
      <c r="K62" s="1232"/>
      <c r="L62" s="1233"/>
      <c r="M62" s="1231" t="s">
        <v>954</v>
      </c>
      <c r="N62" s="1232"/>
      <c r="O62" s="1232"/>
      <c r="P62" s="1233"/>
      <c r="Q62" s="1231" t="s">
        <v>955</v>
      </c>
      <c r="R62" s="1232"/>
      <c r="S62" s="1233"/>
    </row>
    <row r="63" spans="1:30" ht="25.5">
      <c r="A63" s="839">
        <f t="shared" si="2"/>
        <v>53</v>
      </c>
      <c r="C63" s="856" t="s">
        <v>946</v>
      </c>
      <c r="D63" s="856" t="s">
        <v>963</v>
      </c>
      <c r="E63" s="1160" t="s">
        <v>1793</v>
      </c>
      <c r="F63" s="856" t="s">
        <v>795</v>
      </c>
      <c r="G63" s="857" t="s">
        <v>963</v>
      </c>
      <c r="H63" s="1160" t="s">
        <v>1793</v>
      </c>
      <c r="I63" s="1162" t="s">
        <v>795</v>
      </c>
      <c r="J63" s="857" t="s">
        <v>963</v>
      </c>
      <c r="K63" s="1160" t="s">
        <v>1793</v>
      </c>
      <c r="L63" s="1162" t="s">
        <v>795</v>
      </c>
      <c r="M63" s="857" t="s">
        <v>946</v>
      </c>
      <c r="N63" s="857" t="s">
        <v>964</v>
      </c>
      <c r="O63" s="858" t="s">
        <v>965</v>
      </c>
      <c r="P63" s="856" t="s">
        <v>795</v>
      </c>
      <c r="Q63" s="857" t="s">
        <v>963</v>
      </c>
      <c r="R63" s="1160" t="s">
        <v>1793</v>
      </c>
      <c r="S63" s="1162" t="s">
        <v>795</v>
      </c>
    </row>
    <row r="64" spans="1:30">
      <c r="A64" s="839">
        <f t="shared" si="2"/>
        <v>54</v>
      </c>
      <c r="B64" s="72" t="s">
        <v>914</v>
      </c>
      <c r="C64" s="836"/>
      <c r="D64" s="836"/>
      <c r="E64" s="836"/>
      <c r="F64" s="93">
        <f>SUM(C64:E64)</f>
        <v>0</v>
      </c>
      <c r="G64" s="836"/>
      <c r="H64" s="836"/>
      <c r="I64" s="93">
        <f>SUM(G64:H64)</f>
        <v>0</v>
      </c>
      <c r="J64" s="836"/>
      <c r="K64" s="836"/>
      <c r="L64" s="93">
        <f>SUM(J64:K64)</f>
        <v>0</v>
      </c>
      <c r="M64" s="836"/>
      <c r="N64" s="836"/>
      <c r="O64" s="836"/>
      <c r="P64" s="93">
        <f>SUM(M64:O64)</f>
        <v>0</v>
      </c>
      <c r="Q64" s="836"/>
      <c r="R64" s="836"/>
      <c r="S64" s="93">
        <f>SUM(Q64:R64)</f>
        <v>0</v>
      </c>
      <c r="T64" s="315"/>
      <c r="U64" s="315"/>
      <c r="V64" s="315"/>
      <c r="W64" s="315"/>
      <c r="X64" s="315"/>
      <c r="Y64" s="315"/>
      <c r="Z64" s="315"/>
      <c r="AA64" s="315"/>
      <c r="AB64" s="315"/>
      <c r="AC64" s="315"/>
      <c r="AD64" s="315"/>
    </row>
    <row r="65" spans="1:19">
      <c r="A65" s="839">
        <f t="shared" si="2"/>
        <v>55</v>
      </c>
      <c r="B65" s="72" t="s">
        <v>956</v>
      </c>
      <c r="C65" s="836"/>
      <c r="D65" s="836"/>
      <c r="E65" s="836"/>
      <c r="F65" s="93">
        <f t="shared" ref="F65:F76" si="6">SUM(C65:E65)</f>
        <v>0</v>
      </c>
      <c r="G65" s="247"/>
      <c r="H65" s="247"/>
      <c r="I65" s="93">
        <f t="shared" ref="I65:I76" si="7">SUM(G65:H65)</f>
        <v>0</v>
      </c>
      <c r="J65" s="836"/>
      <c r="K65" s="836"/>
      <c r="L65" s="93">
        <f t="shared" ref="L65:L76" si="8">SUM(J65:K65)</f>
        <v>0</v>
      </c>
      <c r="M65" s="247"/>
      <c r="N65" s="247"/>
      <c r="O65" s="836"/>
      <c r="P65" s="93">
        <f t="shared" ref="P65:P76" si="9">SUM(M65:O65)</f>
        <v>0</v>
      </c>
      <c r="Q65" s="247"/>
      <c r="R65" s="247"/>
      <c r="S65" s="93">
        <f t="shared" ref="S65:S76" si="10">SUM(Q65:R65)</f>
        <v>0</v>
      </c>
    </row>
    <row r="66" spans="1:19">
      <c r="A66" s="839">
        <f t="shared" si="2"/>
        <v>56</v>
      </c>
      <c r="B66" s="72" t="s">
        <v>904</v>
      </c>
      <c r="C66" s="836"/>
      <c r="D66" s="836"/>
      <c r="E66" s="836"/>
      <c r="F66" s="93">
        <f t="shared" si="6"/>
        <v>0</v>
      </c>
      <c r="G66" s="247"/>
      <c r="H66" s="247"/>
      <c r="I66" s="93">
        <f t="shared" si="7"/>
        <v>0</v>
      </c>
      <c r="J66" s="836"/>
      <c r="K66" s="836"/>
      <c r="L66" s="93">
        <f t="shared" si="8"/>
        <v>0</v>
      </c>
      <c r="M66" s="247"/>
      <c r="N66" s="247"/>
      <c r="O66" s="836"/>
      <c r="P66" s="93">
        <f t="shared" si="9"/>
        <v>0</v>
      </c>
      <c r="Q66" s="247"/>
      <c r="R66" s="247"/>
      <c r="S66" s="93">
        <f t="shared" si="10"/>
        <v>0</v>
      </c>
    </row>
    <row r="67" spans="1:19">
      <c r="A67" s="839">
        <f t="shared" si="2"/>
        <v>57</v>
      </c>
      <c r="B67" s="72" t="s">
        <v>905</v>
      </c>
      <c r="C67" s="836"/>
      <c r="D67" s="836"/>
      <c r="E67" s="836"/>
      <c r="F67" s="93">
        <f t="shared" si="6"/>
        <v>0</v>
      </c>
      <c r="G67" s="247"/>
      <c r="H67" s="247"/>
      <c r="I67" s="93">
        <f t="shared" si="7"/>
        <v>0</v>
      </c>
      <c r="J67" s="836"/>
      <c r="K67" s="836"/>
      <c r="L67" s="93">
        <f t="shared" si="8"/>
        <v>0</v>
      </c>
      <c r="M67" s="247"/>
      <c r="N67" s="247"/>
      <c r="O67" s="836"/>
      <c r="P67" s="93">
        <f t="shared" si="9"/>
        <v>0</v>
      </c>
      <c r="Q67" s="247"/>
      <c r="R67" s="247"/>
      <c r="S67" s="93">
        <f t="shared" si="10"/>
        <v>0</v>
      </c>
    </row>
    <row r="68" spans="1:19">
      <c r="A68" s="839">
        <f t="shared" si="2"/>
        <v>58</v>
      </c>
      <c r="B68" s="72" t="s">
        <v>906</v>
      </c>
      <c r="C68" s="836"/>
      <c r="D68" s="836"/>
      <c r="E68" s="836"/>
      <c r="F68" s="93">
        <f t="shared" si="6"/>
        <v>0</v>
      </c>
      <c r="G68" s="247"/>
      <c r="H68" s="247"/>
      <c r="I68" s="93">
        <f t="shared" si="7"/>
        <v>0</v>
      </c>
      <c r="J68" s="836"/>
      <c r="K68" s="836"/>
      <c r="L68" s="93">
        <f t="shared" si="8"/>
        <v>0</v>
      </c>
      <c r="M68" s="247"/>
      <c r="N68" s="247"/>
      <c r="O68" s="836"/>
      <c r="P68" s="93">
        <f t="shared" si="9"/>
        <v>0</v>
      </c>
      <c r="Q68" s="247"/>
      <c r="R68" s="247"/>
      <c r="S68" s="93">
        <f t="shared" si="10"/>
        <v>0</v>
      </c>
    </row>
    <row r="69" spans="1:19">
      <c r="A69" s="839">
        <f t="shared" si="2"/>
        <v>59</v>
      </c>
      <c r="B69" s="72" t="s">
        <v>907</v>
      </c>
      <c r="C69" s="836"/>
      <c r="D69" s="836"/>
      <c r="E69" s="836"/>
      <c r="F69" s="93">
        <f t="shared" si="6"/>
        <v>0</v>
      </c>
      <c r="G69" s="247"/>
      <c r="H69" s="247"/>
      <c r="I69" s="93">
        <f t="shared" si="7"/>
        <v>0</v>
      </c>
      <c r="J69" s="836"/>
      <c r="K69" s="836"/>
      <c r="L69" s="93">
        <f t="shared" si="8"/>
        <v>0</v>
      </c>
      <c r="M69" s="247"/>
      <c r="N69" s="247"/>
      <c r="O69" s="836"/>
      <c r="P69" s="93">
        <f t="shared" si="9"/>
        <v>0</v>
      </c>
      <c r="Q69" s="247"/>
      <c r="R69" s="247"/>
      <c r="S69" s="93">
        <f t="shared" si="10"/>
        <v>0</v>
      </c>
    </row>
    <row r="70" spans="1:19">
      <c r="A70" s="839">
        <f t="shared" si="2"/>
        <v>60</v>
      </c>
      <c r="B70" s="72" t="s">
        <v>908</v>
      </c>
      <c r="C70" s="836"/>
      <c r="D70" s="836"/>
      <c r="E70" s="836"/>
      <c r="F70" s="93">
        <f t="shared" si="6"/>
        <v>0</v>
      </c>
      <c r="G70" s="247"/>
      <c r="H70" s="247"/>
      <c r="I70" s="93">
        <f t="shared" si="7"/>
        <v>0</v>
      </c>
      <c r="J70" s="836"/>
      <c r="K70" s="836"/>
      <c r="L70" s="93">
        <f t="shared" si="8"/>
        <v>0</v>
      </c>
      <c r="M70" s="247"/>
      <c r="N70" s="247"/>
      <c r="O70" s="836"/>
      <c r="P70" s="93">
        <f t="shared" si="9"/>
        <v>0</v>
      </c>
      <c r="Q70" s="247"/>
      <c r="R70" s="247"/>
      <c r="S70" s="93">
        <f t="shared" si="10"/>
        <v>0</v>
      </c>
    </row>
    <row r="71" spans="1:19">
      <c r="A71" s="839">
        <f t="shared" si="2"/>
        <v>61</v>
      </c>
      <c r="B71" s="72" t="s">
        <v>909</v>
      </c>
      <c r="C71" s="836"/>
      <c r="D71" s="836"/>
      <c r="E71" s="836"/>
      <c r="F71" s="93">
        <f t="shared" si="6"/>
        <v>0</v>
      </c>
      <c r="G71" s="247"/>
      <c r="H71" s="247"/>
      <c r="I71" s="93">
        <f t="shared" si="7"/>
        <v>0</v>
      </c>
      <c r="J71" s="836"/>
      <c r="K71" s="836"/>
      <c r="L71" s="93">
        <f t="shared" si="8"/>
        <v>0</v>
      </c>
      <c r="M71" s="247"/>
      <c r="N71" s="247"/>
      <c r="O71" s="836"/>
      <c r="P71" s="93">
        <f t="shared" si="9"/>
        <v>0</v>
      </c>
      <c r="Q71" s="247"/>
      <c r="R71" s="247"/>
      <c r="S71" s="93">
        <f t="shared" si="10"/>
        <v>0</v>
      </c>
    </row>
    <row r="72" spans="1:19">
      <c r="A72" s="839">
        <f t="shared" si="2"/>
        <v>62</v>
      </c>
      <c r="B72" s="72" t="s">
        <v>910</v>
      </c>
      <c r="C72" s="836"/>
      <c r="D72" s="836"/>
      <c r="E72" s="836"/>
      <c r="F72" s="93">
        <f t="shared" si="6"/>
        <v>0</v>
      </c>
      <c r="G72" s="247"/>
      <c r="H72" s="247"/>
      <c r="I72" s="93">
        <f t="shared" si="7"/>
        <v>0</v>
      </c>
      <c r="J72" s="836"/>
      <c r="K72" s="836"/>
      <c r="L72" s="93">
        <f t="shared" si="8"/>
        <v>0</v>
      </c>
      <c r="M72" s="247"/>
      <c r="N72" s="247"/>
      <c r="O72" s="836"/>
      <c r="P72" s="93">
        <f t="shared" si="9"/>
        <v>0</v>
      </c>
      <c r="Q72" s="247"/>
      <c r="R72" s="247"/>
      <c r="S72" s="93">
        <f t="shared" si="10"/>
        <v>0</v>
      </c>
    </row>
    <row r="73" spans="1:19">
      <c r="A73" s="839">
        <f t="shared" si="2"/>
        <v>63</v>
      </c>
      <c r="B73" s="72" t="s">
        <v>911</v>
      </c>
      <c r="C73" s="836"/>
      <c r="D73" s="836"/>
      <c r="E73" s="836"/>
      <c r="F73" s="93">
        <f t="shared" si="6"/>
        <v>0</v>
      </c>
      <c r="G73" s="247"/>
      <c r="H73" s="247"/>
      <c r="I73" s="93">
        <f t="shared" si="7"/>
        <v>0</v>
      </c>
      <c r="J73" s="836"/>
      <c r="K73" s="836"/>
      <c r="L73" s="93">
        <f t="shared" si="8"/>
        <v>0</v>
      </c>
      <c r="M73" s="247"/>
      <c r="N73" s="247"/>
      <c r="O73" s="836"/>
      <c r="P73" s="93">
        <f t="shared" si="9"/>
        <v>0</v>
      </c>
      <c r="Q73" s="247"/>
      <c r="R73" s="247"/>
      <c r="S73" s="93">
        <f t="shared" si="10"/>
        <v>0</v>
      </c>
    </row>
    <row r="74" spans="1:19">
      <c r="A74" s="839">
        <f t="shared" si="2"/>
        <v>64</v>
      </c>
      <c r="B74" s="72" t="s">
        <v>912</v>
      </c>
      <c r="C74" s="836"/>
      <c r="D74" s="836"/>
      <c r="E74" s="836"/>
      <c r="F74" s="93">
        <f t="shared" si="6"/>
        <v>0</v>
      </c>
      <c r="G74" s="247"/>
      <c r="H74" s="247"/>
      <c r="I74" s="93">
        <f t="shared" si="7"/>
        <v>0</v>
      </c>
      <c r="J74" s="836"/>
      <c r="K74" s="836"/>
      <c r="L74" s="93">
        <f t="shared" si="8"/>
        <v>0</v>
      </c>
      <c r="M74" s="247"/>
      <c r="N74" s="247"/>
      <c r="O74" s="836"/>
      <c r="P74" s="93">
        <f t="shared" si="9"/>
        <v>0</v>
      </c>
      <c r="Q74" s="247"/>
      <c r="R74" s="247"/>
      <c r="S74" s="93">
        <f t="shared" si="10"/>
        <v>0</v>
      </c>
    </row>
    <row r="75" spans="1:19">
      <c r="A75" s="839">
        <f t="shared" si="2"/>
        <v>65</v>
      </c>
      <c r="B75" s="72" t="s">
        <v>913</v>
      </c>
      <c r="C75" s="836"/>
      <c r="D75" s="836"/>
      <c r="E75" s="836"/>
      <c r="F75" s="93">
        <f t="shared" si="6"/>
        <v>0</v>
      </c>
      <c r="G75" s="247"/>
      <c r="H75" s="247"/>
      <c r="I75" s="93">
        <f t="shared" si="7"/>
        <v>0</v>
      </c>
      <c r="J75" s="836"/>
      <c r="K75" s="836"/>
      <c r="L75" s="93">
        <f t="shared" si="8"/>
        <v>0</v>
      </c>
      <c r="M75" s="247"/>
      <c r="N75" s="247"/>
      <c r="O75" s="836"/>
      <c r="P75" s="93">
        <f t="shared" si="9"/>
        <v>0</v>
      </c>
      <c r="Q75" s="247"/>
      <c r="R75" s="247"/>
      <c r="S75" s="93">
        <f t="shared" si="10"/>
        <v>0</v>
      </c>
    </row>
    <row r="76" spans="1:19" ht="13.5" thickBot="1">
      <c r="A76" s="839">
        <f t="shared" si="2"/>
        <v>66</v>
      </c>
      <c r="B76" s="72" t="s">
        <v>914</v>
      </c>
      <c r="C76" s="250"/>
      <c r="D76" s="250"/>
      <c r="E76" s="250"/>
      <c r="F76" s="93">
        <f t="shared" si="6"/>
        <v>0</v>
      </c>
      <c r="G76" s="250"/>
      <c r="H76" s="250"/>
      <c r="I76" s="93">
        <f t="shared" si="7"/>
        <v>0</v>
      </c>
      <c r="J76" s="250"/>
      <c r="K76" s="250"/>
      <c r="L76" s="93">
        <f t="shared" si="8"/>
        <v>0</v>
      </c>
      <c r="M76" s="250"/>
      <c r="N76" s="250"/>
      <c r="O76" s="250"/>
      <c r="P76" s="93">
        <f t="shared" si="9"/>
        <v>0</v>
      </c>
      <c r="Q76" s="250"/>
      <c r="R76" s="250"/>
      <c r="S76" s="93">
        <f t="shared" si="10"/>
        <v>0</v>
      </c>
    </row>
    <row r="77" spans="1:19" ht="26.25" thickBot="1">
      <c r="A77" s="839">
        <f t="shared" si="2"/>
        <v>67</v>
      </c>
      <c r="B77" s="850" t="str">
        <f>"13 Month Avg. (Lns "&amp;A64&amp;" - "&amp;A76&amp;")"</f>
        <v>13 Month Avg. (Lns 54 - 66)</v>
      </c>
      <c r="C77" s="169">
        <f t="shared" ref="C77:R77" si="11">IF(C76=0,0,AVERAGE(C64:C76))</f>
        <v>0</v>
      </c>
      <c r="D77" s="169">
        <f t="shared" si="11"/>
        <v>0</v>
      </c>
      <c r="E77" s="169">
        <f t="shared" si="11"/>
        <v>0</v>
      </c>
      <c r="F77" s="611">
        <f t="shared" si="11"/>
        <v>0</v>
      </c>
      <c r="G77" s="169">
        <f t="shared" si="11"/>
        <v>0</v>
      </c>
      <c r="H77" s="169">
        <f t="shared" si="11"/>
        <v>0</v>
      </c>
      <c r="I77" s="611">
        <f t="shared" ref="I77" si="12">IF(I76=0,0,AVERAGE(I64:I76))</f>
        <v>0</v>
      </c>
      <c r="J77" s="169">
        <f t="shared" si="11"/>
        <v>0</v>
      </c>
      <c r="K77" s="169">
        <f t="shared" si="11"/>
        <v>0</v>
      </c>
      <c r="L77" s="611">
        <f t="shared" si="11"/>
        <v>0</v>
      </c>
      <c r="M77" s="169">
        <f t="shared" si="11"/>
        <v>0</v>
      </c>
      <c r="N77" s="169">
        <f t="shared" si="11"/>
        <v>0</v>
      </c>
      <c r="O77" s="169">
        <f t="shared" si="11"/>
        <v>0</v>
      </c>
      <c r="P77" s="611">
        <f t="shared" si="11"/>
        <v>0</v>
      </c>
      <c r="Q77" s="169">
        <f t="shared" si="11"/>
        <v>0</v>
      </c>
      <c r="R77" s="169">
        <f t="shared" si="11"/>
        <v>0</v>
      </c>
      <c r="S77" s="611">
        <f t="shared" ref="S77" si="13">IF(S76=0,0,AVERAGE(S64:S76))</f>
        <v>0</v>
      </c>
    </row>
    <row r="78" spans="1:19">
      <c r="A78" s="839">
        <f t="shared" si="2"/>
        <v>68</v>
      </c>
      <c r="D78" s="315"/>
      <c r="F78" s="168"/>
      <c r="G78" s="315"/>
      <c r="H78" s="315"/>
      <c r="I78" s="315"/>
      <c r="J78" s="315"/>
      <c r="K78" s="315"/>
    </row>
    <row r="79" spans="1:19">
      <c r="A79" s="839">
        <f t="shared" si="2"/>
        <v>69</v>
      </c>
      <c r="B79" s="855" t="s">
        <v>966</v>
      </c>
      <c r="F79" s="313"/>
      <c r="I79" s="93"/>
    </row>
    <row r="80" spans="1:19" ht="13.5" customHeight="1">
      <c r="A80" s="839">
        <f t="shared" si="2"/>
        <v>70</v>
      </c>
      <c r="B80" s="855"/>
      <c r="F80" s="313"/>
      <c r="I80" s="93"/>
    </row>
    <row r="81" spans="1:30" ht="27" customHeight="1">
      <c r="A81" s="839">
        <f t="shared" si="2"/>
        <v>71</v>
      </c>
      <c r="B81" s="855"/>
      <c r="C81" s="1234" t="s">
        <v>982</v>
      </c>
      <c r="D81" s="1235"/>
      <c r="E81" s="1235"/>
      <c r="F81" s="1236"/>
      <c r="G81" s="1231" t="s">
        <v>951</v>
      </c>
      <c r="H81" s="1232"/>
      <c r="I81" s="1233"/>
      <c r="J81" s="1231" t="s">
        <v>953</v>
      </c>
      <c r="K81" s="1232"/>
      <c r="L81" s="1233"/>
      <c r="M81" s="1231" t="s">
        <v>954</v>
      </c>
      <c r="N81" s="1232"/>
      <c r="O81" s="1232"/>
      <c r="P81" s="1233"/>
      <c r="Q81" s="1231" t="s">
        <v>955</v>
      </c>
      <c r="R81" s="1232"/>
      <c r="S81" s="1233"/>
    </row>
    <row r="82" spans="1:30" ht="27" customHeight="1">
      <c r="A82" s="839">
        <f t="shared" si="2"/>
        <v>72</v>
      </c>
      <c r="C82" s="856" t="s">
        <v>946</v>
      </c>
      <c r="D82" s="856" t="s">
        <v>963</v>
      </c>
      <c r="E82" s="1160" t="s">
        <v>1793</v>
      </c>
      <c r="F82" s="856" t="s">
        <v>795</v>
      </c>
      <c r="G82" s="857" t="s">
        <v>963</v>
      </c>
      <c r="H82" s="1160" t="s">
        <v>1793</v>
      </c>
      <c r="I82" s="1162" t="s">
        <v>795</v>
      </c>
      <c r="J82" s="857" t="s">
        <v>963</v>
      </c>
      <c r="K82" s="1160" t="s">
        <v>1793</v>
      </c>
      <c r="L82" s="1162" t="s">
        <v>795</v>
      </c>
      <c r="M82" s="857" t="s">
        <v>946</v>
      </c>
      <c r="N82" s="857" t="s">
        <v>964</v>
      </c>
      <c r="O82" s="858" t="s">
        <v>965</v>
      </c>
      <c r="P82" s="856" t="s">
        <v>795</v>
      </c>
      <c r="Q82" s="857" t="s">
        <v>963</v>
      </c>
      <c r="R82" s="1160" t="s">
        <v>1793</v>
      </c>
      <c r="S82" s="1162" t="s">
        <v>795</v>
      </c>
    </row>
    <row r="83" spans="1:30">
      <c r="A83" s="839">
        <f t="shared" si="2"/>
        <v>73</v>
      </c>
      <c r="B83" s="72" t="s">
        <v>914</v>
      </c>
      <c r="C83" s="247"/>
      <c r="D83" s="247"/>
      <c r="E83" s="247"/>
      <c r="F83" s="93">
        <f>SUM(C83:E83)</f>
        <v>0</v>
      </c>
      <c r="G83" s="247"/>
      <c r="H83" s="836"/>
      <c r="I83" s="93">
        <f>SUM(G83:H83)</f>
        <v>0</v>
      </c>
      <c r="J83" s="836"/>
      <c r="K83" s="836"/>
      <c r="L83" s="93">
        <f>SUM(J83:K83)</f>
        <v>0</v>
      </c>
      <c r="M83" s="247"/>
      <c r="N83" s="247"/>
      <c r="O83" s="247"/>
      <c r="P83" s="93">
        <f>SUM(M83:O83)</f>
        <v>0</v>
      </c>
      <c r="Q83" s="247"/>
      <c r="R83" s="836"/>
      <c r="S83" s="93">
        <f>SUM(Q83:R83)</f>
        <v>0</v>
      </c>
      <c r="T83" s="315"/>
      <c r="U83" s="315"/>
      <c r="V83" s="315"/>
      <c r="W83" s="315"/>
      <c r="X83" s="315"/>
      <c r="Y83" s="315"/>
      <c r="Z83" s="315"/>
      <c r="AA83" s="315"/>
      <c r="AB83" s="315"/>
      <c r="AC83" s="315"/>
      <c r="AD83" s="315"/>
    </row>
    <row r="84" spans="1:30">
      <c r="A84" s="839">
        <f t="shared" si="2"/>
        <v>74</v>
      </c>
      <c r="B84" s="72" t="s">
        <v>956</v>
      </c>
      <c r="C84" s="247"/>
      <c r="D84" s="247"/>
      <c r="E84" s="247"/>
      <c r="F84" s="93">
        <f t="shared" ref="F84:F95" si="14">SUM(C84:E84)</f>
        <v>0</v>
      </c>
      <c r="G84" s="247"/>
      <c r="H84" s="836"/>
      <c r="I84" s="93">
        <f t="shared" ref="I84:I95" si="15">SUM(G84:H84)</f>
        <v>0</v>
      </c>
      <c r="J84" s="836"/>
      <c r="K84" s="836"/>
      <c r="L84" s="93">
        <f t="shared" ref="L84:L95" si="16">SUM(J84:K84)</f>
        <v>0</v>
      </c>
      <c r="M84" s="247"/>
      <c r="N84" s="247"/>
      <c r="O84" s="247"/>
      <c r="P84" s="93">
        <f t="shared" ref="P84:P95" si="17">SUM(M84:O84)</f>
        <v>0</v>
      </c>
      <c r="Q84" s="247"/>
      <c r="R84" s="836"/>
      <c r="S84" s="93">
        <f t="shared" ref="S84:S95" si="18">SUM(Q84:R84)</f>
        <v>0</v>
      </c>
    </row>
    <row r="85" spans="1:30">
      <c r="A85" s="839">
        <f t="shared" si="2"/>
        <v>75</v>
      </c>
      <c r="B85" s="72" t="s">
        <v>904</v>
      </c>
      <c r="C85" s="247"/>
      <c r="D85" s="247"/>
      <c r="E85" s="247"/>
      <c r="F85" s="93">
        <f t="shared" si="14"/>
        <v>0</v>
      </c>
      <c r="G85" s="247"/>
      <c r="H85" s="836"/>
      <c r="I85" s="93">
        <f t="shared" si="15"/>
        <v>0</v>
      </c>
      <c r="J85" s="836"/>
      <c r="K85" s="836"/>
      <c r="L85" s="93">
        <f t="shared" si="16"/>
        <v>0</v>
      </c>
      <c r="M85" s="247"/>
      <c r="N85" s="247"/>
      <c r="O85" s="247"/>
      <c r="P85" s="93">
        <f t="shared" si="17"/>
        <v>0</v>
      </c>
      <c r="Q85" s="247"/>
      <c r="R85" s="836"/>
      <c r="S85" s="93">
        <f t="shared" si="18"/>
        <v>0</v>
      </c>
    </row>
    <row r="86" spans="1:30">
      <c r="A86" s="839">
        <f t="shared" si="2"/>
        <v>76</v>
      </c>
      <c r="B86" s="72" t="s">
        <v>905</v>
      </c>
      <c r="C86" s="247"/>
      <c r="D86" s="247"/>
      <c r="E86" s="247"/>
      <c r="F86" s="93">
        <f t="shared" si="14"/>
        <v>0</v>
      </c>
      <c r="G86" s="247"/>
      <c r="H86" s="836"/>
      <c r="I86" s="93">
        <f t="shared" si="15"/>
        <v>0</v>
      </c>
      <c r="J86" s="836"/>
      <c r="K86" s="836"/>
      <c r="L86" s="93">
        <f t="shared" si="16"/>
        <v>0</v>
      </c>
      <c r="M86" s="247"/>
      <c r="N86" s="247"/>
      <c r="O86" s="247"/>
      <c r="P86" s="93">
        <f t="shared" si="17"/>
        <v>0</v>
      </c>
      <c r="Q86" s="247"/>
      <c r="R86" s="836"/>
      <c r="S86" s="93">
        <f t="shared" si="18"/>
        <v>0</v>
      </c>
    </row>
    <row r="87" spans="1:30">
      <c r="A87" s="839">
        <f t="shared" si="2"/>
        <v>77</v>
      </c>
      <c r="B87" s="72" t="s">
        <v>906</v>
      </c>
      <c r="C87" s="247"/>
      <c r="D87" s="247"/>
      <c r="E87" s="247"/>
      <c r="F87" s="93">
        <f t="shared" si="14"/>
        <v>0</v>
      </c>
      <c r="G87" s="247"/>
      <c r="H87" s="836"/>
      <c r="I87" s="93">
        <f t="shared" si="15"/>
        <v>0</v>
      </c>
      <c r="J87" s="836"/>
      <c r="K87" s="836"/>
      <c r="L87" s="93">
        <f t="shared" si="16"/>
        <v>0</v>
      </c>
      <c r="M87" s="247"/>
      <c r="N87" s="247"/>
      <c r="O87" s="247"/>
      <c r="P87" s="93">
        <f t="shared" si="17"/>
        <v>0</v>
      </c>
      <c r="Q87" s="247"/>
      <c r="R87" s="836"/>
      <c r="S87" s="93">
        <f t="shared" si="18"/>
        <v>0</v>
      </c>
    </row>
    <row r="88" spans="1:30">
      <c r="A88" s="839">
        <f t="shared" si="2"/>
        <v>78</v>
      </c>
      <c r="B88" s="72" t="s">
        <v>907</v>
      </c>
      <c r="C88" s="247"/>
      <c r="D88" s="247"/>
      <c r="E88" s="247"/>
      <c r="F88" s="93">
        <f t="shared" si="14"/>
        <v>0</v>
      </c>
      <c r="G88" s="247"/>
      <c r="H88" s="836"/>
      <c r="I88" s="93">
        <f t="shared" si="15"/>
        <v>0</v>
      </c>
      <c r="J88" s="836"/>
      <c r="K88" s="836"/>
      <c r="L88" s="93">
        <f t="shared" si="16"/>
        <v>0</v>
      </c>
      <c r="M88" s="247"/>
      <c r="N88" s="247"/>
      <c r="O88" s="247"/>
      <c r="P88" s="93">
        <f t="shared" si="17"/>
        <v>0</v>
      </c>
      <c r="Q88" s="247"/>
      <c r="R88" s="836"/>
      <c r="S88" s="93">
        <f t="shared" si="18"/>
        <v>0</v>
      </c>
    </row>
    <row r="89" spans="1:30">
      <c r="A89" s="839">
        <f t="shared" si="2"/>
        <v>79</v>
      </c>
      <c r="B89" s="72" t="s">
        <v>908</v>
      </c>
      <c r="C89" s="247"/>
      <c r="D89" s="247"/>
      <c r="E89" s="247"/>
      <c r="F89" s="93">
        <f t="shared" si="14"/>
        <v>0</v>
      </c>
      <c r="G89" s="247"/>
      <c r="H89" s="836"/>
      <c r="I89" s="93">
        <f t="shared" si="15"/>
        <v>0</v>
      </c>
      <c r="J89" s="836"/>
      <c r="K89" s="836"/>
      <c r="L89" s="93">
        <f t="shared" si="16"/>
        <v>0</v>
      </c>
      <c r="M89" s="247"/>
      <c r="N89" s="247"/>
      <c r="O89" s="247"/>
      <c r="P89" s="93">
        <f t="shared" si="17"/>
        <v>0</v>
      </c>
      <c r="Q89" s="247"/>
      <c r="R89" s="836"/>
      <c r="S89" s="93">
        <f t="shared" si="18"/>
        <v>0</v>
      </c>
    </row>
    <row r="90" spans="1:30">
      <c r="A90" s="839">
        <f t="shared" si="2"/>
        <v>80</v>
      </c>
      <c r="B90" s="72" t="s">
        <v>909</v>
      </c>
      <c r="C90" s="247"/>
      <c r="D90" s="247"/>
      <c r="E90" s="247"/>
      <c r="F90" s="93">
        <f t="shared" si="14"/>
        <v>0</v>
      </c>
      <c r="G90" s="247"/>
      <c r="H90" s="836"/>
      <c r="I90" s="93">
        <f t="shared" si="15"/>
        <v>0</v>
      </c>
      <c r="J90" s="836"/>
      <c r="K90" s="836"/>
      <c r="L90" s="93">
        <f t="shared" si="16"/>
        <v>0</v>
      </c>
      <c r="M90" s="247"/>
      <c r="N90" s="247"/>
      <c r="O90" s="247"/>
      <c r="P90" s="93">
        <f t="shared" si="17"/>
        <v>0</v>
      </c>
      <c r="Q90" s="247"/>
      <c r="R90" s="836"/>
      <c r="S90" s="93">
        <f t="shared" si="18"/>
        <v>0</v>
      </c>
    </row>
    <row r="91" spans="1:30">
      <c r="A91" s="839">
        <f t="shared" si="2"/>
        <v>81</v>
      </c>
      <c r="B91" s="72" t="s">
        <v>910</v>
      </c>
      <c r="C91" s="247"/>
      <c r="D91" s="247"/>
      <c r="E91" s="247"/>
      <c r="F91" s="93">
        <f t="shared" si="14"/>
        <v>0</v>
      </c>
      <c r="G91" s="247"/>
      <c r="H91" s="836"/>
      <c r="I91" s="93">
        <f t="shared" si="15"/>
        <v>0</v>
      </c>
      <c r="J91" s="836"/>
      <c r="K91" s="836"/>
      <c r="L91" s="93">
        <f t="shared" si="16"/>
        <v>0</v>
      </c>
      <c r="M91" s="247"/>
      <c r="N91" s="247"/>
      <c r="O91" s="247"/>
      <c r="P91" s="93">
        <f t="shared" si="17"/>
        <v>0</v>
      </c>
      <c r="Q91" s="247"/>
      <c r="R91" s="836"/>
      <c r="S91" s="93">
        <f t="shared" si="18"/>
        <v>0</v>
      </c>
    </row>
    <row r="92" spans="1:30">
      <c r="A92" s="839">
        <f t="shared" ref="A92:A153" si="19">A91+1</f>
        <v>82</v>
      </c>
      <c r="B92" s="72" t="s">
        <v>911</v>
      </c>
      <c r="C92" s="247"/>
      <c r="D92" s="247"/>
      <c r="E92" s="247"/>
      <c r="F92" s="93">
        <f t="shared" si="14"/>
        <v>0</v>
      </c>
      <c r="G92" s="247"/>
      <c r="H92" s="836"/>
      <c r="I92" s="93">
        <f t="shared" si="15"/>
        <v>0</v>
      </c>
      <c r="J92" s="836"/>
      <c r="K92" s="836"/>
      <c r="L92" s="93">
        <f t="shared" si="16"/>
        <v>0</v>
      </c>
      <c r="M92" s="247"/>
      <c r="N92" s="247"/>
      <c r="O92" s="247"/>
      <c r="P92" s="93">
        <f t="shared" si="17"/>
        <v>0</v>
      </c>
      <c r="Q92" s="247"/>
      <c r="R92" s="836"/>
      <c r="S92" s="93">
        <f t="shared" si="18"/>
        <v>0</v>
      </c>
    </row>
    <row r="93" spans="1:30">
      <c r="A93" s="839">
        <f t="shared" si="19"/>
        <v>83</v>
      </c>
      <c r="B93" s="72" t="s">
        <v>912</v>
      </c>
      <c r="C93" s="247"/>
      <c r="D93" s="247"/>
      <c r="E93" s="247"/>
      <c r="F93" s="93">
        <f t="shared" si="14"/>
        <v>0</v>
      </c>
      <c r="G93" s="247"/>
      <c r="H93" s="836"/>
      <c r="I93" s="93">
        <f t="shared" si="15"/>
        <v>0</v>
      </c>
      <c r="J93" s="836"/>
      <c r="K93" s="836"/>
      <c r="L93" s="93">
        <f t="shared" si="16"/>
        <v>0</v>
      </c>
      <c r="M93" s="247"/>
      <c r="N93" s="247"/>
      <c r="O93" s="247"/>
      <c r="P93" s="93">
        <f t="shared" si="17"/>
        <v>0</v>
      </c>
      <c r="Q93" s="247"/>
      <c r="R93" s="836"/>
      <c r="S93" s="93">
        <f t="shared" si="18"/>
        <v>0</v>
      </c>
    </row>
    <row r="94" spans="1:30">
      <c r="A94" s="839">
        <f t="shared" si="19"/>
        <v>84</v>
      </c>
      <c r="B94" s="72" t="s">
        <v>913</v>
      </c>
      <c r="C94" s="247"/>
      <c r="D94" s="247"/>
      <c r="E94" s="247"/>
      <c r="F94" s="93">
        <f t="shared" si="14"/>
        <v>0</v>
      </c>
      <c r="G94" s="247"/>
      <c r="H94" s="836"/>
      <c r="I94" s="93">
        <f t="shared" si="15"/>
        <v>0</v>
      </c>
      <c r="J94" s="836"/>
      <c r="K94" s="836"/>
      <c r="L94" s="93">
        <f t="shared" si="16"/>
        <v>0</v>
      </c>
      <c r="M94" s="247"/>
      <c r="N94" s="247"/>
      <c r="O94" s="247"/>
      <c r="P94" s="93">
        <f t="shared" si="17"/>
        <v>0</v>
      </c>
      <c r="Q94" s="247"/>
      <c r="R94" s="836"/>
      <c r="S94" s="93">
        <f t="shared" si="18"/>
        <v>0</v>
      </c>
    </row>
    <row r="95" spans="1:30" ht="13.5" thickBot="1">
      <c r="A95" s="839">
        <f t="shared" si="19"/>
        <v>85</v>
      </c>
      <c r="B95" s="72" t="s">
        <v>914</v>
      </c>
      <c r="C95" s="250"/>
      <c r="D95" s="250"/>
      <c r="E95" s="250"/>
      <c r="F95" s="93">
        <f t="shared" si="14"/>
        <v>0</v>
      </c>
      <c r="G95" s="250"/>
      <c r="H95" s="250"/>
      <c r="I95" s="93">
        <f t="shared" si="15"/>
        <v>0</v>
      </c>
      <c r="J95" s="250"/>
      <c r="K95" s="250"/>
      <c r="L95" s="93">
        <f t="shared" si="16"/>
        <v>0</v>
      </c>
      <c r="M95" s="250"/>
      <c r="N95" s="250"/>
      <c r="O95" s="250"/>
      <c r="P95" s="93">
        <f t="shared" si="17"/>
        <v>0</v>
      </c>
      <c r="Q95" s="250"/>
      <c r="R95" s="250"/>
      <c r="S95" s="93">
        <f t="shared" si="18"/>
        <v>0</v>
      </c>
    </row>
    <row r="96" spans="1:30" ht="26.25" thickBot="1">
      <c r="A96" s="839">
        <f t="shared" si="19"/>
        <v>86</v>
      </c>
      <c r="B96" s="850" t="str">
        <f>"13 Month Avg. (Lns "&amp;A83&amp;" - "&amp;A95&amp;")"</f>
        <v>13 Month Avg. (Lns 73 - 85)</v>
      </c>
      <c r="C96" s="169">
        <f t="shared" ref="C96:Q96" si="20">IF(C95=0,0,AVERAGE(C83:C95))</f>
        <v>0</v>
      </c>
      <c r="D96" s="169">
        <f t="shared" si="20"/>
        <v>0</v>
      </c>
      <c r="E96" s="169">
        <f t="shared" si="20"/>
        <v>0</v>
      </c>
      <c r="F96" s="611">
        <f t="shared" si="20"/>
        <v>0</v>
      </c>
      <c r="G96" s="169">
        <f t="shared" si="20"/>
        <v>0</v>
      </c>
      <c r="H96" s="169">
        <f t="shared" si="20"/>
        <v>0</v>
      </c>
      <c r="I96" s="611">
        <f t="shared" si="20"/>
        <v>0</v>
      </c>
      <c r="J96" s="169">
        <f t="shared" si="20"/>
        <v>0</v>
      </c>
      <c r="K96" s="169">
        <f t="shared" si="20"/>
        <v>0</v>
      </c>
      <c r="L96" s="611">
        <f t="shared" ref="L96" si="21">IF(L95=0,0,AVERAGE(L83:L95))</f>
        <v>0</v>
      </c>
      <c r="M96" s="169">
        <f t="shared" si="20"/>
        <v>0</v>
      </c>
      <c r="N96" s="169">
        <f t="shared" si="20"/>
        <v>0</v>
      </c>
      <c r="O96" s="169">
        <f t="shared" si="20"/>
        <v>0</v>
      </c>
      <c r="P96" s="611">
        <f t="shared" si="20"/>
        <v>0</v>
      </c>
      <c r="Q96" s="169">
        <f t="shared" si="20"/>
        <v>0</v>
      </c>
      <c r="R96" s="169">
        <f t="shared" ref="R96:S96" si="22">IF(R95=0,0,AVERAGE(R83:R95))</f>
        <v>0</v>
      </c>
      <c r="S96" s="611">
        <f t="shared" si="22"/>
        <v>0</v>
      </c>
    </row>
    <row r="97" spans="1:19">
      <c r="A97" s="839">
        <f t="shared" si="19"/>
        <v>87</v>
      </c>
      <c r="D97" s="313"/>
    </row>
    <row r="98" spans="1:19">
      <c r="A98" s="839">
        <f t="shared" si="19"/>
        <v>88</v>
      </c>
      <c r="B98" s="855" t="s">
        <v>967</v>
      </c>
      <c r="D98" s="313"/>
    </row>
    <row r="99" spans="1:19" ht="12.75" customHeight="1">
      <c r="A99" s="839">
        <f t="shared" si="19"/>
        <v>89</v>
      </c>
      <c r="B99" s="855"/>
      <c r="D99" s="313"/>
    </row>
    <row r="100" spans="1:19" ht="27.75" customHeight="1">
      <c r="A100" s="839">
        <f t="shared" si="19"/>
        <v>90</v>
      </c>
      <c r="B100" s="855"/>
      <c r="C100" s="1234" t="s">
        <v>982</v>
      </c>
      <c r="D100" s="1235"/>
      <c r="E100" s="1235"/>
      <c r="F100" s="1236"/>
      <c r="G100" s="1231" t="s">
        <v>951</v>
      </c>
      <c r="H100" s="1232"/>
      <c r="I100" s="1233"/>
      <c r="J100" s="1231" t="s">
        <v>953</v>
      </c>
      <c r="K100" s="1232"/>
      <c r="L100" s="1233"/>
      <c r="M100" s="1165" t="s">
        <v>954</v>
      </c>
      <c r="N100" s="1166"/>
      <c r="O100" s="1166"/>
      <c r="P100" s="1167"/>
      <c r="Q100" s="1231" t="s">
        <v>955</v>
      </c>
      <c r="R100" s="1232"/>
      <c r="S100" s="1233"/>
    </row>
    <row r="101" spans="1:19" ht="26.25" thickBot="1">
      <c r="A101" s="839">
        <f t="shared" si="19"/>
        <v>91</v>
      </c>
      <c r="B101" s="847"/>
      <c r="C101" s="856" t="s">
        <v>946</v>
      </c>
      <c r="D101" s="856" t="s">
        <v>963</v>
      </c>
      <c r="E101" s="1160" t="s">
        <v>1793</v>
      </c>
      <c r="F101" s="856" t="s">
        <v>795</v>
      </c>
      <c r="G101" s="861" t="s">
        <v>963</v>
      </c>
      <c r="H101" s="1161" t="s">
        <v>1793</v>
      </c>
      <c r="I101" s="1162" t="s">
        <v>795</v>
      </c>
      <c r="J101" s="861" t="s">
        <v>963</v>
      </c>
      <c r="K101" s="1161" t="s">
        <v>1793</v>
      </c>
      <c r="L101" s="1162" t="s">
        <v>795</v>
      </c>
      <c r="M101" s="857" t="s">
        <v>946</v>
      </c>
      <c r="N101" s="857" t="s">
        <v>964</v>
      </c>
      <c r="O101" s="858" t="s">
        <v>965</v>
      </c>
      <c r="P101" s="856" t="s">
        <v>795</v>
      </c>
      <c r="Q101" s="861" t="s">
        <v>963</v>
      </c>
      <c r="R101" s="1161" t="s">
        <v>1793</v>
      </c>
      <c r="S101" s="1162" t="s">
        <v>795</v>
      </c>
    </row>
    <row r="102" spans="1:19" ht="13.5" thickBot="1">
      <c r="A102" s="839">
        <f t="shared" si="19"/>
        <v>92</v>
      </c>
      <c r="B102" s="72" t="s">
        <v>968</v>
      </c>
      <c r="C102" s="1169"/>
      <c r="D102" s="1169"/>
      <c r="E102" s="1169"/>
      <c r="F102" s="1170">
        <f>SUM(C102:E102)</f>
        <v>0</v>
      </c>
      <c r="G102" s="1171"/>
      <c r="H102" s="1171"/>
      <c r="I102" s="859">
        <f>SUM(G102:H102)</f>
        <v>0</v>
      </c>
      <c r="J102" s="1171"/>
      <c r="K102" s="1171"/>
      <c r="L102" s="859">
        <f>SUM(J102:K102)</f>
        <v>0</v>
      </c>
      <c r="M102" s="1169"/>
      <c r="N102" s="1169"/>
      <c r="O102" s="1169"/>
      <c r="P102" s="1168">
        <f>SUM(M102:O102)</f>
        <v>0</v>
      </c>
      <c r="Q102" s="1171"/>
      <c r="R102" s="1171"/>
      <c r="S102" s="859">
        <f>SUM(Q102:R102)</f>
        <v>0</v>
      </c>
    </row>
    <row r="103" spans="1:19">
      <c r="A103" s="839">
        <f t="shared" si="19"/>
        <v>93</v>
      </c>
      <c r="B103" s="847"/>
      <c r="D103" s="313"/>
    </row>
    <row r="104" spans="1:19">
      <c r="A104" s="839">
        <f t="shared" si="19"/>
        <v>94</v>
      </c>
      <c r="B104" s="855" t="s">
        <v>969</v>
      </c>
      <c r="D104" s="313"/>
    </row>
    <row r="105" spans="1:19" ht="27.75" customHeight="1">
      <c r="A105" s="839">
        <f t="shared" si="19"/>
        <v>95</v>
      </c>
      <c r="B105" s="855"/>
      <c r="C105" s="1234" t="s">
        <v>982</v>
      </c>
      <c r="D105" s="1235"/>
      <c r="E105" s="1235"/>
      <c r="F105" s="1236"/>
      <c r="G105" s="1231" t="s">
        <v>951</v>
      </c>
      <c r="H105" s="1232"/>
      <c r="I105" s="1233"/>
      <c r="J105" s="1231" t="s">
        <v>953</v>
      </c>
      <c r="K105" s="1232"/>
      <c r="L105" s="1233"/>
      <c r="M105" s="1231" t="s">
        <v>954</v>
      </c>
      <c r="N105" s="1232"/>
      <c r="O105" s="1232"/>
      <c r="P105" s="1233"/>
      <c r="Q105" s="1231" t="s">
        <v>955</v>
      </c>
      <c r="R105" s="1232"/>
      <c r="S105" s="1233"/>
    </row>
    <row r="106" spans="1:19" ht="25.5">
      <c r="A106" s="839">
        <f t="shared" si="19"/>
        <v>96</v>
      </c>
      <c r="B106" s="855"/>
      <c r="C106" s="856" t="s">
        <v>946</v>
      </c>
      <c r="D106" s="856" t="s">
        <v>963</v>
      </c>
      <c r="E106" s="1160" t="s">
        <v>1793</v>
      </c>
      <c r="F106" s="856" t="s">
        <v>795</v>
      </c>
      <c r="G106" s="857" t="s">
        <v>963</v>
      </c>
      <c r="H106" s="1160" t="s">
        <v>1793</v>
      </c>
      <c r="I106" s="1162" t="s">
        <v>795</v>
      </c>
      <c r="J106" s="857" t="s">
        <v>963</v>
      </c>
      <c r="K106" s="1160" t="s">
        <v>1793</v>
      </c>
      <c r="L106" s="1162" t="s">
        <v>795</v>
      </c>
      <c r="M106" s="857" t="s">
        <v>946</v>
      </c>
      <c r="N106" s="857" t="s">
        <v>964</v>
      </c>
      <c r="O106" s="858" t="s">
        <v>965</v>
      </c>
      <c r="P106" s="856" t="s">
        <v>795</v>
      </c>
      <c r="Q106" s="857" t="s">
        <v>963</v>
      </c>
      <c r="R106" s="1160" t="s">
        <v>1793</v>
      </c>
      <c r="S106" s="1162" t="s">
        <v>795</v>
      </c>
    </row>
    <row r="107" spans="1:19">
      <c r="A107" s="839">
        <f t="shared" si="19"/>
        <v>97</v>
      </c>
      <c r="B107" s="72" t="s">
        <v>914</v>
      </c>
      <c r="C107" s="247"/>
      <c r="D107" s="247"/>
      <c r="E107" s="247"/>
      <c r="F107" s="93">
        <f>SUM(C107:E107)</f>
        <v>0</v>
      </c>
      <c r="G107" s="247"/>
      <c r="H107" s="836"/>
      <c r="I107" s="93">
        <f>SUM(G107:H107)</f>
        <v>0</v>
      </c>
      <c r="J107" s="247"/>
      <c r="K107" s="836"/>
      <c r="L107" s="93">
        <f>SUM(J107:K107)</f>
        <v>0</v>
      </c>
      <c r="M107" s="247"/>
      <c r="N107" s="247"/>
      <c r="O107" s="247"/>
      <c r="P107" s="93">
        <f>SUM(M107:O107)</f>
        <v>0</v>
      </c>
      <c r="Q107" s="247"/>
      <c r="R107" s="836"/>
      <c r="S107" s="93">
        <f>SUM(Q107:R107)</f>
        <v>0</v>
      </c>
    </row>
    <row r="108" spans="1:19">
      <c r="A108" s="839">
        <f t="shared" si="19"/>
        <v>98</v>
      </c>
      <c r="B108" s="72" t="s">
        <v>914</v>
      </c>
      <c r="C108" s="250"/>
      <c r="D108" s="250"/>
      <c r="E108" s="250"/>
      <c r="F108" s="1172">
        <f t="shared" ref="F108:F109" si="23">SUM(C108:E108)</f>
        <v>0</v>
      </c>
      <c r="G108" s="250"/>
      <c r="H108" s="250"/>
      <c r="I108" s="1172">
        <f>SUM(G108:H108)</f>
        <v>0</v>
      </c>
      <c r="J108" s="250"/>
      <c r="K108" s="250"/>
      <c r="L108" s="1172">
        <f>SUM(J108:K108)</f>
        <v>0</v>
      </c>
      <c r="M108" s="250"/>
      <c r="N108" s="250"/>
      <c r="O108" s="250"/>
      <c r="P108" s="1172">
        <f>SUM(M108:O108)</f>
        <v>0</v>
      </c>
      <c r="Q108" s="250"/>
      <c r="R108" s="250"/>
      <c r="S108" s="1172">
        <f>SUM(Q108:R108)</f>
        <v>0</v>
      </c>
    </row>
    <row r="109" spans="1:19" ht="13.5" thickBot="1">
      <c r="A109" s="839">
        <f t="shared" si="19"/>
        <v>99</v>
      </c>
      <c r="B109" s="962" t="s">
        <v>1589</v>
      </c>
      <c r="C109" s="169">
        <f>'WP_ADIT Prorate'!Q316</f>
        <v>0</v>
      </c>
      <c r="D109" s="169">
        <f>'WP_ADIT Prorate'!Q347</f>
        <v>0</v>
      </c>
      <c r="E109" s="169">
        <f>+'WP_ADIT Prorate'!Q378</f>
        <v>0</v>
      </c>
      <c r="F109" s="93">
        <f t="shared" si="23"/>
        <v>0</v>
      </c>
      <c r="G109" s="169">
        <f>'WP_ADIT Prorate'!Q409</f>
        <v>0</v>
      </c>
      <c r="H109" s="169">
        <f>+'WP_ADIT Prorate'!Q440</f>
        <v>0</v>
      </c>
      <c r="I109" s="93">
        <f>SUM(G109:H109)</f>
        <v>0</v>
      </c>
      <c r="J109" s="169">
        <f>'WP_ADIT Prorate'!Q471</f>
        <v>0</v>
      </c>
      <c r="K109" s="169">
        <f>+'WP_ADIT Prorate'!Q502</f>
        <v>0</v>
      </c>
      <c r="L109" s="93">
        <f>SUM(J109:K109)</f>
        <v>0</v>
      </c>
      <c r="M109" s="169">
        <f>'WP_ADIT Prorate'!Q533</f>
        <v>0</v>
      </c>
      <c r="N109" s="169">
        <f>'WP_ADIT Prorate'!Q564</f>
        <v>0</v>
      </c>
      <c r="O109" s="169">
        <f>'WP_ADIT Prorate'!Q595</f>
        <v>0</v>
      </c>
      <c r="P109" s="635">
        <f>SUM(M109:O109)</f>
        <v>0</v>
      </c>
      <c r="Q109" s="169">
        <f>'WP_ADIT Prorate'!Q626</f>
        <v>0</v>
      </c>
      <c r="R109" s="169">
        <f>+'WP_ADIT Prorate'!Q657</f>
        <v>0</v>
      </c>
      <c r="S109" s="93">
        <f>SUM(Q109:R109)</f>
        <v>0</v>
      </c>
    </row>
    <row r="110" spans="1:19" ht="13.5" thickBot="1">
      <c r="A110" s="839">
        <f t="shared" si="19"/>
        <v>100</v>
      </c>
      <c r="B110" s="72" t="s">
        <v>1705</v>
      </c>
      <c r="C110" s="169">
        <f>IF(C108=0,0,AVERAGE(C107:C108))-C109</f>
        <v>0</v>
      </c>
      <c r="D110" s="169">
        <f t="shared" ref="D110:S110" si="24">IF(D108=0,0,AVERAGE(D107:D108))-D109</f>
        <v>0</v>
      </c>
      <c r="E110" s="169">
        <f t="shared" si="24"/>
        <v>0</v>
      </c>
      <c r="F110" s="611">
        <f t="shared" si="24"/>
        <v>0</v>
      </c>
      <c r="G110" s="169">
        <f t="shared" si="24"/>
        <v>0</v>
      </c>
      <c r="H110" s="169">
        <f t="shared" si="24"/>
        <v>0</v>
      </c>
      <c r="I110" s="611">
        <f t="shared" ref="I110" si="25">IF(I108=0,0,AVERAGE(I107:I108))-I109</f>
        <v>0</v>
      </c>
      <c r="J110" s="611">
        <f t="shared" si="24"/>
        <v>0</v>
      </c>
      <c r="K110" s="169">
        <f t="shared" ref="K110:L110" si="26">IF(K108=0,0,AVERAGE(K107:K108))-K109</f>
        <v>0</v>
      </c>
      <c r="L110" s="611">
        <f t="shared" si="26"/>
        <v>0</v>
      </c>
      <c r="M110" s="169">
        <f t="shared" si="24"/>
        <v>0</v>
      </c>
      <c r="N110" s="169">
        <f t="shared" si="24"/>
        <v>0</v>
      </c>
      <c r="O110" s="169">
        <f t="shared" si="24"/>
        <v>0</v>
      </c>
      <c r="P110" s="611">
        <f t="shared" si="24"/>
        <v>0</v>
      </c>
      <c r="Q110" s="859">
        <f t="shared" si="24"/>
        <v>0</v>
      </c>
      <c r="R110" s="169">
        <f t="shared" si="24"/>
        <v>0</v>
      </c>
      <c r="S110" s="611">
        <f t="shared" si="24"/>
        <v>0</v>
      </c>
    </row>
    <row r="111" spans="1:19">
      <c r="A111" s="839">
        <f t="shared" si="19"/>
        <v>101</v>
      </c>
    </row>
    <row r="112" spans="1:19">
      <c r="A112" s="839">
        <f t="shared" si="19"/>
        <v>102</v>
      </c>
      <c r="C112" s="93"/>
      <c r="D112" s="93"/>
      <c r="F112" s="93"/>
      <c r="H112" s="93"/>
      <c r="I112" s="93"/>
      <c r="J112" s="93"/>
      <c r="L112" s="93"/>
    </row>
    <row r="113" spans="1:11">
      <c r="A113" s="839">
        <f t="shared" si="19"/>
        <v>103</v>
      </c>
      <c r="B113" s="847" t="s">
        <v>970</v>
      </c>
    </row>
    <row r="114" spans="1:11">
      <c r="A114" s="839">
        <f t="shared" si="19"/>
        <v>104</v>
      </c>
      <c r="C114" s="1239" t="s">
        <v>944</v>
      </c>
      <c r="D114" s="1240"/>
      <c r="E114" s="1241"/>
      <c r="F114" s="1239" t="s">
        <v>971</v>
      </c>
      <c r="G114" s="1240"/>
      <c r="H114" s="1241"/>
      <c r="I114" s="1239" t="s">
        <v>969</v>
      </c>
      <c r="J114" s="1240"/>
      <c r="K114" s="1241"/>
    </row>
    <row r="115" spans="1:11" ht="25.5">
      <c r="A115" s="839">
        <f t="shared" si="19"/>
        <v>105</v>
      </c>
      <c r="C115" s="864" t="s">
        <v>972</v>
      </c>
      <c r="D115" s="824" t="s">
        <v>973</v>
      </c>
      <c r="E115" s="865" t="s">
        <v>974</v>
      </c>
      <c r="F115" s="864" t="s">
        <v>972</v>
      </c>
      <c r="G115" s="824" t="s">
        <v>973</v>
      </c>
      <c r="H115" s="865" t="s">
        <v>974</v>
      </c>
      <c r="I115" s="864" t="s">
        <v>972</v>
      </c>
      <c r="J115" s="824" t="s">
        <v>973</v>
      </c>
      <c r="K115" s="865" t="s">
        <v>974</v>
      </c>
    </row>
    <row r="116" spans="1:11">
      <c r="A116" s="839">
        <f t="shared" si="19"/>
        <v>106</v>
      </c>
      <c r="B116" s="72" t="s">
        <v>914</v>
      </c>
      <c r="C116" s="836"/>
      <c r="D116" s="836"/>
      <c r="E116" s="836"/>
      <c r="F116" s="836"/>
      <c r="G116" s="836"/>
      <c r="H116" s="836"/>
      <c r="I116" s="836"/>
      <c r="J116" s="836"/>
      <c r="K116" s="836"/>
    </row>
    <row r="117" spans="1:11">
      <c r="A117" s="839">
        <f t="shared" si="19"/>
        <v>107</v>
      </c>
      <c r="B117" s="72" t="s">
        <v>956</v>
      </c>
      <c r="C117" s="247"/>
      <c r="D117" s="247"/>
      <c r="E117" s="247"/>
      <c r="F117" s="247"/>
      <c r="G117" s="247"/>
      <c r="H117" s="247"/>
      <c r="I117" s="247"/>
      <c r="J117" s="247"/>
      <c r="K117" s="247"/>
    </row>
    <row r="118" spans="1:11">
      <c r="A118" s="839">
        <f t="shared" si="19"/>
        <v>108</v>
      </c>
      <c r="B118" s="72" t="s">
        <v>904</v>
      </c>
      <c r="C118" s="247"/>
      <c r="D118" s="247"/>
      <c r="E118" s="247"/>
      <c r="F118" s="247"/>
      <c r="G118" s="247"/>
      <c r="H118" s="247"/>
      <c r="I118" s="247"/>
      <c r="J118" s="247"/>
      <c r="K118" s="247"/>
    </row>
    <row r="119" spans="1:11">
      <c r="A119" s="839">
        <f t="shared" si="19"/>
        <v>109</v>
      </c>
      <c r="B119" s="72" t="s">
        <v>905</v>
      </c>
      <c r="C119" s="247"/>
      <c r="D119" s="247"/>
      <c r="E119" s="247"/>
      <c r="F119" s="247"/>
      <c r="G119" s="247"/>
      <c r="H119" s="247"/>
      <c r="I119" s="247"/>
      <c r="J119" s="247"/>
      <c r="K119" s="247"/>
    </row>
    <row r="120" spans="1:11">
      <c r="A120" s="839">
        <f t="shared" si="19"/>
        <v>110</v>
      </c>
      <c r="B120" s="72" t="s">
        <v>906</v>
      </c>
      <c r="C120" s="247"/>
      <c r="D120" s="247"/>
      <c r="E120" s="247"/>
      <c r="F120" s="247"/>
      <c r="G120" s="247"/>
      <c r="H120" s="247"/>
      <c r="I120" s="247"/>
      <c r="J120" s="247"/>
      <c r="K120" s="247"/>
    </row>
    <row r="121" spans="1:11">
      <c r="A121" s="839">
        <f t="shared" si="19"/>
        <v>111</v>
      </c>
      <c r="B121" s="72" t="s">
        <v>907</v>
      </c>
      <c r="C121" s="247"/>
      <c r="D121" s="247"/>
      <c r="E121" s="247"/>
      <c r="F121" s="247"/>
      <c r="G121" s="247"/>
      <c r="H121" s="247"/>
      <c r="I121" s="247"/>
      <c r="J121" s="247"/>
      <c r="K121" s="247"/>
    </row>
    <row r="122" spans="1:11">
      <c r="A122" s="839">
        <f t="shared" si="19"/>
        <v>112</v>
      </c>
      <c r="B122" s="72" t="s">
        <v>908</v>
      </c>
      <c r="C122" s="247"/>
      <c r="D122" s="247"/>
      <c r="E122" s="247"/>
      <c r="F122" s="247"/>
      <c r="G122" s="247"/>
      <c r="H122" s="247"/>
      <c r="I122" s="247"/>
      <c r="J122" s="247"/>
      <c r="K122" s="247"/>
    </row>
    <row r="123" spans="1:11">
      <c r="A123" s="839">
        <f t="shared" si="19"/>
        <v>113</v>
      </c>
      <c r="B123" s="72" t="s">
        <v>909</v>
      </c>
      <c r="C123" s="247"/>
      <c r="D123" s="247"/>
      <c r="E123" s="247"/>
      <c r="F123" s="247"/>
      <c r="G123" s="247"/>
      <c r="H123" s="247"/>
      <c r="I123" s="247"/>
      <c r="J123" s="247"/>
      <c r="K123" s="247"/>
    </row>
    <row r="124" spans="1:11">
      <c r="A124" s="839">
        <f t="shared" si="19"/>
        <v>114</v>
      </c>
      <c r="B124" s="72" t="s">
        <v>910</v>
      </c>
      <c r="C124" s="247"/>
      <c r="D124" s="247"/>
      <c r="E124" s="247"/>
      <c r="F124" s="247"/>
      <c r="G124" s="247"/>
      <c r="H124" s="247"/>
      <c r="I124" s="247"/>
      <c r="J124" s="247"/>
      <c r="K124" s="247"/>
    </row>
    <row r="125" spans="1:11">
      <c r="A125" s="839">
        <f t="shared" si="19"/>
        <v>115</v>
      </c>
      <c r="B125" s="72" t="s">
        <v>911</v>
      </c>
      <c r="C125" s="247"/>
      <c r="D125" s="247"/>
      <c r="E125" s="247"/>
      <c r="F125" s="247"/>
      <c r="G125" s="247"/>
      <c r="H125" s="247"/>
      <c r="I125" s="247"/>
      <c r="J125" s="247"/>
      <c r="K125" s="247"/>
    </row>
    <row r="126" spans="1:11">
      <c r="A126" s="839">
        <f t="shared" si="19"/>
        <v>116</v>
      </c>
      <c r="B126" s="72" t="s">
        <v>912</v>
      </c>
      <c r="C126" s="247"/>
      <c r="D126" s="247"/>
      <c r="E126" s="247"/>
      <c r="F126" s="247"/>
      <c r="G126" s="247"/>
      <c r="H126" s="247"/>
      <c r="I126" s="247"/>
      <c r="J126" s="247"/>
      <c r="K126" s="247"/>
    </row>
    <row r="127" spans="1:11">
      <c r="A127" s="839">
        <f t="shared" si="19"/>
        <v>117</v>
      </c>
      <c r="B127" s="72" t="s">
        <v>913</v>
      </c>
      <c r="C127" s="247"/>
      <c r="D127" s="247"/>
      <c r="E127" s="247"/>
      <c r="F127" s="247"/>
      <c r="G127" s="247"/>
      <c r="H127" s="247"/>
      <c r="I127" s="247"/>
      <c r="J127" s="247"/>
      <c r="K127" s="247"/>
    </row>
    <row r="128" spans="1:11" ht="13.5" thickBot="1">
      <c r="A128" s="839">
        <f t="shared" si="19"/>
        <v>118</v>
      </c>
      <c r="B128" s="72" t="s">
        <v>914</v>
      </c>
      <c r="C128" s="247"/>
      <c r="D128" s="247"/>
      <c r="E128" s="247"/>
      <c r="F128" s="247"/>
      <c r="G128" s="247"/>
      <c r="H128" s="247"/>
      <c r="I128" s="769"/>
      <c r="J128" s="769"/>
      <c r="K128" s="769"/>
    </row>
    <row r="129" spans="1:11" ht="26.25" thickBot="1">
      <c r="A129" s="839">
        <f t="shared" si="19"/>
        <v>119</v>
      </c>
      <c r="B129" s="850" t="str">
        <f>"13 Month Avg. (Lns "&amp;A116&amp;" - "&amp;A128&amp;")"</f>
        <v>13 Month Avg. (Lns 106 - 118)</v>
      </c>
      <c r="C129" s="611">
        <f t="shared" ref="C129:K129" si="27">IF(C128=0,0,AVERAGE(C116:C128))</f>
        <v>0</v>
      </c>
      <c r="D129" s="611">
        <f t="shared" si="27"/>
        <v>0</v>
      </c>
      <c r="E129" s="611">
        <f t="shared" si="27"/>
        <v>0</v>
      </c>
      <c r="F129" s="611">
        <f t="shared" si="27"/>
        <v>0</v>
      </c>
      <c r="G129" s="611">
        <f t="shared" si="27"/>
        <v>0</v>
      </c>
      <c r="H129" s="611">
        <f t="shared" si="27"/>
        <v>0</v>
      </c>
      <c r="I129" s="611">
        <f t="shared" si="27"/>
        <v>0</v>
      </c>
      <c r="J129" s="611">
        <f t="shared" si="27"/>
        <v>0</v>
      </c>
      <c r="K129" s="611">
        <f t="shared" si="27"/>
        <v>0</v>
      </c>
    </row>
    <row r="130" spans="1:11">
      <c r="A130" s="839">
        <f t="shared" si="19"/>
        <v>120</v>
      </c>
    </row>
    <row r="131" spans="1:11">
      <c r="A131" s="839">
        <f t="shared" si="19"/>
        <v>121</v>
      </c>
      <c r="F131" s="1239" t="s">
        <v>967</v>
      </c>
      <c r="G131" s="1240"/>
      <c r="H131" s="1241"/>
    </row>
    <row r="132" spans="1:11">
      <c r="A132" s="839">
        <f t="shared" si="19"/>
        <v>122</v>
      </c>
      <c r="F132" s="864" t="s">
        <v>972</v>
      </c>
      <c r="G132" s="824" t="s">
        <v>973</v>
      </c>
      <c r="H132" s="865" t="s">
        <v>974</v>
      </c>
    </row>
    <row r="133" spans="1:11" ht="13.5" thickBot="1">
      <c r="A133" s="839">
        <f t="shared" si="19"/>
        <v>123</v>
      </c>
      <c r="J133" s="93"/>
    </row>
    <row r="134" spans="1:11" ht="13.5" thickBot="1">
      <c r="A134" s="839">
        <f t="shared" si="19"/>
        <v>124</v>
      </c>
      <c r="B134" s="72" t="s">
        <v>968</v>
      </c>
      <c r="F134" s="866"/>
      <c r="G134" s="866"/>
      <c r="H134" s="866"/>
    </row>
    <row r="135" spans="1:11">
      <c r="A135" s="839">
        <f t="shared" si="19"/>
        <v>125</v>
      </c>
    </row>
    <row r="136" spans="1:11">
      <c r="A136" s="839">
        <f t="shared" si="19"/>
        <v>126</v>
      </c>
      <c r="I136" s="314"/>
      <c r="J136" s="314"/>
      <c r="K136" s="314"/>
    </row>
    <row r="137" spans="1:11">
      <c r="A137" s="839">
        <f t="shared" si="19"/>
        <v>127</v>
      </c>
      <c r="D137" s="867"/>
      <c r="E137" s="867" t="s">
        <v>94</v>
      </c>
      <c r="H137" s="867"/>
      <c r="I137" s="867" t="s">
        <v>94</v>
      </c>
    </row>
    <row r="138" spans="1:11">
      <c r="A138" s="839">
        <f t="shared" si="19"/>
        <v>128</v>
      </c>
      <c r="C138" s="415" t="s">
        <v>628</v>
      </c>
      <c r="D138" s="867" t="s">
        <v>511</v>
      </c>
      <c r="E138" s="867" t="s">
        <v>512</v>
      </c>
      <c r="G138" s="415" t="s">
        <v>628</v>
      </c>
      <c r="H138" s="867" t="s">
        <v>511</v>
      </c>
      <c r="I138" s="867" t="s">
        <v>512</v>
      </c>
      <c r="K138" s="415" t="s">
        <v>630</v>
      </c>
    </row>
    <row r="139" spans="1:11">
      <c r="A139" s="839">
        <f t="shared" si="19"/>
        <v>129</v>
      </c>
      <c r="C139" s="415" t="s">
        <v>627</v>
      </c>
      <c r="D139" s="867" t="s">
        <v>626</v>
      </c>
      <c r="E139" s="867" t="s">
        <v>95</v>
      </c>
      <c r="G139" s="415" t="s">
        <v>629</v>
      </c>
      <c r="H139" s="867" t="s">
        <v>626</v>
      </c>
      <c r="I139" s="867" t="s">
        <v>95</v>
      </c>
      <c r="K139" s="415" t="s">
        <v>631</v>
      </c>
    </row>
    <row r="140" spans="1:11">
      <c r="A140" s="839">
        <f t="shared" si="19"/>
        <v>130</v>
      </c>
      <c r="C140" s="823" t="s">
        <v>593</v>
      </c>
      <c r="D140" s="868" t="s">
        <v>594</v>
      </c>
      <c r="E140" s="868" t="s">
        <v>511</v>
      </c>
      <c r="G140" s="823" t="s">
        <v>596</v>
      </c>
      <c r="H140" s="868" t="s">
        <v>594</v>
      </c>
      <c r="I140" s="868" t="s">
        <v>511</v>
      </c>
      <c r="K140" s="823" t="s">
        <v>597</v>
      </c>
    </row>
    <row r="141" spans="1:11">
      <c r="A141" s="839">
        <f t="shared" si="19"/>
        <v>131</v>
      </c>
      <c r="B141" s="72" t="s">
        <v>914</v>
      </c>
      <c r="C141" s="324"/>
      <c r="D141" s="558"/>
      <c r="E141" s="315">
        <f>C141-D141</f>
        <v>0</v>
      </c>
      <c r="G141" s="324"/>
      <c r="H141" s="558"/>
      <c r="I141" s="315">
        <f>G141-H141</f>
        <v>0</v>
      </c>
      <c r="K141" s="324"/>
    </row>
    <row r="142" spans="1:11">
      <c r="A142" s="839">
        <f t="shared" si="19"/>
        <v>132</v>
      </c>
      <c r="B142" s="72" t="s">
        <v>956</v>
      </c>
      <c r="C142" s="558"/>
      <c r="D142" s="558"/>
      <c r="E142" s="315">
        <f t="shared" ref="E142:E153" si="28">C142-D142</f>
        <v>0</v>
      </c>
      <c r="G142" s="558"/>
      <c r="H142" s="558"/>
      <c r="I142" s="315">
        <f t="shared" ref="I142:I153" si="29">G142-H142</f>
        <v>0</v>
      </c>
      <c r="K142" s="558"/>
    </row>
    <row r="143" spans="1:11">
      <c r="A143" s="839">
        <f t="shared" si="19"/>
        <v>133</v>
      </c>
      <c r="B143" s="72" t="s">
        <v>904</v>
      </c>
      <c r="C143" s="558"/>
      <c r="D143" s="558"/>
      <c r="E143" s="315">
        <f t="shared" si="28"/>
        <v>0</v>
      </c>
      <c r="G143" s="558"/>
      <c r="H143" s="558"/>
      <c r="I143" s="315">
        <f t="shared" si="29"/>
        <v>0</v>
      </c>
      <c r="K143" s="558"/>
    </row>
    <row r="144" spans="1:11">
      <c r="A144" s="839">
        <f t="shared" si="19"/>
        <v>134</v>
      </c>
      <c r="B144" s="72" t="s">
        <v>905</v>
      </c>
      <c r="C144" s="558"/>
      <c r="D144" s="558"/>
      <c r="E144" s="315">
        <f t="shared" si="28"/>
        <v>0</v>
      </c>
      <c r="G144" s="558"/>
      <c r="H144" s="558"/>
      <c r="I144" s="315">
        <f t="shared" si="29"/>
        <v>0</v>
      </c>
      <c r="K144" s="558"/>
    </row>
    <row r="145" spans="1:11">
      <c r="A145" s="839">
        <f t="shared" si="19"/>
        <v>135</v>
      </c>
      <c r="B145" s="72" t="s">
        <v>906</v>
      </c>
      <c r="C145" s="558"/>
      <c r="D145" s="558"/>
      <c r="E145" s="315">
        <f t="shared" si="28"/>
        <v>0</v>
      </c>
      <c r="G145" s="558"/>
      <c r="H145" s="558"/>
      <c r="I145" s="315">
        <f t="shared" si="29"/>
        <v>0</v>
      </c>
      <c r="K145" s="558"/>
    </row>
    <row r="146" spans="1:11">
      <c r="A146" s="839">
        <f t="shared" si="19"/>
        <v>136</v>
      </c>
      <c r="B146" s="72" t="s">
        <v>907</v>
      </c>
      <c r="C146" s="558"/>
      <c r="D146" s="558"/>
      <c r="E146" s="315">
        <f t="shared" si="28"/>
        <v>0</v>
      </c>
      <c r="G146" s="558"/>
      <c r="H146" s="558"/>
      <c r="I146" s="315">
        <f t="shared" si="29"/>
        <v>0</v>
      </c>
      <c r="K146" s="558"/>
    </row>
    <row r="147" spans="1:11">
      <c r="A147" s="839">
        <f t="shared" si="19"/>
        <v>137</v>
      </c>
      <c r="B147" s="72" t="s">
        <v>908</v>
      </c>
      <c r="C147" s="558"/>
      <c r="D147" s="558"/>
      <c r="E147" s="315">
        <f t="shared" si="28"/>
        <v>0</v>
      </c>
      <c r="G147" s="558"/>
      <c r="H147" s="558"/>
      <c r="I147" s="315">
        <f t="shared" si="29"/>
        <v>0</v>
      </c>
      <c r="K147" s="558"/>
    </row>
    <row r="148" spans="1:11">
      <c r="A148" s="839">
        <f t="shared" si="19"/>
        <v>138</v>
      </c>
      <c r="B148" s="72" t="s">
        <v>909</v>
      </c>
      <c r="C148" s="558"/>
      <c r="D148" s="558"/>
      <c r="E148" s="315">
        <f t="shared" si="28"/>
        <v>0</v>
      </c>
      <c r="G148" s="558"/>
      <c r="H148" s="558"/>
      <c r="I148" s="315">
        <f t="shared" si="29"/>
        <v>0</v>
      </c>
      <c r="K148" s="558"/>
    </row>
    <row r="149" spans="1:11">
      <c r="A149" s="839">
        <f t="shared" si="19"/>
        <v>139</v>
      </c>
      <c r="B149" s="72" t="s">
        <v>910</v>
      </c>
      <c r="C149" s="558"/>
      <c r="D149" s="558"/>
      <c r="E149" s="315">
        <f t="shared" si="28"/>
        <v>0</v>
      </c>
      <c r="G149" s="558"/>
      <c r="H149" s="558"/>
      <c r="I149" s="315">
        <f t="shared" si="29"/>
        <v>0</v>
      </c>
      <c r="K149" s="558"/>
    </row>
    <row r="150" spans="1:11">
      <c r="A150" s="839">
        <f t="shared" si="19"/>
        <v>140</v>
      </c>
      <c r="B150" s="72" t="s">
        <v>911</v>
      </c>
      <c r="C150" s="558"/>
      <c r="D150" s="558"/>
      <c r="E150" s="315">
        <f t="shared" si="28"/>
        <v>0</v>
      </c>
      <c r="G150" s="558"/>
      <c r="H150" s="558"/>
      <c r="I150" s="315">
        <f t="shared" si="29"/>
        <v>0</v>
      </c>
      <c r="K150" s="558"/>
    </row>
    <row r="151" spans="1:11">
      <c r="A151" s="839">
        <f t="shared" si="19"/>
        <v>141</v>
      </c>
      <c r="B151" s="72" t="s">
        <v>912</v>
      </c>
      <c r="C151" s="558"/>
      <c r="D151" s="558"/>
      <c r="E151" s="315">
        <f t="shared" si="28"/>
        <v>0</v>
      </c>
      <c r="G151" s="558"/>
      <c r="H151" s="558"/>
      <c r="I151" s="315">
        <f t="shared" si="29"/>
        <v>0</v>
      </c>
      <c r="K151" s="558"/>
    </row>
    <row r="152" spans="1:11">
      <c r="A152" s="839">
        <f t="shared" si="19"/>
        <v>142</v>
      </c>
      <c r="B152" s="72" t="s">
        <v>913</v>
      </c>
      <c r="C152" s="558"/>
      <c r="D152" s="558"/>
      <c r="E152" s="315">
        <f t="shared" si="28"/>
        <v>0</v>
      </c>
      <c r="G152" s="558"/>
      <c r="H152" s="558"/>
      <c r="I152" s="315">
        <f t="shared" si="29"/>
        <v>0</v>
      </c>
      <c r="K152" s="558"/>
    </row>
    <row r="153" spans="1:11" ht="13.5" thickBot="1">
      <c r="A153" s="839">
        <f t="shared" si="19"/>
        <v>143</v>
      </c>
      <c r="B153" s="72" t="s">
        <v>914</v>
      </c>
      <c r="C153" s="869"/>
      <c r="D153" s="869"/>
      <c r="E153" s="315">
        <f t="shared" si="28"/>
        <v>0</v>
      </c>
      <c r="G153" s="869"/>
      <c r="H153" s="869"/>
      <c r="I153" s="315">
        <f t="shared" si="29"/>
        <v>0</v>
      </c>
      <c r="K153" s="870"/>
    </row>
    <row r="154" spans="1:11" ht="26.25" thickBot="1">
      <c r="A154" s="839">
        <f t="shared" ref="A154:A164" si="30">A153+1</f>
        <v>144</v>
      </c>
      <c r="B154" s="850" t="str">
        <f>"13 Month Avg. (Lns "&amp;A141&amp;" - "&amp;A153&amp;")"</f>
        <v>13 Month Avg. (Lns 131 - 143)</v>
      </c>
      <c r="C154" s="169">
        <f>IF(C153=0,0,AVERAGE(C141:C153))</f>
        <v>0</v>
      </c>
      <c r="D154" s="614">
        <f>SUM(D142:D153)</f>
        <v>0</v>
      </c>
      <c r="E154" s="611">
        <f>IF(E153=0,0,AVERAGE(E141:E153))</f>
        <v>0</v>
      </c>
      <c r="G154" s="169">
        <f>IF(G153=0,0,AVERAGE(G141:G153))</f>
        <v>0</v>
      </c>
      <c r="H154" s="614">
        <f>SUM(H142:H153)</f>
        <v>0</v>
      </c>
      <c r="I154" s="611">
        <f>IF(I153=0,0,AVERAGE(I141:I153))</f>
        <v>0</v>
      </c>
      <c r="K154" s="611">
        <f>IF(K153=0,0,AVERAGE(K141:K153))</f>
        <v>0</v>
      </c>
    </row>
    <row r="155" spans="1:11">
      <c r="A155" s="839">
        <f t="shared" si="30"/>
        <v>145</v>
      </c>
      <c r="F155" s="781"/>
    </row>
    <row r="156" spans="1:11">
      <c r="A156" s="839">
        <f t="shared" si="30"/>
        <v>146</v>
      </c>
    </row>
    <row r="157" spans="1:11">
      <c r="A157" s="839">
        <f t="shared" si="30"/>
        <v>147</v>
      </c>
      <c r="B157" t="s">
        <v>975</v>
      </c>
    </row>
    <row r="158" spans="1:11">
      <c r="A158" s="839">
        <f t="shared" si="30"/>
        <v>148</v>
      </c>
      <c r="B158" t="s">
        <v>598</v>
      </c>
    </row>
    <row r="159" spans="1:11">
      <c r="A159" s="839">
        <f t="shared" si="30"/>
        <v>149</v>
      </c>
      <c r="B159" t="s">
        <v>599</v>
      </c>
    </row>
    <row r="160" spans="1:11">
      <c r="A160" s="839">
        <f t="shared" si="30"/>
        <v>150</v>
      </c>
      <c r="B160" s="72" t="s">
        <v>1696</v>
      </c>
    </row>
    <row r="161" spans="1:11">
      <c r="A161" s="839">
        <f t="shared" si="30"/>
        <v>151</v>
      </c>
      <c r="B161" s="57" t="s">
        <v>1697</v>
      </c>
      <c r="H161" s="871"/>
      <c r="I161" s="315"/>
      <c r="J161" s="315"/>
      <c r="K161" s="315"/>
    </row>
    <row r="162" spans="1:11">
      <c r="A162" s="839">
        <f t="shared" si="30"/>
        <v>152</v>
      </c>
      <c r="B162" s="57" t="s">
        <v>1590</v>
      </c>
    </row>
    <row r="163" spans="1:11">
      <c r="A163" s="839">
        <f t="shared" si="30"/>
        <v>153</v>
      </c>
      <c r="B163" s="72" t="s">
        <v>1704</v>
      </c>
      <c r="I163" s="93"/>
      <c r="J163" s="93"/>
      <c r="K163" s="93"/>
    </row>
    <row r="164" spans="1:11">
      <c r="A164" s="839">
        <f t="shared" si="30"/>
        <v>154</v>
      </c>
      <c r="B164" s="72" t="s">
        <v>1703</v>
      </c>
      <c r="I164" s="93"/>
      <c r="J164" s="93"/>
      <c r="K164" s="93"/>
    </row>
  </sheetData>
  <mergeCells count="26">
    <mergeCell ref="F131:H131"/>
    <mergeCell ref="C114:E114"/>
    <mergeCell ref="F114:H114"/>
    <mergeCell ref="I114:K114"/>
    <mergeCell ref="C100:F100"/>
    <mergeCell ref="G100:I100"/>
    <mergeCell ref="J100:L100"/>
    <mergeCell ref="A24:A25"/>
    <mergeCell ref="B24:B25"/>
    <mergeCell ref="B47:B48"/>
    <mergeCell ref="C62:F62"/>
    <mergeCell ref="G62:I62"/>
    <mergeCell ref="J62:L62"/>
    <mergeCell ref="M62:P62"/>
    <mergeCell ref="Q62:S62"/>
    <mergeCell ref="C81:F81"/>
    <mergeCell ref="G81:I81"/>
    <mergeCell ref="J81:L81"/>
    <mergeCell ref="M81:P81"/>
    <mergeCell ref="Q81:S81"/>
    <mergeCell ref="Q100:S100"/>
    <mergeCell ref="C105:F105"/>
    <mergeCell ref="G105:I105"/>
    <mergeCell ref="J105:L105"/>
    <mergeCell ref="M105:P105"/>
    <mergeCell ref="Q105:S105"/>
  </mergeCells>
  <pageMargins left="0.7" right="0.7" top="0.75" bottom="0.75" header="0.3" footer="0.3"/>
  <pageSetup scale="44" orientation="portrait" r:id="rId1"/>
  <rowBreaks count="2" manualBreakCount="2">
    <brk id="51" max="16383" man="1"/>
    <brk id="11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enableFormatConditionsCalculation="0">
    <pageSetUpPr fitToPage="1"/>
  </sheetPr>
  <dimension ref="A1:N80"/>
  <sheetViews>
    <sheetView topLeftCell="A19" workbookViewId="0">
      <selection activeCell="H18" sqref="H18"/>
    </sheetView>
  </sheetViews>
  <sheetFormatPr defaultRowHeight="12.75"/>
  <cols>
    <col min="1" max="1" width="9.28515625" style="74" bestFit="1" customWidth="1"/>
    <col min="2" max="2" width="7.140625" style="74" bestFit="1" customWidth="1"/>
    <col min="3" max="3" width="50.42578125" style="72" customWidth="1"/>
    <col min="4" max="4" width="2.5703125" style="72" customWidth="1"/>
    <col min="5" max="5" width="16.5703125" style="72" bestFit="1" customWidth="1"/>
    <col min="6" max="6" width="13.140625" style="72" bestFit="1" customWidth="1"/>
    <col min="7" max="8" width="12.140625" style="72" bestFit="1" customWidth="1"/>
    <col min="9" max="9" width="2.5703125" style="72" customWidth="1"/>
    <col min="10" max="10" width="10" style="72" customWidth="1"/>
    <col min="11" max="13" width="11.5703125" style="72" bestFit="1" customWidth="1"/>
    <col min="14" max="14" width="3.5703125" style="315" customWidth="1"/>
    <col min="15" max="16384" width="9.140625" style="72"/>
  </cols>
  <sheetData>
    <row r="1" spans="1:13">
      <c r="A1" s="131" t="str">
        <f>'Cover Page'!A5</f>
        <v>Public Service Company of Colorado</v>
      </c>
      <c r="M1" s="133" t="str">
        <f>'Table of Contents'!A25</f>
        <v>Table 17</v>
      </c>
    </row>
    <row r="2" spans="1:13">
      <c r="A2" s="131" t="str">
        <f>'Cover Page'!A6</f>
        <v>Transmission Formula Rate Template</v>
      </c>
      <c r="M2" s="133" t="str">
        <f ca="1">MID(CELL("filename",$A$1),FIND("]",CELL("filename",$A$1))+1,LEN(CELL("filename",$A$1))-FIND("]",CELL("filename",$A$1)))</f>
        <v>WP_C-1</v>
      </c>
    </row>
    <row r="3" spans="1:13">
      <c r="A3" s="131" t="str">
        <f>'Cover Page'!A7</f>
        <v>Twelve Months Ended December 31, 2018</v>
      </c>
    </row>
    <row r="4" spans="1:13">
      <c r="A4" s="257" t="s">
        <v>25</v>
      </c>
    </row>
    <row r="5" spans="1:13">
      <c r="A5" s="240"/>
      <c r="B5" s="240"/>
      <c r="C5" s="241"/>
      <c r="D5" s="241"/>
      <c r="E5" s="241"/>
      <c r="F5" s="241"/>
      <c r="G5" s="241"/>
      <c r="H5" s="241"/>
      <c r="I5" s="241"/>
      <c r="J5" s="241"/>
      <c r="K5" s="241"/>
      <c r="L5" s="241"/>
      <c r="M5" s="241"/>
    </row>
    <row r="6" spans="1:13">
      <c r="A6" s="257"/>
      <c r="B6" s="240"/>
      <c r="C6" s="241"/>
      <c r="D6" s="241"/>
      <c r="E6" s="241"/>
      <c r="F6" s="241"/>
      <c r="G6" s="241"/>
      <c r="H6" s="241"/>
      <c r="M6" s="241"/>
    </row>
    <row r="7" spans="1:13">
      <c r="A7" s="240"/>
      <c r="B7" s="240"/>
      <c r="C7" s="241"/>
      <c r="D7" s="241"/>
      <c r="E7" s="1228" t="s">
        <v>26</v>
      </c>
      <c r="F7" s="1229"/>
      <c r="G7" s="1229"/>
      <c r="H7" s="1242"/>
      <c r="J7" s="1228" t="s">
        <v>27</v>
      </c>
      <c r="K7" s="1229"/>
      <c r="L7" s="1229"/>
      <c r="M7" s="1242"/>
    </row>
    <row r="8" spans="1:13">
      <c r="A8" s="1" t="s">
        <v>868</v>
      </c>
      <c r="B8" s="243"/>
      <c r="C8" s="243" t="s">
        <v>1414</v>
      </c>
      <c r="D8" s="243"/>
      <c r="E8" s="513" t="s">
        <v>870</v>
      </c>
      <c r="F8" s="199" t="s">
        <v>1412</v>
      </c>
      <c r="G8" s="243" t="s">
        <v>1413</v>
      </c>
      <c r="H8" s="512" t="s">
        <v>795</v>
      </c>
      <c r="I8" s="258"/>
      <c r="J8" s="513" t="s">
        <v>870</v>
      </c>
      <c r="K8" s="1" t="s">
        <v>1412</v>
      </c>
      <c r="L8" s="243" t="s">
        <v>1413</v>
      </c>
      <c r="M8" s="512" t="s">
        <v>795</v>
      </c>
    </row>
    <row r="9" spans="1:13">
      <c r="A9" s="197"/>
      <c r="B9" s="244"/>
      <c r="C9" s="244"/>
      <c r="D9" s="244"/>
      <c r="E9" s="244"/>
      <c r="F9" s="316" t="s">
        <v>363</v>
      </c>
      <c r="G9" s="695" t="s">
        <v>362</v>
      </c>
      <c r="H9" s="695" t="s">
        <v>364</v>
      </c>
      <c r="I9" s="313"/>
      <c r="J9" s="313"/>
      <c r="K9" s="316" t="s">
        <v>363</v>
      </c>
      <c r="L9" s="695" t="s">
        <v>362</v>
      </c>
      <c r="M9" s="695" t="s">
        <v>364</v>
      </c>
    </row>
    <row r="10" spans="1:13">
      <c r="A10" s="240"/>
      <c r="B10" s="245"/>
      <c r="C10" s="246" t="s">
        <v>1415</v>
      </c>
      <c r="D10" s="246"/>
      <c r="E10" s="246"/>
      <c r="F10" s="241"/>
      <c r="G10" s="241"/>
      <c r="H10" s="241"/>
      <c r="M10" s="241"/>
    </row>
    <row r="11" spans="1:13">
      <c r="A11" s="240">
        <v>1</v>
      </c>
      <c r="B11" s="245">
        <v>560</v>
      </c>
      <c r="C11" s="246" t="s">
        <v>1416</v>
      </c>
      <c r="D11" s="246"/>
      <c r="E11" s="246" t="s">
        <v>1393</v>
      </c>
      <c r="F11" s="247">
        <v>1797237.7095505502</v>
      </c>
      <c r="G11" s="247">
        <v>4610071.4010203248</v>
      </c>
      <c r="H11" s="248">
        <f>SUM(F11:G11)</f>
        <v>6407309.110570875</v>
      </c>
      <c r="J11" s="259" t="s">
        <v>28</v>
      </c>
      <c r="K11" s="247"/>
      <c r="L11" s="247"/>
      <c r="M11" s="248">
        <f>SUM(K11:L11)</f>
        <v>0</v>
      </c>
    </row>
    <row r="12" spans="1:13">
      <c r="A12" s="240">
        <f>A11+1</f>
        <v>2</v>
      </c>
      <c r="B12" s="249">
        <v>561.1</v>
      </c>
      <c r="C12" s="246" t="s">
        <v>1417</v>
      </c>
      <c r="D12" s="246"/>
      <c r="E12" s="246" t="s">
        <v>1393</v>
      </c>
      <c r="F12" s="247">
        <v>0</v>
      </c>
      <c r="G12" s="247">
        <v>0</v>
      </c>
      <c r="H12" s="248">
        <f>SUM(F12:G12)</f>
        <v>0</v>
      </c>
      <c r="J12" s="259" t="s">
        <v>29</v>
      </c>
      <c r="K12" s="247"/>
      <c r="L12" s="247"/>
      <c r="M12" s="248">
        <f>SUM(K12:L12)</f>
        <v>0</v>
      </c>
    </row>
    <row r="13" spans="1:13">
      <c r="A13" s="240">
        <f t="shared" ref="A13:A46" si="0">A12+1</f>
        <v>3</v>
      </c>
      <c r="B13" s="249">
        <v>561.20000000000005</v>
      </c>
      <c r="C13" s="246" t="s">
        <v>0</v>
      </c>
      <c r="D13" s="246"/>
      <c r="E13" s="246" t="s">
        <v>1393</v>
      </c>
      <c r="F13" s="247">
        <v>1245842.6896233568</v>
      </c>
      <c r="G13" s="247">
        <v>3801628.6336385361</v>
      </c>
      <c r="H13" s="248">
        <f t="shared" ref="H13:H25" si="1">SUM(F13:G13)</f>
        <v>5047471.3232618924</v>
      </c>
      <c r="J13" s="259" t="s">
        <v>30</v>
      </c>
      <c r="K13" s="247"/>
      <c r="L13" s="247"/>
      <c r="M13" s="248">
        <f t="shared" ref="M13:M25" si="2">SUM(K13:L13)</f>
        <v>0</v>
      </c>
    </row>
    <row r="14" spans="1:13">
      <c r="A14" s="240">
        <f t="shared" si="0"/>
        <v>4</v>
      </c>
      <c r="B14" s="249">
        <v>561.29999999999995</v>
      </c>
      <c r="C14" s="246" t="s">
        <v>1</v>
      </c>
      <c r="D14" s="246"/>
      <c r="E14" s="246" t="s">
        <v>1393</v>
      </c>
      <c r="F14" s="247">
        <v>0</v>
      </c>
      <c r="G14" s="247">
        <v>24481.281080249461</v>
      </c>
      <c r="H14" s="248">
        <f t="shared" si="1"/>
        <v>24481.281080249461</v>
      </c>
      <c r="J14" s="259" t="s">
        <v>31</v>
      </c>
      <c r="K14" s="247"/>
      <c r="L14" s="247"/>
      <c r="M14" s="248">
        <f t="shared" si="2"/>
        <v>0</v>
      </c>
    </row>
    <row r="15" spans="1:13">
      <c r="A15" s="240">
        <f t="shared" si="0"/>
        <v>5</v>
      </c>
      <c r="B15" s="249">
        <v>561.4</v>
      </c>
      <c r="C15" s="246" t="s">
        <v>2</v>
      </c>
      <c r="D15" s="246"/>
      <c r="E15" s="246" t="s">
        <v>1393</v>
      </c>
      <c r="F15" s="247">
        <v>0</v>
      </c>
      <c r="G15" s="247">
        <v>0</v>
      </c>
      <c r="H15" s="248">
        <f t="shared" si="1"/>
        <v>0</v>
      </c>
      <c r="J15" s="259" t="s">
        <v>32</v>
      </c>
      <c r="K15" s="247"/>
      <c r="L15" s="247"/>
      <c r="M15" s="248">
        <f t="shared" si="2"/>
        <v>0</v>
      </c>
    </row>
    <row r="16" spans="1:13">
      <c r="A16" s="240">
        <f t="shared" si="0"/>
        <v>6</v>
      </c>
      <c r="B16" s="249">
        <v>561.5</v>
      </c>
      <c r="C16" s="246" t="s">
        <v>3</v>
      </c>
      <c r="D16" s="246"/>
      <c r="E16" s="246" t="s">
        <v>1393</v>
      </c>
      <c r="F16" s="247">
        <v>144.52432066735665</v>
      </c>
      <c r="G16" s="247">
        <v>11691.866471270685</v>
      </c>
      <c r="H16" s="248">
        <f t="shared" si="1"/>
        <v>11836.390791938042</v>
      </c>
      <c r="J16" s="259" t="s">
        <v>33</v>
      </c>
      <c r="K16" s="247"/>
      <c r="L16" s="247"/>
      <c r="M16" s="248">
        <f t="shared" si="2"/>
        <v>0</v>
      </c>
    </row>
    <row r="17" spans="1:14">
      <c r="A17" s="240">
        <f t="shared" si="0"/>
        <v>7</v>
      </c>
      <c r="B17" s="249">
        <v>561.6</v>
      </c>
      <c r="C17" s="246" t="s">
        <v>998</v>
      </c>
      <c r="D17" s="246"/>
      <c r="E17" s="246" t="s">
        <v>1393</v>
      </c>
      <c r="F17" s="247">
        <v>0</v>
      </c>
      <c r="G17" s="247">
        <v>0</v>
      </c>
      <c r="H17" s="248">
        <f t="shared" si="1"/>
        <v>0</v>
      </c>
      <c r="J17" s="259" t="s">
        <v>34</v>
      </c>
      <c r="K17" s="247"/>
      <c r="L17" s="247"/>
      <c r="M17" s="248">
        <f t="shared" si="2"/>
        <v>0</v>
      </c>
    </row>
    <row r="18" spans="1:14">
      <c r="A18" s="240">
        <f t="shared" si="0"/>
        <v>8</v>
      </c>
      <c r="B18" s="245">
        <v>561.70000000000005</v>
      </c>
      <c r="C18" s="246" t="s">
        <v>4</v>
      </c>
      <c r="D18" s="246"/>
      <c r="E18" s="246" t="s">
        <v>1393</v>
      </c>
      <c r="F18" s="247">
        <v>-79358.968802246076</v>
      </c>
      <c r="G18" s="247">
        <v>27788.0544791586</v>
      </c>
      <c r="H18" s="248">
        <f t="shared" si="1"/>
        <v>-51570.914323087476</v>
      </c>
      <c r="J18" s="259" t="s">
        <v>35</v>
      </c>
      <c r="K18" s="247"/>
      <c r="L18" s="247"/>
      <c r="M18" s="248">
        <f t="shared" si="2"/>
        <v>0</v>
      </c>
    </row>
    <row r="19" spans="1:14">
      <c r="A19" s="240">
        <f t="shared" si="0"/>
        <v>9</v>
      </c>
      <c r="B19" s="249">
        <v>561.79999999999995</v>
      </c>
      <c r="C19" s="246" t="s">
        <v>5</v>
      </c>
      <c r="D19" s="246"/>
      <c r="E19" s="246" t="s">
        <v>1393</v>
      </c>
      <c r="F19" s="247">
        <v>3618561.9698252296</v>
      </c>
      <c r="G19" s="247">
        <v>671.76112811935104</v>
      </c>
      <c r="H19" s="248">
        <f t="shared" si="1"/>
        <v>3619233.7309533488</v>
      </c>
      <c r="J19" s="259" t="s">
        <v>36</v>
      </c>
      <c r="K19" s="247"/>
      <c r="L19" s="247"/>
      <c r="M19" s="248">
        <f t="shared" si="2"/>
        <v>0</v>
      </c>
    </row>
    <row r="20" spans="1:14">
      <c r="A20" s="240">
        <f t="shared" si="0"/>
        <v>10</v>
      </c>
      <c r="B20" s="245">
        <v>562</v>
      </c>
      <c r="C20" s="246" t="s">
        <v>6</v>
      </c>
      <c r="D20" s="246"/>
      <c r="E20" s="246" t="s">
        <v>1393</v>
      </c>
      <c r="F20" s="247">
        <v>204407.30086485905</v>
      </c>
      <c r="G20" s="247">
        <v>285297.50697506015</v>
      </c>
      <c r="H20" s="248">
        <f t="shared" si="1"/>
        <v>489704.80783991923</v>
      </c>
      <c r="J20" s="259" t="s">
        <v>37</v>
      </c>
      <c r="K20" s="247"/>
      <c r="L20" s="247"/>
      <c r="M20" s="248">
        <f t="shared" si="2"/>
        <v>0</v>
      </c>
    </row>
    <row r="21" spans="1:14">
      <c r="A21" s="240">
        <f t="shared" si="0"/>
        <v>11</v>
      </c>
      <c r="B21" s="245">
        <v>563</v>
      </c>
      <c r="C21" s="246" t="s">
        <v>7</v>
      </c>
      <c r="D21" s="246"/>
      <c r="E21" s="246" t="s">
        <v>1393</v>
      </c>
      <c r="F21" s="247">
        <v>1053492.5267957868</v>
      </c>
      <c r="G21" s="247">
        <v>1171217.8607250082</v>
      </c>
      <c r="H21" s="248">
        <f t="shared" si="1"/>
        <v>2224710.3875207948</v>
      </c>
      <c r="J21" s="259" t="s">
        <v>38</v>
      </c>
      <c r="K21" s="247"/>
      <c r="L21" s="247"/>
      <c r="M21" s="248">
        <f t="shared" si="2"/>
        <v>0</v>
      </c>
    </row>
    <row r="22" spans="1:14">
      <c r="A22" s="240">
        <f t="shared" si="0"/>
        <v>12</v>
      </c>
      <c r="B22" s="249" t="s">
        <v>8</v>
      </c>
      <c r="C22" s="246" t="s">
        <v>9</v>
      </c>
      <c r="D22" s="246"/>
      <c r="E22" s="246" t="s">
        <v>1393</v>
      </c>
      <c r="F22" s="247">
        <v>0</v>
      </c>
      <c r="G22" s="247">
        <v>0</v>
      </c>
      <c r="H22" s="248">
        <f t="shared" si="1"/>
        <v>0</v>
      </c>
      <c r="J22" s="259" t="s">
        <v>39</v>
      </c>
      <c r="K22" s="247"/>
      <c r="L22" s="247"/>
      <c r="M22" s="248">
        <f t="shared" si="2"/>
        <v>0</v>
      </c>
    </row>
    <row r="23" spans="1:14">
      <c r="A23" s="240">
        <f t="shared" si="0"/>
        <v>13</v>
      </c>
      <c r="B23" s="245">
        <v>565</v>
      </c>
      <c r="C23" s="246" t="s">
        <v>10</v>
      </c>
      <c r="D23" s="246"/>
      <c r="E23" s="246" t="s">
        <v>1393</v>
      </c>
      <c r="F23" s="247">
        <v>15574049.904972363</v>
      </c>
      <c r="G23" s="247">
        <v>0</v>
      </c>
      <c r="H23" s="248">
        <f t="shared" si="1"/>
        <v>15574049.904972363</v>
      </c>
      <c r="J23" s="259" t="s">
        <v>40</v>
      </c>
      <c r="K23" s="247"/>
      <c r="L23" s="247"/>
      <c r="M23" s="248">
        <f t="shared" si="2"/>
        <v>0</v>
      </c>
    </row>
    <row r="24" spans="1:14">
      <c r="A24" s="240">
        <f t="shared" si="0"/>
        <v>14</v>
      </c>
      <c r="B24" s="245">
        <v>566</v>
      </c>
      <c r="C24" s="246" t="s">
        <v>11</v>
      </c>
      <c r="D24" s="246"/>
      <c r="E24" s="246" t="s">
        <v>1393</v>
      </c>
      <c r="F24" s="247">
        <v>853226.84904575779</v>
      </c>
      <c r="G24" s="247">
        <v>1741499.2867260634</v>
      </c>
      <c r="H24" s="248">
        <f t="shared" si="1"/>
        <v>2594726.1357718213</v>
      </c>
      <c r="J24" s="259" t="s">
        <v>41</v>
      </c>
      <c r="K24" s="247"/>
      <c r="L24" s="247"/>
      <c r="M24" s="248">
        <f>SUM(K24:L24)</f>
        <v>0</v>
      </c>
    </row>
    <row r="25" spans="1:14">
      <c r="A25" s="240">
        <f t="shared" si="0"/>
        <v>15</v>
      </c>
      <c r="B25" s="245">
        <v>567</v>
      </c>
      <c r="C25" s="246" t="s">
        <v>12</v>
      </c>
      <c r="D25" s="246"/>
      <c r="E25" s="246" t="s">
        <v>1393</v>
      </c>
      <c r="F25" s="247">
        <v>2247633.8002369492</v>
      </c>
      <c r="G25" s="769">
        <v>0</v>
      </c>
      <c r="H25" s="251">
        <f t="shared" si="1"/>
        <v>2247633.8002369492</v>
      </c>
      <c r="J25" s="259" t="s">
        <v>42</v>
      </c>
      <c r="K25" s="250"/>
      <c r="L25" s="250"/>
      <c r="M25" s="251">
        <f t="shared" si="2"/>
        <v>0</v>
      </c>
    </row>
    <row r="26" spans="1:14">
      <c r="A26" s="240">
        <f t="shared" si="0"/>
        <v>16</v>
      </c>
      <c r="B26" s="245"/>
      <c r="C26" s="246" t="s">
        <v>13</v>
      </c>
      <c r="D26" s="246"/>
      <c r="E26" s="246"/>
      <c r="F26" s="770">
        <f>SUM(F11:F25)</f>
        <v>26515238.306433272</v>
      </c>
      <c r="G26" s="770">
        <f>SUM(G11:G25)</f>
        <v>11674347.652243791</v>
      </c>
      <c r="H26" s="252">
        <f>SUM(H11:H25)</f>
        <v>38189585.958677061</v>
      </c>
      <c r="J26" s="260"/>
      <c r="K26" s="252">
        <f>SUM(K11:K25)</f>
        <v>0</v>
      </c>
      <c r="L26" s="252">
        <f>SUM(L11:L25)</f>
        <v>0</v>
      </c>
      <c r="M26" s="252">
        <f>SUM(M11:M25)</f>
        <v>0</v>
      </c>
      <c r="N26" s="252"/>
    </row>
    <row r="27" spans="1:14">
      <c r="A27" s="240">
        <f t="shared" si="0"/>
        <v>17</v>
      </c>
      <c r="B27" s="245"/>
      <c r="C27" s="253"/>
      <c r="D27" s="253"/>
      <c r="E27" s="253"/>
      <c r="F27" s="254"/>
      <c r="G27" s="248"/>
      <c r="H27" s="248"/>
      <c r="J27" s="260"/>
      <c r="K27" s="254"/>
      <c r="L27" s="248"/>
      <c r="M27" s="248"/>
    </row>
    <row r="28" spans="1:14">
      <c r="A28" s="240">
        <f t="shared" si="0"/>
        <v>18</v>
      </c>
      <c r="B28" s="245"/>
      <c r="C28" s="246" t="s">
        <v>14</v>
      </c>
      <c r="D28" s="246"/>
      <c r="E28" s="246"/>
      <c r="F28" s="252"/>
      <c r="G28" s="248"/>
      <c r="H28" s="248"/>
      <c r="J28" s="260"/>
      <c r="K28" s="252"/>
      <c r="L28" s="248"/>
      <c r="M28" s="248"/>
    </row>
    <row r="29" spans="1:14">
      <c r="A29" s="240">
        <f t="shared" si="0"/>
        <v>19</v>
      </c>
      <c r="B29" s="245">
        <v>568</v>
      </c>
      <c r="C29" s="246" t="s">
        <v>1416</v>
      </c>
      <c r="D29" s="246"/>
      <c r="E29" s="246" t="s">
        <v>1393</v>
      </c>
      <c r="F29" s="247">
        <v>32140.421246251593</v>
      </c>
      <c r="G29" s="247">
        <v>202874.59158580092</v>
      </c>
      <c r="H29" s="248">
        <f t="shared" ref="H29:H38" si="3">SUM(F29:G29)</f>
        <v>235015.01283205251</v>
      </c>
      <c r="J29" s="259" t="s">
        <v>43</v>
      </c>
      <c r="K29" s="247"/>
      <c r="L29" s="247"/>
      <c r="M29" s="248">
        <f t="shared" ref="M29:M38" si="4">SUM(K29:L29)</f>
        <v>0</v>
      </c>
    </row>
    <row r="30" spans="1:14">
      <c r="A30" s="240">
        <f t="shared" si="0"/>
        <v>20</v>
      </c>
      <c r="B30" s="245">
        <v>569</v>
      </c>
      <c r="C30" s="246" t="s">
        <v>15</v>
      </c>
      <c r="D30" s="246"/>
      <c r="E30" s="246" t="s">
        <v>1393</v>
      </c>
      <c r="F30" s="247">
        <v>10156.513454639346</v>
      </c>
      <c r="G30" s="247">
        <v>0</v>
      </c>
      <c r="H30" s="248">
        <f t="shared" si="3"/>
        <v>10156.513454639346</v>
      </c>
      <c r="J30" s="259" t="s">
        <v>44</v>
      </c>
      <c r="K30" s="247"/>
      <c r="L30" s="247"/>
      <c r="M30" s="248">
        <f t="shared" si="4"/>
        <v>0</v>
      </c>
    </row>
    <row r="31" spans="1:14">
      <c r="A31" s="240">
        <f t="shared" si="0"/>
        <v>21</v>
      </c>
      <c r="B31" s="1174" t="s">
        <v>1798</v>
      </c>
      <c r="C31" s="246" t="s">
        <v>16</v>
      </c>
      <c r="D31" s="246"/>
      <c r="E31" s="246" t="s">
        <v>1393</v>
      </c>
      <c r="F31" s="247">
        <v>0</v>
      </c>
      <c r="G31" s="247">
        <v>0</v>
      </c>
      <c r="H31" s="248">
        <f t="shared" si="3"/>
        <v>0</v>
      </c>
      <c r="J31" s="259" t="s">
        <v>45</v>
      </c>
      <c r="K31" s="247"/>
      <c r="L31" s="247"/>
      <c r="M31" s="248">
        <f t="shared" si="4"/>
        <v>0</v>
      </c>
    </row>
    <row r="32" spans="1:14">
      <c r="A32" s="240">
        <f t="shared" si="0"/>
        <v>22</v>
      </c>
      <c r="B32" s="1174" t="s">
        <v>1799</v>
      </c>
      <c r="C32" s="246" t="s">
        <v>17</v>
      </c>
      <c r="D32" s="246"/>
      <c r="E32" s="246" t="s">
        <v>1393</v>
      </c>
      <c r="F32" s="247">
        <v>0</v>
      </c>
      <c r="G32" s="247">
        <v>0</v>
      </c>
      <c r="H32" s="248">
        <f t="shared" si="3"/>
        <v>0</v>
      </c>
      <c r="J32" s="259" t="s">
        <v>46</v>
      </c>
      <c r="K32" s="247"/>
      <c r="L32" s="247"/>
      <c r="M32" s="248">
        <f t="shared" si="4"/>
        <v>0</v>
      </c>
    </row>
    <row r="33" spans="1:14">
      <c r="A33" s="240">
        <f t="shared" si="0"/>
        <v>23</v>
      </c>
      <c r="B33" s="1174" t="s">
        <v>1800</v>
      </c>
      <c r="C33" s="246" t="s">
        <v>18</v>
      </c>
      <c r="D33" s="246"/>
      <c r="E33" s="246" t="s">
        <v>1393</v>
      </c>
      <c r="F33" s="247">
        <v>0</v>
      </c>
      <c r="G33" s="247">
        <v>0</v>
      </c>
      <c r="H33" s="248">
        <f t="shared" si="3"/>
        <v>0</v>
      </c>
      <c r="J33" s="259" t="s">
        <v>47</v>
      </c>
      <c r="K33" s="247"/>
      <c r="L33" s="247"/>
      <c r="M33" s="248">
        <f t="shared" si="4"/>
        <v>0</v>
      </c>
    </row>
    <row r="34" spans="1:14">
      <c r="A34" s="240">
        <f t="shared" si="0"/>
        <v>24</v>
      </c>
      <c r="B34" s="1174" t="s">
        <v>1801</v>
      </c>
      <c r="C34" s="246" t="s">
        <v>19</v>
      </c>
      <c r="D34" s="246"/>
      <c r="E34" s="246" t="s">
        <v>1393</v>
      </c>
      <c r="F34" s="247">
        <v>0</v>
      </c>
      <c r="G34" s="247">
        <v>0</v>
      </c>
      <c r="H34" s="248">
        <f t="shared" si="3"/>
        <v>0</v>
      </c>
      <c r="J34" s="259" t="s">
        <v>48</v>
      </c>
      <c r="K34" s="247"/>
      <c r="L34" s="247"/>
      <c r="M34" s="248">
        <f t="shared" si="4"/>
        <v>0</v>
      </c>
    </row>
    <row r="35" spans="1:14">
      <c r="A35" s="240">
        <f t="shared" si="0"/>
        <v>25</v>
      </c>
      <c r="B35" s="245">
        <v>570</v>
      </c>
      <c r="C35" s="246" t="s">
        <v>20</v>
      </c>
      <c r="D35" s="246"/>
      <c r="E35" s="246" t="s">
        <v>1393</v>
      </c>
      <c r="F35" s="247">
        <v>1365132.0219015968</v>
      </c>
      <c r="G35" s="247">
        <v>4062026.0159663958</v>
      </c>
      <c r="H35" s="248">
        <f t="shared" si="3"/>
        <v>5427158.0378679931</v>
      </c>
      <c r="J35" s="259" t="s">
        <v>49</v>
      </c>
      <c r="K35" s="247"/>
      <c r="L35" s="247"/>
      <c r="M35" s="248">
        <f t="shared" si="4"/>
        <v>0</v>
      </c>
    </row>
    <row r="36" spans="1:14">
      <c r="A36" s="240">
        <f t="shared" si="0"/>
        <v>26</v>
      </c>
      <c r="B36" s="245">
        <v>571</v>
      </c>
      <c r="C36" s="246" t="s">
        <v>999</v>
      </c>
      <c r="D36" s="246"/>
      <c r="E36" s="246" t="s">
        <v>1393</v>
      </c>
      <c r="F36" s="247">
        <v>7033281.8079010174</v>
      </c>
      <c r="G36" s="247">
        <v>449933.13640645961</v>
      </c>
      <c r="H36" s="248">
        <f t="shared" si="3"/>
        <v>7483214.9443074772</v>
      </c>
      <c r="J36" s="259" t="s">
        <v>50</v>
      </c>
      <c r="K36" s="247"/>
      <c r="L36" s="247"/>
      <c r="M36" s="248">
        <f t="shared" si="4"/>
        <v>0</v>
      </c>
    </row>
    <row r="37" spans="1:14">
      <c r="A37" s="240">
        <f t="shared" si="0"/>
        <v>27</v>
      </c>
      <c r="B37" s="245">
        <v>572</v>
      </c>
      <c r="C37" s="246" t="s">
        <v>21</v>
      </c>
      <c r="D37" s="246"/>
      <c r="E37" s="246" t="s">
        <v>1393</v>
      </c>
      <c r="F37" s="247">
        <v>207507.24295575343</v>
      </c>
      <c r="G37" s="247">
        <v>100072.85605256623</v>
      </c>
      <c r="H37" s="248">
        <f t="shared" si="3"/>
        <v>307580.09900831967</v>
      </c>
      <c r="J37" s="259" t="s">
        <v>51</v>
      </c>
      <c r="K37" s="247"/>
      <c r="L37" s="247"/>
      <c r="M37" s="248">
        <f t="shared" si="4"/>
        <v>0</v>
      </c>
    </row>
    <row r="38" spans="1:14">
      <c r="A38" s="240">
        <f t="shared" si="0"/>
        <v>28</v>
      </c>
      <c r="B38" s="245">
        <v>573</v>
      </c>
      <c r="C38" s="246" t="s">
        <v>22</v>
      </c>
      <c r="D38" s="246"/>
      <c r="E38" s="246" t="s">
        <v>1393</v>
      </c>
      <c r="F38" s="769">
        <v>-4.3868612478097395</v>
      </c>
      <c r="G38" s="769">
        <v>0</v>
      </c>
      <c r="H38" s="251">
        <f t="shared" si="3"/>
        <v>-4.3868612478097395</v>
      </c>
      <c r="J38" s="259" t="s">
        <v>52</v>
      </c>
      <c r="K38" s="250"/>
      <c r="L38" s="250"/>
      <c r="M38" s="251">
        <f t="shared" si="4"/>
        <v>0</v>
      </c>
    </row>
    <row r="39" spans="1:14">
      <c r="A39" s="240">
        <f t="shared" si="0"/>
        <v>29</v>
      </c>
      <c r="B39" s="245"/>
      <c r="C39" s="246" t="s">
        <v>23</v>
      </c>
      <c r="D39" s="246"/>
      <c r="E39" s="246"/>
      <c r="F39" s="770">
        <f>SUM(F29:F38)</f>
        <v>8648213.6205980107</v>
      </c>
      <c r="G39" s="770">
        <f>SUM(G29:G38)</f>
        <v>4814906.600011223</v>
      </c>
      <c r="H39" s="770">
        <f>SUM(H29:H38)</f>
        <v>13463120.220609233</v>
      </c>
      <c r="K39" s="252">
        <f>SUM(K29:K38)</f>
        <v>0</v>
      </c>
      <c r="L39" s="252">
        <f>SUM(L29:L38)</f>
        <v>0</v>
      </c>
      <c r="M39" s="252">
        <f>SUM(M29:M38)</f>
        <v>0</v>
      </c>
      <c r="N39" s="252"/>
    </row>
    <row r="40" spans="1:14" ht="13.5" thickBot="1">
      <c r="A40" s="240">
        <f t="shared" si="0"/>
        <v>30</v>
      </c>
      <c r="B40" s="245"/>
      <c r="C40" s="253"/>
      <c r="D40" s="253"/>
      <c r="E40" s="253"/>
      <c r="F40" s="254"/>
      <c r="G40" s="248"/>
      <c r="H40" s="248"/>
      <c r="K40" s="254"/>
      <c r="L40" s="248"/>
      <c r="M40" s="248"/>
    </row>
    <row r="41" spans="1:14" ht="13.5" thickBot="1">
      <c r="A41" s="240">
        <f t="shared" si="0"/>
        <v>31</v>
      </c>
      <c r="B41" s="245"/>
      <c r="C41" s="246" t="s">
        <v>24</v>
      </c>
      <c r="D41" s="246"/>
      <c r="E41" s="246"/>
      <c r="F41" s="255">
        <f>F39+F26</f>
        <v>35163451.927031279</v>
      </c>
      <c r="G41" s="696">
        <f>G39+G26</f>
        <v>16489254.252255015</v>
      </c>
      <c r="H41" s="615">
        <f>H39+H26</f>
        <v>51652706.179286294</v>
      </c>
      <c r="K41" s="255">
        <f>K39+K26</f>
        <v>0</v>
      </c>
      <c r="L41" s="615">
        <f>L39+L26</f>
        <v>0</v>
      </c>
      <c r="M41" s="615">
        <f>M39+M26</f>
        <v>0</v>
      </c>
      <c r="N41" s="252"/>
    </row>
    <row r="42" spans="1:14" ht="13.5" thickTop="1">
      <c r="A42" s="240">
        <f t="shared" si="0"/>
        <v>32</v>
      </c>
      <c r="B42" s="240"/>
      <c r="C42" s="241"/>
      <c r="D42" s="241"/>
      <c r="E42" s="241"/>
      <c r="F42" s="248"/>
      <c r="G42" s="248"/>
      <c r="H42" s="248"/>
      <c r="M42" s="241"/>
    </row>
    <row r="43" spans="1:14" ht="13.5" thickBot="1">
      <c r="A43" s="240">
        <f t="shared" si="0"/>
        <v>33</v>
      </c>
      <c r="B43" s="245"/>
      <c r="C43" s="246"/>
      <c r="D43" s="246"/>
      <c r="E43" s="246"/>
      <c r="F43" s="256"/>
      <c r="G43" s="256"/>
      <c r="H43" s="256"/>
      <c r="I43" s="241"/>
      <c r="J43" s="241"/>
      <c r="K43" s="241"/>
      <c r="L43" s="241"/>
      <c r="M43" s="241"/>
      <c r="N43" s="248"/>
    </row>
    <row r="44" spans="1:14" ht="26.25" thickBot="1">
      <c r="A44" s="240">
        <f t="shared" si="0"/>
        <v>34</v>
      </c>
      <c r="B44" s="964">
        <v>565</v>
      </c>
      <c r="C44" t="s">
        <v>520</v>
      </c>
      <c r="D44"/>
      <c r="E44" s="246" t="s">
        <v>1393</v>
      </c>
      <c r="F44" s="247"/>
      <c r="G44" s="247"/>
      <c r="H44" s="614">
        <f>SUM(F44:G44)</f>
        <v>0</v>
      </c>
      <c r="J44" s="511" t="s">
        <v>1393</v>
      </c>
      <c r="K44" s="247"/>
      <c r="L44" s="613"/>
      <c r="M44" s="614">
        <f>SUM(K44:L44)</f>
        <v>0</v>
      </c>
      <c r="N44" s="476"/>
    </row>
    <row r="45" spans="1:14" ht="13.5" thickBot="1">
      <c r="A45" s="240">
        <f t="shared" si="0"/>
        <v>35</v>
      </c>
      <c r="M45" s="241"/>
    </row>
    <row r="46" spans="1:14" ht="13.5" thickBot="1">
      <c r="A46" s="240">
        <f t="shared" si="0"/>
        <v>36</v>
      </c>
      <c r="B46" s="420">
        <v>561</v>
      </c>
      <c r="C46" s="313" t="s">
        <v>502</v>
      </c>
      <c r="D46" s="313"/>
      <c r="E46" s="313" t="s">
        <v>501</v>
      </c>
      <c r="F46" s="635">
        <f>SUM(F12:F19)</f>
        <v>4785190.2149670077</v>
      </c>
      <c r="G46" s="635">
        <f>SUM(G12:G19)</f>
        <v>3866261.5967973336</v>
      </c>
      <c r="H46" s="723">
        <f>SUM(H12:H19)</f>
        <v>8651451.8117643408</v>
      </c>
      <c r="I46" s="313"/>
      <c r="J46" s="313"/>
      <c r="K46" s="635">
        <f>SUM(K12:K19)</f>
        <v>0</v>
      </c>
      <c r="L46" s="635">
        <f>SUM(L12:L19)</f>
        <v>0</v>
      </c>
      <c r="M46" s="723">
        <f>SUM(M12:M19)</f>
        <v>0</v>
      </c>
    </row>
    <row r="47" spans="1:14">
      <c r="B47" s="420"/>
      <c r="C47" s="313"/>
      <c r="D47" s="313"/>
      <c r="E47" s="313"/>
      <c r="F47" s="313"/>
      <c r="G47" s="313"/>
      <c r="H47" s="313"/>
      <c r="I47" s="313"/>
      <c r="J47" s="313"/>
      <c r="K47" s="313"/>
      <c r="L47" s="313"/>
      <c r="M47" s="313"/>
    </row>
    <row r="48" spans="1:14" ht="25.5" customHeight="1">
      <c r="B48" s="1243" t="s">
        <v>384</v>
      </c>
      <c r="C48" s="1243"/>
      <c r="D48" s="1243"/>
      <c r="E48" s="1243"/>
      <c r="F48" s="1243"/>
      <c r="G48" s="1243"/>
      <c r="H48" s="1243"/>
      <c r="I48" s="1243"/>
      <c r="J48" s="1243"/>
      <c r="K48" s="1243"/>
      <c r="L48" s="1243"/>
      <c r="M48" s="1243"/>
    </row>
    <row r="49" spans="2:13" ht="27" customHeight="1">
      <c r="B49" s="1243" t="s">
        <v>1228</v>
      </c>
      <c r="C49" s="1243"/>
      <c r="D49" s="1243"/>
      <c r="E49" s="1243"/>
      <c r="F49" s="1243"/>
      <c r="G49" s="1243"/>
      <c r="H49" s="1243"/>
      <c r="I49" s="1243"/>
      <c r="J49" s="1243"/>
      <c r="K49" s="1243"/>
      <c r="L49" s="1243"/>
      <c r="M49" s="1243"/>
    </row>
    <row r="50" spans="2:13" ht="27.75" customHeight="1">
      <c r="B50" s="1243" t="s">
        <v>1002</v>
      </c>
      <c r="C50" s="1243"/>
      <c r="D50" s="1243"/>
      <c r="E50" s="1243"/>
      <c r="F50" s="1243"/>
      <c r="G50" s="1243"/>
      <c r="H50" s="1243"/>
      <c r="I50" s="1243"/>
      <c r="J50" s="1243"/>
      <c r="K50" s="1243"/>
      <c r="L50" s="1243"/>
      <c r="M50" s="1243"/>
    </row>
    <row r="54" spans="2:13">
      <c r="F54" s="315"/>
      <c r="G54" s="93"/>
      <c r="H54" s="93"/>
    </row>
    <row r="55" spans="2:13">
      <c r="B55" s="517"/>
    </row>
    <row r="56" spans="2:13">
      <c r="F56" s="93"/>
      <c r="G56" s="93"/>
    </row>
    <row r="58" spans="2:13">
      <c r="F58" s="93"/>
      <c r="G58" s="93"/>
      <c r="H58" s="93"/>
    </row>
    <row r="59" spans="2:13">
      <c r="H59" s="93"/>
    </row>
    <row r="62" spans="2:13">
      <c r="F62" s="315"/>
    </row>
    <row r="63" spans="2:13">
      <c r="F63" s="315"/>
    </row>
    <row r="64" spans="2:13">
      <c r="F64" s="315"/>
    </row>
    <row r="65" spans="6:6">
      <c r="F65" s="315"/>
    </row>
    <row r="66" spans="6:6">
      <c r="F66" s="315"/>
    </row>
    <row r="67" spans="6:6">
      <c r="F67" s="315"/>
    </row>
    <row r="68" spans="6:6">
      <c r="F68" s="315"/>
    </row>
    <row r="69" spans="6:6">
      <c r="F69" s="315"/>
    </row>
    <row r="70" spans="6:6">
      <c r="F70" s="315"/>
    </row>
    <row r="71" spans="6:6">
      <c r="F71" s="315"/>
    </row>
    <row r="72" spans="6:6">
      <c r="F72" s="315"/>
    </row>
    <row r="73" spans="6:6">
      <c r="F73" s="315"/>
    </row>
    <row r="74" spans="6:6">
      <c r="F74" s="315"/>
    </row>
    <row r="75" spans="6:6">
      <c r="F75" s="315"/>
    </row>
    <row r="76" spans="6:6">
      <c r="F76" s="315"/>
    </row>
    <row r="77" spans="6:6">
      <c r="F77" s="315"/>
    </row>
    <row r="78" spans="6:6">
      <c r="F78" s="315"/>
    </row>
    <row r="79" spans="6:6">
      <c r="F79" s="315"/>
    </row>
    <row r="80" spans="6:6">
      <c r="F80" s="315"/>
    </row>
  </sheetData>
  <mergeCells count="5">
    <mergeCell ref="J7:M7"/>
    <mergeCell ref="B50:M50"/>
    <mergeCell ref="E7:H7"/>
    <mergeCell ref="B49:M49"/>
    <mergeCell ref="B48:M48"/>
  </mergeCells>
  <phoneticPr fontId="2" type="noConversion"/>
  <printOptions horizontalCentered="1"/>
  <pageMargins left="0.75" right="0.75" top="1" bottom="1" header="0.5" footer="0.5"/>
  <pageSetup scale="67" orientation="landscape" r:id="rId1"/>
  <headerFooter alignWithMargins="0">
    <oddHeader>&amp;RPage &amp;P of &amp;N</oddHeader>
  </headerFooter>
  <ignoredErrors>
    <ignoredError sqref="B2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A15"/>
  <sheetViews>
    <sheetView workbookViewId="0">
      <selection activeCell="A5" sqref="A5"/>
    </sheetView>
  </sheetViews>
  <sheetFormatPr defaultRowHeight="12.75"/>
  <cols>
    <col min="1" max="1" width="94.42578125" customWidth="1"/>
  </cols>
  <sheetData>
    <row r="5" spans="1:1" ht="20.25">
      <c r="A5" s="2" t="s">
        <v>779</v>
      </c>
    </row>
    <row r="6" spans="1:1" ht="20.25">
      <c r="A6" s="2" t="s">
        <v>383</v>
      </c>
    </row>
    <row r="7" spans="1:1" ht="20.25">
      <c r="A7" s="3" t="s">
        <v>1783</v>
      </c>
    </row>
    <row r="14" spans="1:1">
      <c r="A14" s="576"/>
    </row>
    <row r="15" spans="1:1" ht="15">
      <c r="A15" s="577"/>
    </row>
  </sheetData>
  <phoneticPr fontId="2" type="noConversion"/>
  <pageMargins left="0.75" right="0.75" top="1" bottom="1" header="0.5" footer="0.5"/>
  <pageSetup orientation="portrait" r:id="rId1"/>
  <headerFooter alignWithMargins="0">
    <oddHeader>&amp;RPage &amp;P of &amp;N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pageSetUpPr fitToPage="1"/>
  </sheetPr>
  <dimension ref="A1:J68"/>
  <sheetViews>
    <sheetView topLeftCell="A16" workbookViewId="0">
      <selection activeCell="G25" sqref="G25"/>
    </sheetView>
  </sheetViews>
  <sheetFormatPr defaultRowHeight="12.75"/>
  <cols>
    <col min="1" max="1" width="5.28515625" customWidth="1"/>
    <col min="2" max="2" width="7" customWidth="1"/>
    <col min="3" max="3" width="49" customWidth="1"/>
    <col min="4" max="4" width="22.42578125" bestFit="1" customWidth="1"/>
    <col min="5" max="5" width="14.7109375" bestFit="1" customWidth="1"/>
    <col min="6" max="6" width="13.5703125" bestFit="1" customWidth="1"/>
    <col min="7" max="7" width="14.5703125" bestFit="1" customWidth="1"/>
    <col min="8" max="8" width="3.28515625" customWidth="1"/>
    <col min="10" max="10" width="11.140625" bestFit="1" customWidth="1"/>
  </cols>
  <sheetData>
    <row r="1" spans="1:10">
      <c r="A1" s="98" t="str">
        <f>'Cover Page'!A5</f>
        <v>Public Service Company of Colorado</v>
      </c>
      <c r="B1" s="98"/>
      <c r="G1" s="133" t="str">
        <f>'Table of Contents'!A26</f>
        <v>Table 18</v>
      </c>
    </row>
    <row r="2" spans="1:10">
      <c r="A2" s="98" t="str">
        <f>'Cover Page'!A6</f>
        <v>Transmission Formula Rate Template</v>
      </c>
      <c r="B2" s="98"/>
      <c r="G2" s="133" t="str">
        <f ca="1">MID(CELL("filename",$A$1),FIND("]",CELL("filename",$A$1))+1,LEN(CELL("filename",$A$1))-FIND("]",CELL("filename",$A$1)))</f>
        <v>WP_C-2</v>
      </c>
    </row>
    <row r="3" spans="1:10">
      <c r="A3" s="98" t="str">
        <f>'Cover Page'!A7</f>
        <v>Twelve Months Ended December 31, 2018</v>
      </c>
      <c r="B3" s="98"/>
    </row>
    <row r="4" spans="1:10">
      <c r="A4" s="179" t="s">
        <v>53</v>
      </c>
      <c r="B4" s="98"/>
    </row>
    <row r="5" spans="1:10" ht="13.5" thickBot="1">
      <c r="A5" s="167"/>
      <c r="B5" s="167"/>
      <c r="C5" s="167"/>
      <c r="D5" s="167"/>
      <c r="E5" s="167"/>
      <c r="F5" s="167"/>
      <c r="G5" s="167"/>
      <c r="H5" s="167"/>
    </row>
    <row r="6" spans="1:10">
      <c r="A6" s="309" t="s">
        <v>990</v>
      </c>
      <c r="B6" s="310"/>
      <c r="C6" s="310"/>
      <c r="D6" s="310"/>
      <c r="E6" s="310"/>
      <c r="F6" s="310"/>
      <c r="G6" s="552"/>
      <c r="H6" s="167"/>
    </row>
    <row r="7" spans="1:10">
      <c r="A7" s="261"/>
      <c r="B7" s="167"/>
      <c r="C7" s="167"/>
      <c r="D7" s="167"/>
      <c r="E7" s="167"/>
      <c r="F7" s="167"/>
      <c r="G7" s="262"/>
      <c r="H7" s="167"/>
    </row>
    <row r="8" spans="1:10" ht="25.5">
      <c r="A8" s="562" t="s">
        <v>868</v>
      </c>
      <c r="B8" s="1" t="s">
        <v>897</v>
      </c>
      <c r="C8" s="1" t="s">
        <v>54</v>
      </c>
      <c r="D8" s="1" t="s">
        <v>870</v>
      </c>
      <c r="E8" s="1" t="s">
        <v>55</v>
      </c>
      <c r="F8" s="1" t="s">
        <v>67</v>
      </c>
      <c r="G8" s="563" t="s">
        <v>56</v>
      </c>
      <c r="H8" s="197"/>
    </row>
    <row r="9" spans="1:10">
      <c r="A9" s="261"/>
      <c r="B9" s="167"/>
      <c r="C9" s="167"/>
      <c r="D9" s="167"/>
      <c r="E9" s="316" t="s">
        <v>363</v>
      </c>
      <c r="F9" s="695" t="s">
        <v>362</v>
      </c>
      <c r="G9" s="727" t="s">
        <v>364</v>
      </c>
      <c r="H9" s="167"/>
    </row>
    <row r="10" spans="1:10">
      <c r="A10" s="261"/>
      <c r="B10" s="167"/>
      <c r="C10" s="167"/>
      <c r="D10" s="167"/>
      <c r="E10" s="167"/>
      <c r="F10" s="167"/>
      <c r="G10" s="262"/>
      <c r="H10" s="167"/>
    </row>
    <row r="11" spans="1:10">
      <c r="A11" s="263">
        <v>1</v>
      </c>
      <c r="B11" s="264">
        <v>920</v>
      </c>
      <c r="C11" s="265" t="s">
        <v>58</v>
      </c>
      <c r="D11" s="201" t="s">
        <v>1393</v>
      </c>
      <c r="E11" s="741">
        <v>43386292.852900341</v>
      </c>
      <c r="F11" s="220">
        <v>0</v>
      </c>
      <c r="G11" s="564">
        <f>SUM(E11:F11)</f>
        <v>43386292.852900341</v>
      </c>
      <c r="H11" s="182"/>
      <c r="J11" s="593"/>
    </row>
    <row r="12" spans="1:10">
      <c r="A12" s="263">
        <f t="shared" ref="A12:A25" si="0">A11+1</f>
        <v>2</v>
      </c>
      <c r="B12" s="264">
        <v>921</v>
      </c>
      <c r="C12" s="265" t="s">
        <v>59</v>
      </c>
      <c r="D12" s="201" t="s">
        <v>1393</v>
      </c>
      <c r="E12" s="741">
        <v>32241544.73732233</v>
      </c>
      <c r="F12" s="270">
        <v>0</v>
      </c>
      <c r="G12" s="268">
        <f>SUM(E12:F12)</f>
        <v>32241544.73732233</v>
      </c>
      <c r="H12" s="270"/>
    </row>
    <row r="13" spans="1:10">
      <c r="A13" s="263">
        <f t="shared" si="0"/>
        <v>3</v>
      </c>
      <c r="B13" s="264">
        <v>922</v>
      </c>
      <c r="C13" s="265" t="s">
        <v>60</v>
      </c>
      <c r="D13" s="201" t="s">
        <v>1393</v>
      </c>
      <c r="E13" s="741">
        <v>-30054170.001644302</v>
      </c>
      <c r="F13" s="182">
        <v>0</v>
      </c>
      <c r="G13" s="268">
        <f t="shared" ref="G13:G24" si="1">SUM(E13:F13)</f>
        <v>-30054170.001644302</v>
      </c>
      <c r="H13" s="182"/>
    </row>
    <row r="14" spans="1:10">
      <c r="A14" s="263">
        <f t="shared" si="0"/>
        <v>4</v>
      </c>
      <c r="B14" s="264">
        <v>923</v>
      </c>
      <c r="C14" s="190" t="s">
        <v>68</v>
      </c>
      <c r="D14" s="201" t="s">
        <v>1393</v>
      </c>
      <c r="E14" s="741">
        <v>18838512.235095564</v>
      </c>
      <c r="F14" s="139">
        <v>0</v>
      </c>
      <c r="G14" s="268">
        <f t="shared" si="1"/>
        <v>18838512.235095564</v>
      </c>
      <c r="H14" s="182"/>
    </row>
    <row r="15" spans="1:10">
      <c r="A15" s="263">
        <f t="shared" si="0"/>
        <v>5</v>
      </c>
      <c r="B15" s="264">
        <v>924</v>
      </c>
      <c r="C15" s="167" t="s">
        <v>65</v>
      </c>
      <c r="D15" s="201" t="s">
        <v>1393</v>
      </c>
      <c r="E15" s="741">
        <v>2632768.2408606433</v>
      </c>
      <c r="F15" s="182">
        <v>0</v>
      </c>
      <c r="G15" s="268">
        <f t="shared" si="1"/>
        <v>2632768.2408606433</v>
      </c>
      <c r="H15" s="267"/>
    </row>
    <row r="16" spans="1:10">
      <c r="A16" s="263">
        <f t="shared" si="0"/>
        <v>6</v>
      </c>
      <c r="B16" s="264">
        <v>925</v>
      </c>
      <c r="C16" s="265" t="s">
        <v>61</v>
      </c>
      <c r="D16" s="201" t="s">
        <v>1393</v>
      </c>
      <c r="E16" s="741">
        <v>5428143.4583837623</v>
      </c>
      <c r="F16" s="270">
        <v>0</v>
      </c>
      <c r="G16" s="268">
        <f t="shared" si="1"/>
        <v>5428143.4583837623</v>
      </c>
      <c r="H16" s="270"/>
    </row>
    <row r="17" spans="1:8">
      <c r="A17" s="263">
        <f t="shared" si="0"/>
        <v>7</v>
      </c>
      <c r="B17" s="264">
        <v>926</v>
      </c>
      <c r="C17" s="265" t="s">
        <v>616</v>
      </c>
      <c r="D17" s="201" t="s">
        <v>1393</v>
      </c>
      <c r="E17" s="741">
        <v>53976067.421911426</v>
      </c>
      <c r="F17" s="270">
        <f>'WP_C-3'!E55</f>
        <v>0</v>
      </c>
      <c r="G17" s="268">
        <f t="shared" si="1"/>
        <v>53976067.421911426</v>
      </c>
      <c r="H17" s="270"/>
    </row>
    <row r="18" spans="1:8">
      <c r="A18" s="263">
        <f t="shared" si="0"/>
        <v>8</v>
      </c>
      <c r="B18" s="264">
        <v>927</v>
      </c>
      <c r="C18" s="265" t="s">
        <v>69</v>
      </c>
      <c r="D18" s="201" t="s">
        <v>1393</v>
      </c>
      <c r="E18" s="741">
        <v>0</v>
      </c>
      <c r="F18" s="182">
        <v>0</v>
      </c>
      <c r="G18" s="268">
        <f t="shared" si="1"/>
        <v>0</v>
      </c>
      <c r="H18" s="182"/>
    </row>
    <row r="19" spans="1:8">
      <c r="A19" s="263">
        <f t="shared" si="0"/>
        <v>9</v>
      </c>
      <c r="B19" s="264">
        <v>928</v>
      </c>
      <c r="C19" s="167" t="s">
        <v>618</v>
      </c>
      <c r="D19" s="201" t="s">
        <v>1393</v>
      </c>
      <c r="E19" s="741">
        <v>8470961.1720088255</v>
      </c>
      <c r="F19" s="182">
        <f>-E19</f>
        <v>-8470961.1720088255</v>
      </c>
      <c r="G19" s="268">
        <f t="shared" si="1"/>
        <v>0</v>
      </c>
      <c r="H19" s="182"/>
    </row>
    <row r="20" spans="1:8">
      <c r="A20" s="263">
        <f t="shared" si="0"/>
        <v>10</v>
      </c>
      <c r="B20" s="264">
        <v>929</v>
      </c>
      <c r="C20" s="265" t="s">
        <v>62</v>
      </c>
      <c r="D20" s="201" t="s">
        <v>1393</v>
      </c>
      <c r="E20" s="741">
        <v>-2337949.8078999999</v>
      </c>
      <c r="F20" s="182">
        <v>0</v>
      </c>
      <c r="G20" s="268">
        <f t="shared" si="1"/>
        <v>-2337949.8078999999</v>
      </c>
      <c r="H20" s="182"/>
    </row>
    <row r="21" spans="1:8">
      <c r="A21" s="263">
        <f t="shared" si="0"/>
        <v>11</v>
      </c>
      <c r="B21" s="271">
        <v>930.1</v>
      </c>
      <c r="C21" s="167" t="s">
        <v>619</v>
      </c>
      <c r="D21" s="201" t="s">
        <v>1393</v>
      </c>
      <c r="E21" s="741">
        <v>3373899.570954259</v>
      </c>
      <c r="F21" s="182">
        <f>-E21</f>
        <v>-3373899.570954259</v>
      </c>
      <c r="G21" s="268">
        <f t="shared" si="1"/>
        <v>0</v>
      </c>
      <c r="H21" s="182"/>
    </row>
    <row r="22" spans="1:8">
      <c r="A22" s="263">
        <f t="shared" si="0"/>
        <v>12</v>
      </c>
      <c r="B22" s="271">
        <v>930.2</v>
      </c>
      <c r="C22" s="265" t="s">
        <v>620</v>
      </c>
      <c r="D22" s="201" t="s">
        <v>1393</v>
      </c>
      <c r="E22" s="741">
        <v>2937958.0758613711</v>
      </c>
      <c r="F22" s="139">
        <f>-E34</f>
        <v>-1108200</v>
      </c>
      <c r="G22" s="268">
        <f t="shared" si="1"/>
        <v>1829758.0758613711</v>
      </c>
      <c r="H22" s="182"/>
    </row>
    <row r="23" spans="1:8">
      <c r="A23" s="263">
        <f t="shared" si="0"/>
        <v>13</v>
      </c>
      <c r="B23" s="264">
        <v>931</v>
      </c>
      <c r="C23" s="190" t="s">
        <v>12</v>
      </c>
      <c r="D23" s="201" t="s">
        <v>1393</v>
      </c>
      <c r="E23" s="741">
        <v>27438847.201730978</v>
      </c>
      <c r="F23" s="270">
        <v>0</v>
      </c>
      <c r="G23" s="268">
        <f t="shared" si="1"/>
        <v>27438847.201730978</v>
      </c>
      <c r="H23" s="182"/>
    </row>
    <row r="24" spans="1:8" ht="13.5" thickBot="1">
      <c r="A24" s="263">
        <f t="shared" si="0"/>
        <v>14</v>
      </c>
      <c r="B24" s="264">
        <v>935</v>
      </c>
      <c r="C24" s="167" t="s">
        <v>63</v>
      </c>
      <c r="D24" s="201" t="s">
        <v>1393</v>
      </c>
      <c r="E24" s="741">
        <v>1254230.3035108671</v>
      </c>
      <c r="F24" s="180">
        <v>0</v>
      </c>
      <c r="G24" s="268">
        <f t="shared" si="1"/>
        <v>1254230.3035108671</v>
      </c>
      <c r="H24" s="182"/>
    </row>
    <row r="25" spans="1:8" ht="13.5" thickBot="1">
      <c r="A25" s="263">
        <f t="shared" si="0"/>
        <v>15</v>
      </c>
      <c r="B25" s="201"/>
      <c r="C25" s="208" t="s">
        <v>64</v>
      </c>
      <c r="D25" s="208"/>
      <c r="E25" s="740">
        <f>SUM(E11:E24)</f>
        <v>167587105.46099603</v>
      </c>
      <c r="F25" s="267">
        <f>SUM(F11:F24)</f>
        <v>-12953060.742963085</v>
      </c>
      <c r="G25" s="446">
        <f>SUM(G11:G24)</f>
        <v>154634044.71803299</v>
      </c>
      <c r="H25" s="182"/>
    </row>
    <row r="26" spans="1:8">
      <c r="A26" s="263"/>
      <c r="B26" s="201"/>
      <c r="C26" s="208"/>
      <c r="D26" s="208"/>
      <c r="E26" s="267"/>
      <c r="F26" s="267"/>
      <c r="G26" s="564"/>
      <c r="H26" s="182"/>
    </row>
    <row r="27" spans="1:8">
      <c r="A27" s="263"/>
      <c r="B27" s="201" t="s">
        <v>89</v>
      </c>
      <c r="C27" s="208"/>
      <c r="D27" s="208"/>
      <c r="E27" s="267"/>
      <c r="F27" s="267"/>
      <c r="G27" s="564"/>
      <c r="H27" s="182"/>
    </row>
    <row r="28" spans="1:8" ht="56.25" customHeight="1">
      <c r="A28" s="263"/>
      <c r="B28" s="1244" t="s">
        <v>1706</v>
      </c>
      <c r="C28" s="1244"/>
      <c r="D28" s="1244"/>
      <c r="E28" s="1244"/>
      <c r="F28" s="1244"/>
      <c r="G28" s="1245"/>
      <c r="H28" s="182"/>
    </row>
    <row r="29" spans="1:8">
      <c r="A29" s="263"/>
      <c r="B29" s="265" t="s">
        <v>406</v>
      </c>
      <c r="C29" s="208"/>
      <c r="D29" s="208"/>
      <c r="E29" s="267"/>
      <c r="F29" s="267"/>
      <c r="G29" s="564"/>
      <c r="H29" s="182"/>
    </row>
    <row r="30" spans="1:8">
      <c r="A30" s="263"/>
      <c r="B30" s="265" t="s">
        <v>621</v>
      </c>
      <c r="C30" s="208"/>
      <c r="D30" s="208"/>
      <c r="E30" s="267"/>
      <c r="F30" s="267"/>
      <c r="G30" s="564"/>
      <c r="H30" s="182"/>
    </row>
    <row r="31" spans="1:8">
      <c r="A31" s="263"/>
      <c r="B31" s="167" t="s">
        <v>925</v>
      </c>
      <c r="C31" s="167"/>
      <c r="D31" s="208"/>
      <c r="E31" s="267"/>
      <c r="F31" s="267"/>
      <c r="G31" s="564"/>
      <c r="H31" s="182"/>
    </row>
    <row r="32" spans="1:8">
      <c r="A32" s="263"/>
      <c r="B32" s="167"/>
      <c r="C32" s="536" t="s">
        <v>1326</v>
      </c>
      <c r="D32" s="536" t="s">
        <v>1327</v>
      </c>
      <c r="E32" s="269">
        <v>113236</v>
      </c>
      <c r="F32" s="267"/>
      <c r="G32" s="564"/>
      <c r="H32" s="182"/>
    </row>
    <row r="33" spans="1:9">
      <c r="A33" s="263"/>
      <c r="B33" s="167"/>
      <c r="C33" s="444" t="s">
        <v>1773</v>
      </c>
      <c r="D33" s="444" t="s">
        <v>1756</v>
      </c>
      <c r="E33" s="272">
        <v>994964</v>
      </c>
      <c r="F33" s="267"/>
      <c r="G33" s="564"/>
      <c r="H33" s="182"/>
    </row>
    <row r="34" spans="1:9">
      <c r="A34" s="263"/>
      <c r="B34" s="271"/>
      <c r="C34" s="632" t="s">
        <v>90</v>
      </c>
      <c r="D34" s="201"/>
      <c r="E34" s="726">
        <f>SUM(E32:E33)</f>
        <v>1108200</v>
      </c>
      <c r="F34" s="267"/>
      <c r="G34" s="564"/>
      <c r="H34" s="182"/>
    </row>
    <row r="35" spans="1:9" ht="13.5" thickBot="1">
      <c r="A35" s="565"/>
      <c r="B35" s="566"/>
      <c r="C35" s="567"/>
      <c r="D35" s="567"/>
      <c r="E35" s="568"/>
      <c r="F35" s="568"/>
      <c r="G35" s="569"/>
      <c r="H35" s="182"/>
    </row>
    <row r="36" spans="1:9">
      <c r="A36" s="201"/>
      <c r="B36" s="201"/>
      <c r="C36" s="208"/>
      <c r="D36" s="208"/>
      <c r="E36" s="267"/>
      <c r="F36" s="267"/>
      <c r="G36" s="267"/>
      <c r="H36" s="182"/>
    </row>
    <row r="37" spans="1:9">
      <c r="A37" s="201"/>
      <c r="B37" s="201"/>
      <c r="C37" s="208"/>
      <c r="D37" s="208"/>
      <c r="E37" s="267"/>
      <c r="F37" s="267"/>
      <c r="G37" s="267"/>
      <c r="H37" s="182"/>
    </row>
    <row r="38" spans="1:9" ht="13.5" thickBot="1">
      <c r="A38" s="167"/>
    </row>
    <row r="39" spans="1:9">
      <c r="A39" s="309" t="s">
        <v>1344</v>
      </c>
      <c r="B39" s="310"/>
      <c r="C39" s="310"/>
      <c r="D39" s="310"/>
      <c r="E39" s="310"/>
      <c r="F39" s="310"/>
      <c r="G39" s="552"/>
    </row>
    <row r="40" spans="1:9">
      <c r="A40" s="261"/>
      <c r="B40" s="167"/>
      <c r="C40" s="167"/>
      <c r="D40" s="167"/>
      <c r="G40" s="262"/>
    </row>
    <row r="41" spans="1:9" ht="25.5">
      <c r="A41" s="562" t="s">
        <v>868</v>
      </c>
      <c r="B41" s="1" t="s">
        <v>897</v>
      </c>
      <c r="C41" s="1" t="s">
        <v>54</v>
      </c>
      <c r="D41" s="1" t="s">
        <v>870</v>
      </c>
      <c r="E41" s="1" t="s">
        <v>55</v>
      </c>
      <c r="F41" s="1" t="s">
        <v>67</v>
      </c>
      <c r="G41" s="563" t="s">
        <v>56</v>
      </c>
    </row>
    <row r="42" spans="1:9">
      <c r="A42" s="261"/>
      <c r="B42" s="167"/>
      <c r="C42" s="167"/>
      <c r="D42" s="167"/>
      <c r="E42" s="316" t="s">
        <v>363</v>
      </c>
      <c r="F42" s="695" t="s">
        <v>362</v>
      </c>
      <c r="G42" s="727" t="s">
        <v>364</v>
      </c>
    </row>
    <row r="43" spans="1:9">
      <c r="A43" s="261"/>
      <c r="B43" s="167"/>
      <c r="C43" s="167"/>
      <c r="D43" s="167"/>
      <c r="E43" s="167"/>
      <c r="F43" s="167"/>
      <c r="G43" s="262"/>
    </row>
    <row r="44" spans="1:9">
      <c r="A44" s="263">
        <v>1</v>
      </c>
      <c r="B44" s="264">
        <v>920</v>
      </c>
      <c r="C44" s="265" t="s">
        <v>58</v>
      </c>
      <c r="D44" s="240" t="s">
        <v>525</v>
      </c>
      <c r="E44" s="266"/>
      <c r="F44" s="220">
        <v>0</v>
      </c>
      <c r="G44" s="564">
        <f>SUM(E44:F44)</f>
        <v>0</v>
      </c>
    </row>
    <row r="45" spans="1:9">
      <c r="A45" s="263">
        <f t="shared" ref="A45:A58" si="2">A44+1</f>
        <v>2</v>
      </c>
      <c r="B45" s="264">
        <v>921</v>
      </c>
      <c r="C45" s="265" t="s">
        <v>59</v>
      </c>
      <c r="D45" s="240" t="s">
        <v>526</v>
      </c>
      <c r="E45" s="269"/>
      <c r="F45" s="270">
        <v>0</v>
      </c>
      <c r="G45" s="268">
        <f>SUM(E45:F45)</f>
        <v>0</v>
      </c>
      <c r="I45" s="72"/>
    </row>
    <row r="46" spans="1:9">
      <c r="A46" s="263">
        <f t="shared" si="2"/>
        <v>3</v>
      </c>
      <c r="B46" s="264">
        <v>922</v>
      </c>
      <c r="C46" s="265" t="s">
        <v>60</v>
      </c>
      <c r="D46" s="240" t="s">
        <v>527</v>
      </c>
      <c r="E46" s="269"/>
      <c r="F46" s="182">
        <v>0</v>
      </c>
      <c r="G46" s="268">
        <f t="shared" ref="G46:G57" si="3">SUM(E46:F46)</f>
        <v>0</v>
      </c>
    </row>
    <row r="47" spans="1:9">
      <c r="A47" s="263">
        <f t="shared" si="2"/>
        <v>4</v>
      </c>
      <c r="B47" s="264">
        <v>923</v>
      </c>
      <c r="C47" s="190" t="s">
        <v>68</v>
      </c>
      <c r="D47" s="240" t="s">
        <v>528</v>
      </c>
      <c r="E47" s="269"/>
      <c r="F47" s="139">
        <v>0</v>
      </c>
      <c r="G47" s="268">
        <f t="shared" si="3"/>
        <v>0</v>
      </c>
    </row>
    <row r="48" spans="1:9">
      <c r="A48" s="263">
        <f t="shared" si="2"/>
        <v>5</v>
      </c>
      <c r="B48" s="264">
        <v>924</v>
      </c>
      <c r="C48" s="167" t="s">
        <v>65</v>
      </c>
      <c r="D48" s="240" t="s">
        <v>529</v>
      </c>
      <c r="E48" s="323"/>
      <c r="F48" s="182">
        <v>0</v>
      </c>
      <c r="G48" s="969">
        <f>-'ATRR Act'!D96</f>
        <v>0</v>
      </c>
    </row>
    <row r="49" spans="1:9">
      <c r="A49" s="263">
        <f t="shared" si="2"/>
        <v>6</v>
      </c>
      <c r="B49" s="264">
        <v>925</v>
      </c>
      <c r="C49" s="265" t="s">
        <v>61</v>
      </c>
      <c r="D49" s="240" t="s">
        <v>530</v>
      </c>
      <c r="E49" s="269"/>
      <c r="F49" s="270">
        <v>0</v>
      </c>
      <c r="G49" s="268">
        <f t="shared" si="3"/>
        <v>0</v>
      </c>
    </row>
    <row r="50" spans="1:9">
      <c r="A50" s="263">
        <f t="shared" si="2"/>
        <v>7</v>
      </c>
      <c r="B50" s="264">
        <v>926</v>
      </c>
      <c r="C50" s="265" t="s">
        <v>616</v>
      </c>
      <c r="D50" s="240" t="s">
        <v>531</v>
      </c>
      <c r="E50" s="269"/>
      <c r="F50" s="270">
        <v>1986554.0053645067</v>
      </c>
      <c r="G50" s="268">
        <f>SUM(E50:F50)</f>
        <v>1986554.0053645067</v>
      </c>
      <c r="I50" s="874"/>
    </row>
    <row r="51" spans="1:9">
      <c r="A51" s="263">
        <f t="shared" si="2"/>
        <v>8</v>
      </c>
      <c r="B51" s="264">
        <v>927</v>
      </c>
      <c r="C51" s="265" t="s">
        <v>69</v>
      </c>
      <c r="D51" s="240" t="s">
        <v>532</v>
      </c>
      <c r="E51" s="269"/>
      <c r="F51" s="182">
        <v>0</v>
      </c>
      <c r="G51" s="268">
        <f t="shared" si="3"/>
        <v>0</v>
      </c>
    </row>
    <row r="52" spans="1:9">
      <c r="A52" s="263">
        <f t="shared" si="2"/>
        <v>9</v>
      </c>
      <c r="B52" s="264">
        <v>928</v>
      </c>
      <c r="C52" s="167" t="s">
        <v>618</v>
      </c>
      <c r="D52" s="240" t="s">
        <v>533</v>
      </c>
      <c r="E52" s="269"/>
      <c r="F52" s="182">
        <f>-E52</f>
        <v>0</v>
      </c>
      <c r="G52" s="268">
        <f t="shared" si="3"/>
        <v>0</v>
      </c>
    </row>
    <row r="53" spans="1:9">
      <c r="A53" s="263">
        <f t="shared" si="2"/>
        <v>10</v>
      </c>
      <c r="B53" s="264">
        <v>929</v>
      </c>
      <c r="C53" s="265" t="s">
        <v>62</v>
      </c>
      <c r="D53" s="240" t="s">
        <v>534</v>
      </c>
      <c r="E53" s="269"/>
      <c r="F53" s="182">
        <v>0</v>
      </c>
      <c r="G53" s="268">
        <f t="shared" si="3"/>
        <v>0</v>
      </c>
    </row>
    <row r="54" spans="1:9">
      <c r="A54" s="263">
        <f t="shared" si="2"/>
        <v>11</v>
      </c>
      <c r="B54" s="271">
        <v>930.1</v>
      </c>
      <c r="C54" s="167" t="s">
        <v>619</v>
      </c>
      <c r="D54" s="240" t="s">
        <v>535</v>
      </c>
      <c r="E54" s="269"/>
      <c r="F54" s="182">
        <f>-E54</f>
        <v>0</v>
      </c>
      <c r="G54" s="268">
        <f t="shared" si="3"/>
        <v>0</v>
      </c>
    </row>
    <row r="55" spans="1:9">
      <c r="A55" s="263">
        <f t="shared" si="2"/>
        <v>12</v>
      </c>
      <c r="B55" s="271">
        <v>930.2</v>
      </c>
      <c r="C55" s="265" t="s">
        <v>620</v>
      </c>
      <c r="D55" s="240" t="s">
        <v>536</v>
      </c>
      <c r="E55" s="269"/>
      <c r="F55" s="139">
        <f>-E67</f>
        <v>0</v>
      </c>
      <c r="G55" s="268">
        <f t="shared" si="3"/>
        <v>0</v>
      </c>
    </row>
    <row r="56" spans="1:9">
      <c r="A56" s="263">
        <f t="shared" si="2"/>
        <v>13</v>
      </c>
      <c r="B56" s="264">
        <v>931</v>
      </c>
      <c r="C56" s="190" t="s">
        <v>12</v>
      </c>
      <c r="D56" s="240" t="s">
        <v>537</v>
      </c>
      <c r="E56" s="269"/>
      <c r="F56" s="270">
        <v>0</v>
      </c>
      <c r="G56" s="268">
        <f t="shared" si="3"/>
        <v>0</v>
      </c>
    </row>
    <row r="57" spans="1:9" ht="13.5" thickBot="1">
      <c r="A57" s="263">
        <f t="shared" si="2"/>
        <v>14</v>
      </c>
      <c r="B57" s="264">
        <v>935</v>
      </c>
      <c r="C57" s="167" t="s">
        <v>63</v>
      </c>
      <c r="D57" s="240" t="s">
        <v>538</v>
      </c>
      <c r="E57" s="272"/>
      <c r="F57" s="180">
        <v>0</v>
      </c>
      <c r="G57" s="268">
        <f t="shared" si="3"/>
        <v>0</v>
      </c>
    </row>
    <row r="58" spans="1:9" ht="13.5" thickBot="1">
      <c r="A58" s="263">
        <f t="shared" si="2"/>
        <v>15</v>
      </c>
      <c r="B58" s="201"/>
      <c r="C58" s="208" t="s">
        <v>64</v>
      </c>
      <c r="D58" s="208"/>
      <c r="E58" s="267">
        <f>SUM(E44:E57)</f>
        <v>0</v>
      </c>
      <c r="F58" s="267">
        <f>SUM(F44:F57)</f>
        <v>1986554.0053645067</v>
      </c>
      <c r="G58" s="446">
        <f>SUM(G44:G57)</f>
        <v>1986554.0053645067</v>
      </c>
    </row>
    <row r="59" spans="1:9">
      <c r="A59" s="263"/>
      <c r="B59" s="167"/>
      <c r="C59" s="167"/>
      <c r="D59" s="167"/>
      <c r="E59" s="167"/>
      <c r="F59" s="167"/>
      <c r="G59" s="262"/>
    </row>
    <row r="60" spans="1:9">
      <c r="A60" s="263"/>
      <c r="B60" s="201" t="s">
        <v>89</v>
      </c>
      <c r="C60" s="208"/>
      <c r="D60" s="167"/>
      <c r="E60" s="167"/>
      <c r="F60" s="167"/>
      <c r="G60" s="262"/>
    </row>
    <row r="61" spans="1:9" ht="52.5" customHeight="1">
      <c r="A61" s="263"/>
      <c r="B61" s="1244" t="s">
        <v>1706</v>
      </c>
      <c r="C61" s="1244"/>
      <c r="D61" s="1244"/>
      <c r="E61" s="1244"/>
      <c r="F61" s="1244"/>
      <c r="G61" s="1245"/>
    </row>
    <row r="62" spans="1:9">
      <c r="A62" s="263"/>
      <c r="B62" s="265" t="s">
        <v>406</v>
      </c>
      <c r="C62" s="208"/>
      <c r="D62" s="167"/>
      <c r="E62" s="167"/>
      <c r="F62" s="167"/>
      <c r="G62" s="262"/>
    </row>
    <row r="63" spans="1:9">
      <c r="A63" s="263"/>
      <c r="B63" s="265" t="s">
        <v>621</v>
      </c>
      <c r="C63" s="208"/>
      <c r="D63" s="167"/>
      <c r="E63" s="167"/>
      <c r="F63" s="167"/>
      <c r="G63" s="262"/>
    </row>
    <row r="64" spans="1:9">
      <c r="A64" s="263"/>
      <c r="B64" s="167" t="s">
        <v>925</v>
      </c>
      <c r="C64" s="167"/>
      <c r="D64" s="167"/>
      <c r="E64" s="167"/>
      <c r="F64" s="167"/>
      <c r="G64" s="262"/>
    </row>
    <row r="65" spans="1:7">
      <c r="A65" s="263"/>
      <c r="B65" s="167"/>
      <c r="C65" s="536" t="s">
        <v>1326</v>
      </c>
      <c r="D65" s="536" t="s">
        <v>1327</v>
      </c>
      <c r="E65" s="269"/>
      <c r="F65" s="167"/>
      <c r="G65" s="262"/>
    </row>
    <row r="66" spans="1:7">
      <c r="A66" s="263"/>
      <c r="B66" s="167"/>
      <c r="C66" s="444" t="s">
        <v>1773</v>
      </c>
      <c r="D66" s="877" t="s">
        <v>1756</v>
      </c>
      <c r="E66" s="272"/>
      <c r="F66" s="167"/>
      <c r="G66" s="262"/>
    </row>
    <row r="67" spans="1:7">
      <c r="A67" s="263"/>
      <c r="B67" s="271"/>
      <c r="C67" s="190" t="s">
        <v>90</v>
      </c>
      <c r="D67" s="693"/>
      <c r="E67" s="724">
        <f>SUM(E65:E66)</f>
        <v>0</v>
      </c>
      <c r="F67" s="167"/>
      <c r="G67" s="262"/>
    </row>
    <row r="68" spans="1:7" ht="13.5" thickBot="1">
      <c r="A68" s="274"/>
      <c r="B68" s="275"/>
      <c r="C68" s="275"/>
      <c r="D68" s="275"/>
      <c r="E68" s="275"/>
      <c r="F68" s="275"/>
      <c r="G68" s="276"/>
    </row>
  </sheetData>
  <mergeCells count="2">
    <mergeCell ref="B28:G28"/>
    <mergeCell ref="B61:G61"/>
  </mergeCells>
  <phoneticPr fontId="2" type="noConversion"/>
  <printOptions horizontalCentered="1"/>
  <pageMargins left="0.75" right="0.75" top="1" bottom="1" header="0.5" footer="0.5"/>
  <pageSetup scale="68" orientation="portrait" r:id="rId1"/>
  <headerFooter alignWithMargins="0">
    <oddHeader>&amp;RPage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pageSetUpPr fitToPage="1"/>
  </sheetPr>
  <dimension ref="A1:G65"/>
  <sheetViews>
    <sheetView workbookViewId="0">
      <selection activeCell="E28" sqref="E28"/>
    </sheetView>
  </sheetViews>
  <sheetFormatPr defaultRowHeight="12.75"/>
  <cols>
    <col min="1" max="1" width="8.85546875" customWidth="1"/>
    <col min="2" max="2" width="53.42578125" customWidth="1"/>
    <col min="3" max="5" width="14" bestFit="1" customWidth="1"/>
  </cols>
  <sheetData>
    <row r="1" spans="1:7">
      <c r="A1" s="98" t="str">
        <f>'Cover Page'!A5</f>
        <v>Public Service Company of Colorado</v>
      </c>
      <c r="E1" s="133" t="str">
        <f>'Table of Contents'!A27</f>
        <v>Table 19</v>
      </c>
    </row>
    <row r="2" spans="1:7">
      <c r="A2" s="98" t="str">
        <f>'Cover Page'!A6</f>
        <v>Transmission Formula Rate Template</v>
      </c>
      <c r="E2" s="133" t="str">
        <f ca="1">MID(CELL("filename",B2),FIND("]",CELL("filename",B2))+1,LEN(CELL("filename",B2))-FIND("]",CELL("filename",B2)))</f>
        <v>WP_C-3</v>
      </c>
    </row>
    <row r="3" spans="1:7">
      <c r="A3" s="98" t="str">
        <f>'Cover Page'!A7</f>
        <v>Twelve Months Ended December 31, 2018</v>
      </c>
    </row>
    <row r="4" spans="1:7">
      <c r="A4" s="98" t="s">
        <v>608</v>
      </c>
    </row>
    <row r="5" spans="1:7">
      <c r="G5" s="99"/>
    </row>
    <row r="7" spans="1:7">
      <c r="A7" s="176"/>
      <c r="B7" s="176"/>
      <c r="C7" s="176"/>
      <c r="D7" s="176"/>
      <c r="E7" s="176" t="s">
        <v>609</v>
      </c>
    </row>
    <row r="8" spans="1:7">
      <c r="A8" s="1" t="s">
        <v>868</v>
      </c>
      <c r="B8" s="1" t="s">
        <v>917</v>
      </c>
      <c r="C8" s="1" t="s">
        <v>610</v>
      </c>
      <c r="D8" s="1" t="s">
        <v>611</v>
      </c>
      <c r="E8" s="1" t="s">
        <v>612</v>
      </c>
    </row>
    <row r="9" spans="1:7">
      <c r="C9" s="316" t="s">
        <v>363</v>
      </c>
      <c r="D9" s="695" t="s">
        <v>362</v>
      </c>
      <c r="E9" s="695" t="s">
        <v>364</v>
      </c>
    </row>
    <row r="10" spans="1:7">
      <c r="A10" s="105">
        <v>1</v>
      </c>
      <c r="B10" s="279" t="s">
        <v>1784</v>
      </c>
      <c r="G10" s="99"/>
    </row>
    <row r="11" spans="1:7">
      <c r="A11" s="105">
        <f t="shared" ref="A11:A59" si="0">A10+1</f>
        <v>2</v>
      </c>
    </row>
    <row r="12" spans="1:7">
      <c r="A12" s="105">
        <f t="shared" si="0"/>
        <v>3</v>
      </c>
      <c r="B12" s="433" t="s">
        <v>1709</v>
      </c>
      <c r="C12" s="433">
        <v>-7854769.9999999991</v>
      </c>
      <c r="D12" s="433">
        <v>-5126057.6635626387</v>
      </c>
      <c r="E12" s="433">
        <v>-3398986.7124965386</v>
      </c>
    </row>
    <row r="13" spans="1:7">
      <c r="A13" s="105">
        <f t="shared" si="0"/>
        <v>4</v>
      </c>
      <c r="B13" s="433" t="s">
        <v>1758</v>
      </c>
      <c r="C13" s="147">
        <v>2467430.0000000005</v>
      </c>
      <c r="D13" s="147">
        <v>23.149199999999997</v>
      </c>
      <c r="E13" s="147">
        <v>6.0600000000000001E-2</v>
      </c>
      <c r="G13" s="78"/>
    </row>
    <row r="14" spans="1:7">
      <c r="A14" s="105">
        <f t="shared" si="0"/>
        <v>5</v>
      </c>
      <c r="B14" s="433" t="s">
        <v>1759</v>
      </c>
      <c r="C14" s="147">
        <v>636300</v>
      </c>
      <c r="D14" s="147">
        <v>0.70700000000000007</v>
      </c>
      <c r="E14" s="147">
        <v>0.5353</v>
      </c>
    </row>
    <row r="15" spans="1:7">
      <c r="A15" s="105">
        <f t="shared" si="0"/>
        <v>6</v>
      </c>
      <c r="B15" s="433" t="s">
        <v>1760</v>
      </c>
      <c r="C15" s="147">
        <v>-772650</v>
      </c>
      <c r="D15" s="147">
        <v>0</v>
      </c>
      <c r="E15" s="147">
        <v>0</v>
      </c>
    </row>
    <row r="16" spans="1:7">
      <c r="A16" s="105">
        <f t="shared" si="0"/>
        <v>7</v>
      </c>
      <c r="B16" s="433" t="s">
        <v>1710</v>
      </c>
      <c r="C16" s="434">
        <v>1363500</v>
      </c>
      <c r="D16" s="434">
        <v>378128.85003787733</v>
      </c>
      <c r="E16" s="434">
        <v>284388.54242641118</v>
      </c>
    </row>
    <row r="17" spans="1:5">
      <c r="A17" s="105">
        <f t="shared" si="0"/>
        <v>8</v>
      </c>
      <c r="C17" s="134"/>
      <c r="D17" s="134"/>
    </row>
    <row r="18" spans="1:5" ht="13.5" thickBot="1">
      <c r="A18" s="105">
        <f t="shared" si="0"/>
        <v>9</v>
      </c>
      <c r="B18" s="104" t="s">
        <v>795</v>
      </c>
      <c r="C18" s="322">
        <f>SUM(C12:C16)</f>
        <v>-4160189.9999999981</v>
      </c>
      <c r="D18" s="322">
        <f>SUM(D12:D16)</f>
        <v>-4747904.957324761</v>
      </c>
      <c r="E18" s="322">
        <f>SUM(E12:E16)</f>
        <v>-3114597.5741701275</v>
      </c>
    </row>
    <row r="19" spans="1:5" ht="13.5" thickTop="1">
      <c r="A19" s="105">
        <f t="shared" si="0"/>
        <v>10</v>
      </c>
    </row>
    <row r="20" spans="1:5">
      <c r="A20" s="105">
        <f t="shared" si="0"/>
        <v>11</v>
      </c>
    </row>
    <row r="21" spans="1:5">
      <c r="A21" s="105">
        <f t="shared" si="0"/>
        <v>12</v>
      </c>
      <c r="B21" s="279" t="s">
        <v>1757</v>
      </c>
    </row>
    <row r="22" spans="1:5">
      <c r="A22" s="105">
        <f t="shared" si="0"/>
        <v>13</v>
      </c>
      <c r="E22" s="105"/>
    </row>
    <row r="23" spans="1:5">
      <c r="A23" s="105">
        <f t="shared" si="0"/>
        <v>14</v>
      </c>
      <c r="B23" s="433" t="s">
        <v>1709</v>
      </c>
      <c r="C23" s="433">
        <v>-7854769.9999999991</v>
      </c>
      <c r="D23" s="433">
        <v>-5126057.6635626387</v>
      </c>
      <c r="E23" s="433">
        <v>-3398986.7124965386</v>
      </c>
    </row>
    <row r="24" spans="1:5">
      <c r="A24" s="105">
        <f t="shared" si="0"/>
        <v>15</v>
      </c>
      <c r="B24" s="433" t="s">
        <v>1758</v>
      </c>
      <c r="C24" s="147">
        <v>2467430.0000000005</v>
      </c>
      <c r="D24" s="137">
        <v>23.149199999999997</v>
      </c>
      <c r="E24" s="137">
        <v>6.0600000000000001E-2</v>
      </c>
    </row>
    <row r="25" spans="1:5">
      <c r="A25" s="110">
        <f t="shared" si="0"/>
        <v>16</v>
      </c>
      <c r="B25" s="433" t="s">
        <v>1759</v>
      </c>
      <c r="C25" s="147">
        <v>636300</v>
      </c>
      <c r="D25" s="137">
        <v>0.70700000000000007</v>
      </c>
      <c r="E25" s="137">
        <v>0.5353</v>
      </c>
    </row>
    <row r="26" spans="1:5">
      <c r="A26" s="110">
        <f t="shared" si="0"/>
        <v>17</v>
      </c>
      <c r="B26" s="433" t="s">
        <v>1760</v>
      </c>
      <c r="C26" s="147">
        <v>-772650</v>
      </c>
      <c r="D26" s="137">
        <v>0</v>
      </c>
      <c r="E26" s="137">
        <v>0</v>
      </c>
    </row>
    <row r="27" spans="1:5">
      <c r="A27" s="110">
        <f t="shared" si="0"/>
        <v>18</v>
      </c>
      <c r="B27" s="433" t="s">
        <v>1710</v>
      </c>
      <c r="C27" s="434">
        <v>1363500</v>
      </c>
      <c r="D27" s="434">
        <v>378128.85003787733</v>
      </c>
      <c r="E27" s="434">
        <v>284388.54242641118</v>
      </c>
    </row>
    <row r="28" spans="1:5">
      <c r="A28" s="110">
        <f t="shared" si="0"/>
        <v>19</v>
      </c>
      <c r="C28" s="134"/>
      <c r="D28" s="134"/>
    </row>
    <row r="29" spans="1:5" ht="13.5" thickBot="1">
      <c r="A29" s="110">
        <f t="shared" si="0"/>
        <v>20</v>
      </c>
      <c r="B29" s="104" t="s">
        <v>795</v>
      </c>
      <c r="C29" s="322">
        <f>SUM(C23:C27)</f>
        <v>-4160189.9999999981</v>
      </c>
      <c r="D29" s="322">
        <f>SUM(D23:D27)</f>
        <v>-4747904.957324761</v>
      </c>
      <c r="E29" s="322">
        <f>SUM(E23:E27)</f>
        <v>-3114597.5741701275</v>
      </c>
    </row>
    <row r="30" spans="1:5" ht="13.5" thickTop="1">
      <c r="A30" s="110">
        <f t="shared" si="0"/>
        <v>21</v>
      </c>
      <c r="C30" s="182"/>
      <c r="D30" s="182"/>
      <c r="E30" s="182"/>
    </row>
    <row r="31" spans="1:5">
      <c r="A31" s="110">
        <f t="shared" si="0"/>
        <v>22</v>
      </c>
      <c r="B31" s="279" t="s">
        <v>1785</v>
      </c>
      <c r="C31" s="109"/>
      <c r="D31" s="109"/>
      <c r="E31" s="109"/>
    </row>
    <row r="32" spans="1:5">
      <c r="A32" s="110">
        <f t="shared" si="0"/>
        <v>23</v>
      </c>
      <c r="B32" s="109"/>
      <c r="C32" s="109"/>
      <c r="D32" s="109"/>
      <c r="E32" s="109"/>
    </row>
    <row r="33" spans="1:6">
      <c r="A33" s="110">
        <f t="shared" si="0"/>
        <v>24</v>
      </c>
      <c r="B33" s="433" t="s">
        <v>1709</v>
      </c>
      <c r="C33" s="433"/>
      <c r="D33" s="433"/>
      <c r="E33" s="433"/>
    </row>
    <row r="34" spans="1:6">
      <c r="A34" s="110">
        <f t="shared" si="0"/>
        <v>25</v>
      </c>
      <c r="B34" s="433" t="s">
        <v>1758</v>
      </c>
      <c r="C34" s="147"/>
      <c r="D34" s="137"/>
      <c r="E34" s="137"/>
    </row>
    <row r="35" spans="1:6">
      <c r="A35" s="110">
        <f t="shared" si="0"/>
        <v>26</v>
      </c>
      <c r="B35" s="433" t="s">
        <v>1759</v>
      </c>
      <c r="C35" s="147"/>
      <c r="D35" s="137"/>
      <c r="E35" s="137"/>
    </row>
    <row r="36" spans="1:6">
      <c r="A36" s="110">
        <f t="shared" si="0"/>
        <v>27</v>
      </c>
      <c r="B36" s="433" t="s">
        <v>1760</v>
      </c>
      <c r="C36" s="147"/>
      <c r="D36" s="137"/>
      <c r="E36" s="137"/>
    </row>
    <row r="37" spans="1:6">
      <c r="A37" s="110">
        <f t="shared" si="0"/>
        <v>28</v>
      </c>
      <c r="B37" s="433" t="s">
        <v>1710</v>
      </c>
      <c r="C37" s="450"/>
      <c r="D37" s="450"/>
      <c r="E37" s="450"/>
    </row>
    <row r="38" spans="1:6">
      <c r="A38" s="110">
        <f t="shared" si="0"/>
        <v>29</v>
      </c>
      <c r="B38" s="433"/>
      <c r="C38" s="450"/>
      <c r="D38" s="450"/>
      <c r="E38" s="450"/>
    </row>
    <row r="39" spans="1:6">
      <c r="A39" s="110">
        <f t="shared" si="0"/>
        <v>30</v>
      </c>
      <c r="B39" s="433"/>
      <c r="C39" s="450"/>
      <c r="D39" s="450"/>
      <c r="E39" s="450"/>
    </row>
    <row r="40" spans="1:6">
      <c r="A40" s="110">
        <f t="shared" si="0"/>
        <v>31</v>
      </c>
      <c r="B40" s="433"/>
      <c r="C40" s="434"/>
      <c r="D40" s="434"/>
      <c r="E40" s="434"/>
    </row>
    <row r="41" spans="1:6">
      <c r="A41" s="110">
        <f t="shared" si="0"/>
        <v>32</v>
      </c>
      <c r="B41" s="109"/>
      <c r="C41" s="146"/>
      <c r="D41" s="146"/>
      <c r="E41" s="109"/>
    </row>
    <row r="42" spans="1:6" ht="13.5" thickBot="1">
      <c r="A42" s="110">
        <f t="shared" si="0"/>
        <v>33</v>
      </c>
      <c r="B42" s="118" t="s">
        <v>795</v>
      </c>
      <c r="C42" s="697">
        <f>SUM(C33:C40)</f>
        <v>0</v>
      </c>
      <c r="D42" s="697">
        <f>SUM(D33:D40)</f>
        <v>0</v>
      </c>
      <c r="E42" s="697">
        <f>SUM(E33:E40)</f>
        <v>0</v>
      </c>
    </row>
    <row r="43" spans="1:6" ht="13.5" thickTop="1">
      <c r="A43" s="105">
        <f t="shared" si="0"/>
        <v>34</v>
      </c>
      <c r="C43" s="139"/>
      <c r="D43" s="139"/>
      <c r="E43" s="139"/>
    </row>
    <row r="44" spans="1:6">
      <c r="A44" s="105">
        <f t="shared" si="0"/>
        <v>35</v>
      </c>
      <c r="B44" s="279" t="s">
        <v>1786</v>
      </c>
    </row>
    <row r="45" spans="1:6">
      <c r="A45" s="105">
        <f t="shared" si="0"/>
        <v>36</v>
      </c>
      <c r="E45" s="105"/>
    </row>
    <row r="46" spans="1:6">
      <c r="A46" s="105">
        <f t="shared" si="0"/>
        <v>37</v>
      </c>
      <c r="B46" s="433" t="s">
        <v>1709</v>
      </c>
      <c r="C46" s="137"/>
      <c r="D46" s="137"/>
      <c r="E46" s="137"/>
    </row>
    <row r="47" spans="1:6">
      <c r="A47" s="105">
        <f t="shared" si="0"/>
        <v>38</v>
      </c>
      <c r="B47" s="433" t="s">
        <v>1758</v>
      </c>
      <c r="C47" s="147"/>
      <c r="D47" s="137"/>
      <c r="E47" s="137"/>
      <c r="F47" s="135"/>
    </row>
    <row r="48" spans="1:6">
      <c r="A48" s="105">
        <f t="shared" si="0"/>
        <v>39</v>
      </c>
      <c r="B48" s="433" t="s">
        <v>1759</v>
      </c>
      <c r="C48" s="147"/>
      <c r="D48" s="137"/>
      <c r="E48" s="137"/>
    </row>
    <row r="49" spans="1:5">
      <c r="A49" s="105">
        <f t="shared" si="0"/>
        <v>40</v>
      </c>
      <c r="B49" s="433" t="s">
        <v>1760</v>
      </c>
      <c r="C49" s="147"/>
      <c r="D49" s="137"/>
      <c r="E49" s="137"/>
    </row>
    <row r="50" spans="1:5">
      <c r="A50" s="105">
        <f t="shared" si="0"/>
        <v>41</v>
      </c>
      <c r="B50" s="433" t="s">
        <v>1710</v>
      </c>
      <c r="C50" s="138"/>
      <c r="D50" s="138"/>
      <c r="E50" s="138"/>
    </row>
    <row r="51" spans="1:5">
      <c r="A51" s="105">
        <f t="shared" si="0"/>
        <v>42</v>
      </c>
      <c r="C51" s="134"/>
      <c r="D51" s="134"/>
    </row>
    <row r="52" spans="1:5" ht="13.5" thickBot="1">
      <c r="A52" s="105">
        <f t="shared" si="0"/>
        <v>43</v>
      </c>
      <c r="B52" s="104" t="s">
        <v>795</v>
      </c>
      <c r="C52" s="322">
        <f>SUM(C46:C50)</f>
        <v>0</v>
      </c>
      <c r="D52" s="322">
        <f>SUM(D46:D50)</f>
        <v>0</v>
      </c>
      <c r="E52" s="322">
        <f>SUM(E46:E50)</f>
        <v>0</v>
      </c>
    </row>
    <row r="53" spans="1:5" ht="13.5" thickTop="1">
      <c r="A53" s="105">
        <f t="shared" si="0"/>
        <v>44</v>
      </c>
      <c r="C53" s="182"/>
      <c r="D53" s="182"/>
      <c r="E53" s="182"/>
    </row>
    <row r="54" spans="1:5" ht="13.5" thickBot="1">
      <c r="A54" s="105">
        <f t="shared" si="0"/>
        <v>45</v>
      </c>
      <c r="B54" s="190" t="s">
        <v>67</v>
      </c>
      <c r="C54" s="182"/>
      <c r="D54" s="182"/>
      <c r="E54" s="182"/>
    </row>
    <row r="55" spans="1:5" ht="13.5" thickBot="1">
      <c r="A55" s="105">
        <f t="shared" si="0"/>
        <v>46</v>
      </c>
      <c r="B55" t="str">
        <f>"Estimated Amount Less Base Year Amount (Line "&amp;A29&amp;" minus "&amp;A18&amp;")"</f>
        <v>Estimated Amount Less Base Year Amount (Line 20 minus 9)</v>
      </c>
      <c r="C55" s="182">
        <f>C29-C18</f>
        <v>0</v>
      </c>
      <c r="D55" s="182">
        <f>D29-D18</f>
        <v>0</v>
      </c>
      <c r="E55" s="132">
        <f>E29-E18</f>
        <v>0</v>
      </c>
    </row>
    <row r="56" spans="1:5" ht="13.5" thickBot="1">
      <c r="A56" s="105">
        <f t="shared" si="0"/>
        <v>47</v>
      </c>
      <c r="B56" s="109" t="str">
        <f>"Actual Amount Less Base Year Amount (Line "&amp;A52&amp;" minus "&amp;A42&amp;")"</f>
        <v>Actual Amount Less Base Year Amount (Line 43 minus 33)</v>
      </c>
      <c r="C56" s="182">
        <f>IF(C52=0,0,C52-C42)</f>
        <v>0</v>
      </c>
      <c r="D56" s="182">
        <f>IF(D52=0,0,D52-D42)</f>
        <v>0</v>
      </c>
      <c r="E56" s="132">
        <f>IF(E52=0,0,E52-E42)</f>
        <v>0</v>
      </c>
    </row>
    <row r="57" spans="1:5">
      <c r="A57" s="105">
        <f t="shared" si="0"/>
        <v>48</v>
      </c>
      <c r="C57" s="182"/>
      <c r="D57" s="182"/>
      <c r="E57" s="182"/>
    </row>
    <row r="58" spans="1:5">
      <c r="A58" s="105">
        <f t="shared" si="0"/>
        <v>49</v>
      </c>
      <c r="B58" t="s">
        <v>89</v>
      </c>
    </row>
    <row r="59" spans="1:5">
      <c r="A59" s="105">
        <f t="shared" si="0"/>
        <v>50</v>
      </c>
      <c r="B59" t="s">
        <v>613</v>
      </c>
    </row>
    <row r="60" spans="1:5">
      <c r="B60" t="s">
        <v>614</v>
      </c>
    </row>
    <row r="61" spans="1:5">
      <c r="B61" t="s">
        <v>615</v>
      </c>
    </row>
    <row r="62" spans="1:5">
      <c r="B62" t="s">
        <v>396</v>
      </c>
    </row>
    <row r="65" spans="2:2">
      <c r="B65" t="s">
        <v>926</v>
      </c>
    </row>
  </sheetData>
  <phoneticPr fontId="2" type="noConversion"/>
  <pageMargins left="0.75" right="0.75" top="1" bottom="1" header="0.5" footer="0.5"/>
  <pageSetup scale="87" orientation="portrait" r:id="rId1"/>
  <headerFooter alignWithMargins="0">
    <oddHeader>&amp;RPage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fitToPage="1"/>
  </sheetPr>
  <dimension ref="A1:M50"/>
  <sheetViews>
    <sheetView topLeftCell="A16" workbookViewId="0">
      <selection activeCell="F13" sqref="F13"/>
    </sheetView>
  </sheetViews>
  <sheetFormatPr defaultRowHeight="12.75"/>
  <cols>
    <col min="2" max="2" width="51.5703125" customWidth="1"/>
    <col min="3" max="3" width="16.7109375" customWidth="1"/>
    <col min="4" max="4" width="15.5703125" customWidth="1"/>
    <col min="5" max="5" width="14.140625" customWidth="1"/>
    <col min="6" max="6" width="10.28515625" bestFit="1" customWidth="1"/>
    <col min="7" max="7" width="3.7109375" customWidth="1"/>
  </cols>
  <sheetData>
    <row r="1" spans="1:7">
      <c r="A1" s="98" t="str">
        <f>'Cover Page'!A5</f>
        <v>Public Service Company of Colorado</v>
      </c>
      <c r="F1" s="133" t="str">
        <f>'Table of Contents'!A28</f>
        <v>Table 20</v>
      </c>
    </row>
    <row r="2" spans="1:7">
      <c r="A2" s="98" t="str">
        <f>'Cover Page'!A6</f>
        <v>Transmission Formula Rate Template</v>
      </c>
      <c r="F2" s="133" t="str">
        <f ca="1">MID(CELL("filename",D2),FIND("]",CELL("filename",D2))+1,LEN(CELL("filename",D2))-FIND("]",CELL("filename",D2)))</f>
        <v>WP_C-4</v>
      </c>
    </row>
    <row r="3" spans="1:7">
      <c r="A3" s="98" t="str">
        <f>'Cover Page'!A7</f>
        <v>Twelve Months Ended December 31, 2018</v>
      </c>
    </row>
    <row r="4" spans="1:7">
      <c r="A4" s="98" t="s">
        <v>216</v>
      </c>
    </row>
    <row r="6" spans="1:7" ht="13.5" thickBot="1"/>
    <row r="7" spans="1:7">
      <c r="A7" s="309" t="s">
        <v>990</v>
      </c>
      <c r="B7" s="310"/>
      <c r="C7" s="310"/>
      <c r="D7" s="310"/>
      <c r="E7" s="310"/>
      <c r="F7" s="552"/>
    </row>
    <row r="8" spans="1:7">
      <c r="A8" s="261"/>
      <c r="B8" s="167"/>
      <c r="C8" s="167"/>
      <c r="D8" s="167"/>
      <c r="E8" s="167"/>
      <c r="F8" s="262"/>
    </row>
    <row r="9" spans="1:7" ht="38.25">
      <c r="A9" s="242" t="s">
        <v>868</v>
      </c>
      <c r="B9" s="1" t="s">
        <v>917</v>
      </c>
      <c r="C9" s="1" t="s">
        <v>870</v>
      </c>
      <c r="D9" s="188" t="s">
        <v>654</v>
      </c>
      <c r="E9" s="188" t="s">
        <v>655</v>
      </c>
      <c r="F9" s="570" t="s">
        <v>795</v>
      </c>
    </row>
    <row r="10" spans="1:7">
      <c r="A10" s="261"/>
      <c r="B10" s="167"/>
      <c r="C10" s="167"/>
      <c r="D10" s="316" t="s">
        <v>363</v>
      </c>
      <c r="E10" s="695" t="s">
        <v>362</v>
      </c>
      <c r="F10" s="727" t="s">
        <v>364</v>
      </c>
    </row>
    <row r="11" spans="1:7">
      <c r="A11" s="263">
        <v>1</v>
      </c>
      <c r="B11" s="279" t="s">
        <v>1763</v>
      </c>
      <c r="C11" s="279" t="s">
        <v>1761</v>
      </c>
      <c r="D11" s="247">
        <v>75872.5</v>
      </c>
      <c r="E11" s="279"/>
      <c r="F11" s="571">
        <f t="shared" ref="F11:F16" si="0">SUM(D11:E11)</f>
        <v>75872.5</v>
      </c>
    </row>
    <row r="12" spans="1:7">
      <c r="A12" s="263">
        <f t="shared" ref="A12:A17" si="1">A11+1</f>
        <v>2</v>
      </c>
      <c r="B12" s="279" t="s">
        <v>1764</v>
      </c>
      <c r="C12" s="279" t="s">
        <v>1762</v>
      </c>
      <c r="D12" s="433">
        <v>7400</v>
      </c>
      <c r="E12" s="433"/>
      <c r="F12" s="571">
        <f t="shared" si="0"/>
        <v>7400</v>
      </c>
    </row>
    <row r="13" spans="1:7">
      <c r="A13" s="263">
        <f t="shared" si="1"/>
        <v>3</v>
      </c>
      <c r="B13" s="279" t="s">
        <v>1765</v>
      </c>
      <c r="C13" s="279" t="s">
        <v>1766</v>
      </c>
      <c r="D13" s="433">
        <v>-3412.8000000000029</v>
      </c>
      <c r="E13" s="433"/>
      <c r="F13" s="571">
        <f t="shared" si="0"/>
        <v>-3412.8000000000029</v>
      </c>
    </row>
    <row r="14" spans="1:7">
      <c r="A14" s="263">
        <f t="shared" si="1"/>
        <v>4</v>
      </c>
      <c r="B14" s="279"/>
      <c r="C14" s="279"/>
      <c r="D14" s="433">
        <v>0</v>
      </c>
      <c r="E14" s="279"/>
      <c r="F14" s="571">
        <f t="shared" si="0"/>
        <v>0</v>
      </c>
      <c r="G14" s="99"/>
    </row>
    <row r="15" spans="1:7" ht="13.5" thickBot="1">
      <c r="A15" s="263">
        <f t="shared" si="1"/>
        <v>5</v>
      </c>
      <c r="B15" s="279"/>
      <c r="C15" s="279"/>
      <c r="D15" s="286"/>
      <c r="E15" s="280"/>
      <c r="F15" s="572">
        <f t="shared" si="0"/>
        <v>0</v>
      </c>
      <c r="G15" s="105" t="s">
        <v>793</v>
      </c>
    </row>
    <row r="16" spans="1:7" ht="13.5" thickBot="1">
      <c r="A16" s="263">
        <f t="shared" si="1"/>
        <v>6</v>
      </c>
      <c r="B16" s="167" t="s">
        <v>795</v>
      </c>
      <c r="C16" s="167"/>
      <c r="D16" s="186">
        <f>SUM(D11:D15)</f>
        <v>79859.7</v>
      </c>
      <c r="E16" s="204">
        <f>SUM(E11:E15)</f>
        <v>0</v>
      </c>
      <c r="F16" s="571">
        <f t="shared" si="0"/>
        <v>79859.7</v>
      </c>
      <c r="G16" s="315" t="s">
        <v>793</v>
      </c>
    </row>
    <row r="17" spans="1:6">
      <c r="A17" s="263">
        <f t="shared" si="1"/>
        <v>7</v>
      </c>
      <c r="B17" s="167"/>
      <c r="C17" s="167"/>
      <c r="D17" s="167"/>
      <c r="E17" s="167"/>
      <c r="F17" s="262"/>
    </row>
    <row r="18" spans="1:6" ht="13.5" thickBot="1">
      <c r="A18" s="565"/>
      <c r="B18" s="410" t="s">
        <v>1229</v>
      </c>
      <c r="C18" s="410"/>
      <c r="D18" s="410"/>
      <c r="E18" s="410"/>
      <c r="F18" s="276"/>
    </row>
    <row r="19" spans="1:6">
      <c r="A19" s="201"/>
      <c r="B19" s="167"/>
      <c r="C19" s="167"/>
      <c r="D19" s="167"/>
      <c r="E19" s="167"/>
      <c r="F19" s="167"/>
    </row>
    <row r="20" spans="1:6">
      <c r="A20" s="201"/>
      <c r="B20" s="167"/>
      <c r="C20" s="167"/>
      <c r="D20" s="167"/>
      <c r="E20" s="167"/>
      <c r="F20" s="167"/>
    </row>
    <row r="21" spans="1:6" ht="13.5" thickBot="1">
      <c r="A21" s="105"/>
      <c r="D21" s="167"/>
      <c r="E21" s="167"/>
      <c r="F21" s="167"/>
    </row>
    <row r="22" spans="1:6">
      <c r="A22" s="309" t="s">
        <v>1071</v>
      </c>
      <c r="B22" s="310"/>
      <c r="C22" s="310"/>
      <c r="D22" s="310"/>
      <c r="E22" s="310"/>
      <c r="F22" s="552"/>
    </row>
    <row r="23" spans="1:6">
      <c r="A23" s="261"/>
      <c r="B23" s="167"/>
      <c r="C23" s="167"/>
      <c r="D23" s="167"/>
      <c r="E23" s="167"/>
      <c r="F23" s="262"/>
    </row>
    <row r="24" spans="1:6" ht="38.25">
      <c r="A24" s="242" t="s">
        <v>868</v>
      </c>
      <c r="B24" s="1" t="s">
        <v>917</v>
      </c>
      <c r="C24" s="1" t="s">
        <v>870</v>
      </c>
      <c r="D24" s="188" t="s">
        <v>654</v>
      </c>
      <c r="E24" s="188" t="s">
        <v>655</v>
      </c>
      <c r="F24" s="570" t="s">
        <v>795</v>
      </c>
    </row>
    <row r="25" spans="1:6">
      <c r="A25" s="261"/>
      <c r="B25" s="167"/>
      <c r="C25" s="167"/>
      <c r="D25" s="316" t="s">
        <v>363</v>
      </c>
      <c r="E25" s="695" t="s">
        <v>362</v>
      </c>
      <c r="F25" s="727" t="s">
        <v>364</v>
      </c>
    </row>
    <row r="26" spans="1:6">
      <c r="A26" s="263">
        <v>1</v>
      </c>
      <c r="B26" s="279"/>
      <c r="C26" s="279"/>
      <c r="D26" s="433"/>
      <c r="E26" s="433"/>
      <c r="F26" s="571">
        <f>SUM(D26:E26)</f>
        <v>0</v>
      </c>
    </row>
    <row r="27" spans="1:6">
      <c r="A27" s="263">
        <f>A26+1</f>
        <v>2</v>
      </c>
      <c r="B27" s="279"/>
      <c r="C27" s="279"/>
      <c r="D27" s="433"/>
      <c r="E27" s="433"/>
      <c r="F27" s="571"/>
    </row>
    <row r="28" spans="1:6">
      <c r="A28" s="263">
        <f t="shared" ref="A28:A46" si="2">A27+1</f>
        <v>3</v>
      </c>
      <c r="B28" s="381"/>
      <c r="C28" s="279"/>
      <c r="D28" s="433"/>
      <c r="E28" s="433"/>
      <c r="F28" s="571"/>
    </row>
    <row r="29" spans="1:6">
      <c r="A29" s="263">
        <f t="shared" si="2"/>
        <v>4</v>
      </c>
      <c r="B29" s="381"/>
      <c r="C29" s="279"/>
      <c r="D29" s="433"/>
      <c r="E29" s="433"/>
      <c r="F29" s="571"/>
    </row>
    <row r="30" spans="1:6">
      <c r="A30" s="263">
        <f t="shared" si="2"/>
        <v>5</v>
      </c>
      <c r="B30" s="279"/>
      <c r="C30" s="279"/>
      <c r="D30" s="433"/>
      <c r="E30" s="433"/>
      <c r="F30" s="571"/>
    </row>
    <row r="31" spans="1:6">
      <c r="A31" s="263">
        <f t="shared" si="2"/>
        <v>6</v>
      </c>
      <c r="B31" s="279"/>
      <c r="C31" s="279"/>
      <c r="D31" s="433"/>
      <c r="E31" s="433"/>
      <c r="F31" s="571"/>
    </row>
    <row r="32" spans="1:6">
      <c r="A32" s="263">
        <f t="shared" si="2"/>
        <v>7</v>
      </c>
      <c r="B32" s="279"/>
      <c r="C32" s="279"/>
      <c r="D32" s="433"/>
      <c r="E32" s="433"/>
      <c r="F32" s="571"/>
    </row>
    <row r="33" spans="1:6">
      <c r="A33" s="263">
        <f t="shared" si="2"/>
        <v>8</v>
      </c>
      <c r="B33" s="279"/>
      <c r="C33" s="279"/>
      <c r="D33" s="433"/>
      <c r="E33" s="433"/>
      <c r="F33" s="571"/>
    </row>
    <row r="34" spans="1:6">
      <c r="A34" s="263">
        <f t="shared" si="2"/>
        <v>9</v>
      </c>
      <c r="B34" s="279"/>
      <c r="C34" s="279"/>
      <c r="D34" s="433"/>
      <c r="E34" s="433"/>
      <c r="F34" s="571"/>
    </row>
    <row r="35" spans="1:6">
      <c r="A35" s="263">
        <f t="shared" si="2"/>
        <v>10</v>
      </c>
      <c r="B35" s="656"/>
      <c r="C35" s="279"/>
      <c r="D35" s="433"/>
      <c r="E35" s="433"/>
      <c r="F35" s="571"/>
    </row>
    <row r="36" spans="1:6">
      <c r="A36" s="263">
        <f t="shared" si="2"/>
        <v>11</v>
      </c>
      <c r="B36" s="279"/>
      <c r="C36" s="279"/>
      <c r="D36" s="433"/>
      <c r="E36" s="433"/>
      <c r="F36" s="571"/>
    </row>
    <row r="37" spans="1:6">
      <c r="A37" s="263">
        <f t="shared" si="2"/>
        <v>12</v>
      </c>
      <c r="B37" s="279"/>
      <c r="C37" s="279"/>
      <c r="D37" s="433"/>
      <c r="E37" s="433"/>
      <c r="F37" s="571"/>
    </row>
    <row r="38" spans="1:6">
      <c r="A38" s="263">
        <f t="shared" si="2"/>
        <v>13</v>
      </c>
      <c r="B38" s="279"/>
      <c r="C38" s="279"/>
      <c r="D38" s="433"/>
      <c r="E38" s="433"/>
      <c r="F38" s="571"/>
    </row>
    <row r="39" spans="1:6">
      <c r="A39" s="263">
        <f t="shared" si="2"/>
        <v>14</v>
      </c>
      <c r="B39" s="279"/>
      <c r="C39" s="279"/>
      <c r="D39" s="433"/>
      <c r="E39" s="433"/>
      <c r="F39" s="571"/>
    </row>
    <row r="40" spans="1:6">
      <c r="A40" s="263">
        <f t="shared" si="2"/>
        <v>15</v>
      </c>
      <c r="B40" s="279"/>
      <c r="C40" s="279"/>
      <c r="D40" s="433"/>
      <c r="E40" s="433"/>
      <c r="F40" s="571"/>
    </row>
    <row r="41" spans="1:6">
      <c r="A41" s="263">
        <f t="shared" si="2"/>
        <v>16</v>
      </c>
      <c r="B41" s="279"/>
      <c r="C41" s="279"/>
      <c r="D41" s="433"/>
      <c r="E41" s="433"/>
      <c r="F41" s="571"/>
    </row>
    <row r="42" spans="1:6">
      <c r="A42" s="263">
        <f t="shared" si="2"/>
        <v>17</v>
      </c>
      <c r="B42" s="279"/>
      <c r="C42" s="279"/>
      <c r="D42" s="433"/>
      <c r="E42" s="433"/>
      <c r="F42" s="571"/>
    </row>
    <row r="43" spans="1:6">
      <c r="A43" s="263">
        <f t="shared" si="2"/>
        <v>18</v>
      </c>
      <c r="B43" s="279"/>
      <c r="C43" s="279"/>
      <c r="D43" s="433"/>
      <c r="E43" s="433"/>
      <c r="F43" s="571"/>
    </row>
    <row r="44" spans="1:6">
      <c r="A44" s="263">
        <f t="shared" si="2"/>
        <v>19</v>
      </c>
      <c r="B44" s="279"/>
      <c r="C44" s="279"/>
      <c r="D44" s="433"/>
      <c r="E44" s="433"/>
      <c r="F44" s="571">
        <f>SUM(D44:E44)</f>
        <v>0</v>
      </c>
    </row>
    <row r="45" spans="1:6" ht="13.5" thickBot="1">
      <c r="A45" s="263">
        <f t="shared" si="2"/>
        <v>20</v>
      </c>
      <c r="B45" s="279"/>
      <c r="C45" s="279"/>
      <c r="D45" s="450"/>
      <c r="E45" s="434"/>
      <c r="F45" s="572">
        <f>SUM(D45:E45)</f>
        <v>0</v>
      </c>
    </row>
    <row r="46" spans="1:6" ht="13.5" thickBot="1">
      <c r="A46" s="263">
        <f t="shared" si="2"/>
        <v>21</v>
      </c>
      <c r="B46" s="167" t="s">
        <v>795</v>
      </c>
      <c r="C46" s="143" t="s">
        <v>1230</v>
      </c>
      <c r="D46" s="186">
        <f>SUM(D26:D45)</f>
        <v>0</v>
      </c>
      <c r="E46" s="204">
        <f>SUM(E26:E45)</f>
        <v>0</v>
      </c>
      <c r="F46" s="571">
        <f>SUM(D46:E46)</f>
        <v>0</v>
      </c>
    </row>
    <row r="47" spans="1:6">
      <c r="A47" s="263"/>
      <c r="B47" s="167"/>
      <c r="C47" s="167"/>
      <c r="D47" s="204"/>
      <c r="E47" s="204"/>
      <c r="F47" s="571"/>
    </row>
    <row r="48" spans="1:6" ht="13.5" thickBot="1">
      <c r="A48" s="565"/>
      <c r="B48" s="410" t="s">
        <v>1229</v>
      </c>
      <c r="C48" s="410"/>
      <c r="D48" s="410"/>
      <c r="E48" s="410"/>
      <c r="F48" s="276"/>
    </row>
    <row r="50" spans="13:13">
      <c r="M50" t="s">
        <v>1767</v>
      </c>
    </row>
  </sheetData>
  <phoneticPr fontId="2" type="noConversion"/>
  <pageMargins left="0.75" right="0.75" top="1" bottom="1" header="0.5" footer="0.5"/>
  <pageSetup scale="85" orientation="portrait" r:id="rId1"/>
  <headerFooter alignWithMargins="0">
    <oddHeader>&amp;RPage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1:H32"/>
  <sheetViews>
    <sheetView workbookViewId="0">
      <selection activeCell="B13" sqref="B13"/>
    </sheetView>
  </sheetViews>
  <sheetFormatPr defaultRowHeight="12.75"/>
  <cols>
    <col min="1" max="1" width="8" customWidth="1"/>
    <col min="2" max="2" width="35.7109375" bestFit="1" customWidth="1"/>
    <col min="3" max="3" width="16.42578125" style="105" bestFit="1" customWidth="1"/>
    <col min="4" max="4" width="13.42578125" bestFit="1" customWidth="1"/>
    <col min="5" max="5" width="4.5703125" customWidth="1"/>
    <col min="6" max="6" width="12.85546875" customWidth="1"/>
    <col min="7" max="7" width="16.140625" customWidth="1"/>
    <col min="8" max="8" width="3.85546875" customWidth="1"/>
    <col min="9" max="9" width="10" bestFit="1" customWidth="1"/>
  </cols>
  <sheetData>
    <row r="1" spans="1:7">
      <c r="A1" s="98" t="str">
        <f>'Cover Page'!A5</f>
        <v>Public Service Company of Colorado</v>
      </c>
      <c r="E1" s="133"/>
      <c r="G1" s="133" t="str">
        <f>'Table of Contents'!A29</f>
        <v>Table 21</v>
      </c>
    </row>
    <row r="2" spans="1:7">
      <c r="A2" s="98" t="str">
        <f>'Cover Page'!A6</f>
        <v>Transmission Formula Rate Template</v>
      </c>
      <c r="G2" s="133" t="str">
        <f ca="1">MID(CELL("filename",$A$1),FIND("]",CELL("filename",$A$1))+1,LEN(CELL("filename",$A$1))-FIND("]",CELL("filename",$A$1)))</f>
        <v>WP_D-1</v>
      </c>
    </row>
    <row r="3" spans="1:7">
      <c r="A3" s="98" t="str">
        <f>'Cover Page'!A7</f>
        <v>Twelve Months Ended December 31, 2018</v>
      </c>
    </row>
    <row r="4" spans="1:7">
      <c r="A4" s="98" t="s">
        <v>72</v>
      </c>
    </row>
    <row r="5" spans="1:7">
      <c r="A5" s="167"/>
      <c r="B5" s="167"/>
      <c r="C5" s="201"/>
      <c r="D5" s="167"/>
    </row>
    <row r="6" spans="1:7">
      <c r="A6" s="179"/>
      <c r="B6" s="167"/>
      <c r="C6" s="201"/>
      <c r="D6" s="167"/>
      <c r="E6" s="167"/>
    </row>
    <row r="7" spans="1:7">
      <c r="A7" s="167"/>
      <c r="B7" s="167"/>
      <c r="C7" s="201"/>
      <c r="D7" s="167"/>
      <c r="E7" s="167"/>
      <c r="F7" s="176" t="s">
        <v>381</v>
      </c>
    </row>
    <row r="8" spans="1:7">
      <c r="A8" s="1" t="s">
        <v>868</v>
      </c>
      <c r="B8" s="1" t="s">
        <v>917</v>
      </c>
      <c r="C8" s="1" t="s">
        <v>870</v>
      </c>
      <c r="D8" s="1" t="s">
        <v>80</v>
      </c>
      <c r="E8" s="197"/>
      <c r="F8" s="1" t="s">
        <v>870</v>
      </c>
      <c r="G8" s="277" t="s">
        <v>1071</v>
      </c>
    </row>
    <row r="9" spans="1:7">
      <c r="A9" s="197"/>
      <c r="B9" s="197"/>
      <c r="C9" s="197"/>
      <c r="D9" s="197"/>
      <c r="E9" s="167"/>
    </row>
    <row r="10" spans="1:7">
      <c r="A10" s="201">
        <v>1</v>
      </c>
      <c r="B10" s="203" t="s">
        <v>81</v>
      </c>
      <c r="C10" s="201"/>
      <c r="D10" s="167"/>
      <c r="E10" s="167"/>
      <c r="F10" s="74" t="s">
        <v>1596</v>
      </c>
      <c r="G10" s="873"/>
    </row>
    <row r="11" spans="1:7">
      <c r="A11" s="201">
        <f t="shared" ref="A11:A23" si="0">A10+1</f>
        <v>2</v>
      </c>
      <c r="B11" s="203" t="s">
        <v>82</v>
      </c>
      <c r="C11" s="201"/>
      <c r="D11" s="167"/>
      <c r="E11" s="167"/>
      <c r="F11" s="74" t="s">
        <v>1596</v>
      </c>
      <c r="G11" s="629"/>
    </row>
    <row r="12" spans="1:7">
      <c r="A12" s="201">
        <f t="shared" si="0"/>
        <v>3</v>
      </c>
      <c r="B12" s="203" t="s">
        <v>83</v>
      </c>
      <c r="C12" s="201"/>
      <c r="D12" s="167"/>
      <c r="E12" s="167"/>
      <c r="F12" s="74" t="s">
        <v>1596</v>
      </c>
      <c r="G12" s="981"/>
    </row>
    <row r="13" spans="1:7" ht="13.5" thickBot="1">
      <c r="A13" s="201">
        <f t="shared" si="0"/>
        <v>4</v>
      </c>
      <c r="B13" s="203" t="s">
        <v>73</v>
      </c>
      <c r="C13" s="201"/>
      <c r="D13" s="167"/>
      <c r="E13" s="167"/>
      <c r="F13" s="74" t="s">
        <v>1596</v>
      </c>
      <c r="G13" s="981"/>
    </row>
    <row r="14" spans="1:7" ht="13.5" thickBot="1">
      <c r="A14" s="201">
        <f t="shared" si="0"/>
        <v>5</v>
      </c>
      <c r="B14" s="265" t="s">
        <v>74</v>
      </c>
      <c r="C14" s="201" t="s">
        <v>1393</v>
      </c>
      <c r="D14" s="742">
        <v>13438495.990702413</v>
      </c>
      <c r="E14" s="220"/>
      <c r="F14" s="72"/>
      <c r="G14" s="326">
        <f>SUM(G10:G13)</f>
        <v>0</v>
      </c>
    </row>
    <row r="15" spans="1:7">
      <c r="A15" s="201">
        <f t="shared" si="0"/>
        <v>6</v>
      </c>
      <c r="B15" s="167"/>
      <c r="C15" s="201"/>
      <c r="D15" s="167"/>
      <c r="E15" s="167"/>
      <c r="F15" s="72"/>
    </row>
    <row r="16" spans="1:7">
      <c r="A16" s="201">
        <f t="shared" si="0"/>
        <v>7</v>
      </c>
      <c r="B16" s="203" t="s">
        <v>75</v>
      </c>
      <c r="C16" s="201"/>
      <c r="D16" s="167"/>
      <c r="E16" s="167"/>
      <c r="F16" s="74" t="s">
        <v>1596</v>
      </c>
      <c r="G16" s="873"/>
    </row>
    <row r="17" spans="1:8" ht="13.5" thickBot="1">
      <c r="A17" s="201">
        <f t="shared" si="0"/>
        <v>8</v>
      </c>
      <c r="B17" s="203" t="s">
        <v>76</v>
      </c>
      <c r="C17" s="201"/>
      <c r="D17" s="167"/>
      <c r="E17" s="167"/>
      <c r="F17" s="74" t="s">
        <v>1596</v>
      </c>
      <c r="G17" s="286"/>
    </row>
    <row r="18" spans="1:8" ht="13.5" thickBot="1">
      <c r="A18" s="201">
        <f t="shared" si="0"/>
        <v>9</v>
      </c>
      <c r="B18" s="265" t="s">
        <v>77</v>
      </c>
      <c r="C18" s="201" t="s">
        <v>1393</v>
      </c>
      <c r="D18" s="742">
        <v>148278275.99999997</v>
      </c>
      <c r="E18" s="220"/>
      <c r="G18" s="326">
        <f>SUM(G16:G17)</f>
        <v>0</v>
      </c>
    </row>
    <row r="19" spans="1:8">
      <c r="A19" s="201">
        <f t="shared" si="0"/>
        <v>10</v>
      </c>
      <c r="B19" s="167"/>
      <c r="C19" s="201"/>
      <c r="D19" s="167"/>
      <c r="E19" s="167"/>
    </row>
    <row r="20" spans="1:8" ht="13.5" thickBot="1">
      <c r="A20" s="201">
        <f t="shared" si="0"/>
        <v>11</v>
      </c>
      <c r="B20" s="167" t="s">
        <v>78</v>
      </c>
      <c r="C20" s="201"/>
      <c r="D20" s="167"/>
      <c r="E20" s="167"/>
    </row>
    <row r="21" spans="1:8" ht="13.5" thickBot="1">
      <c r="A21" s="201">
        <f t="shared" si="0"/>
        <v>12</v>
      </c>
      <c r="B21" s="698"/>
      <c r="C21" s="201" t="s">
        <v>1393</v>
      </c>
      <c r="D21" s="616"/>
      <c r="E21" s="220"/>
      <c r="F21" s="105"/>
      <c r="G21" s="617"/>
    </row>
    <row r="22" spans="1:8">
      <c r="A22" s="201">
        <f t="shared" si="0"/>
        <v>13</v>
      </c>
      <c r="B22" s="167"/>
      <c r="C22" s="201"/>
      <c r="D22" s="167"/>
      <c r="E22" s="167"/>
    </row>
    <row r="23" spans="1:8" ht="26.25" thickBot="1">
      <c r="A23" s="201">
        <f t="shared" si="0"/>
        <v>14</v>
      </c>
      <c r="B23" s="167" t="s">
        <v>79</v>
      </c>
      <c r="C23" s="285" t="str">
        <f>"Line "&amp;A14&amp;" plus Line "&amp;A18&amp;" plus Line "&amp;A21</f>
        <v>Line 5 plus Line 9 plus Line 12</v>
      </c>
      <c r="D23" s="273">
        <f>D21+D18+D14</f>
        <v>161716771.99070239</v>
      </c>
      <c r="E23" s="267"/>
      <c r="F23" s="110" t="s">
        <v>388</v>
      </c>
      <c r="G23" s="273">
        <f>G21+G18+G14</f>
        <v>0</v>
      </c>
    </row>
    <row r="24" spans="1:8" ht="13.5" thickTop="1">
      <c r="A24" s="167"/>
      <c r="B24" s="167"/>
      <c r="C24" s="201"/>
      <c r="D24" s="167"/>
      <c r="E24" s="167"/>
    </row>
    <row r="25" spans="1:8">
      <c r="A25" s="167"/>
      <c r="C25" s="201"/>
      <c r="D25" s="167"/>
      <c r="E25" s="167"/>
      <c r="F25" s="167"/>
      <c r="G25" s="167"/>
    </row>
    <row r="26" spans="1:8" ht="26.25" customHeight="1">
      <c r="A26" s="167"/>
      <c r="B26" s="1246" t="s">
        <v>401</v>
      </c>
      <c r="C26" s="1246"/>
      <c r="D26" s="1246"/>
      <c r="E26" s="1246"/>
      <c r="F26" s="1246"/>
      <c r="G26" s="1246"/>
    </row>
    <row r="27" spans="1:8" ht="15.75">
      <c r="A27" s="283"/>
      <c r="B27" s="283"/>
      <c r="C27" s="283"/>
      <c r="D27" s="283"/>
      <c r="E27" s="283"/>
      <c r="F27" s="167"/>
      <c r="G27" s="167"/>
      <c r="H27" s="167"/>
    </row>
    <row r="28" spans="1:8">
      <c r="A28" s="167"/>
      <c r="B28" s="167"/>
      <c r="C28" s="201"/>
      <c r="D28" s="167"/>
      <c r="E28" s="167"/>
      <c r="F28" s="167"/>
      <c r="G28" s="167"/>
      <c r="H28" s="167"/>
    </row>
    <row r="29" spans="1:8">
      <c r="A29" s="167"/>
      <c r="B29" s="167"/>
      <c r="C29" s="201"/>
      <c r="D29" s="167"/>
      <c r="E29" s="167"/>
      <c r="F29" s="167"/>
      <c r="G29" s="167"/>
      <c r="H29" s="167"/>
    </row>
    <row r="30" spans="1:8">
      <c r="A30" s="167"/>
      <c r="B30" s="167"/>
      <c r="C30" s="201"/>
      <c r="D30" s="167"/>
      <c r="E30" s="167"/>
      <c r="F30" s="167"/>
      <c r="G30" s="167"/>
      <c r="H30" s="167"/>
    </row>
    <row r="31" spans="1:8">
      <c r="A31" s="167"/>
      <c r="B31" s="167"/>
      <c r="C31" s="201"/>
      <c r="D31" s="167"/>
      <c r="E31" s="167"/>
      <c r="F31" s="167"/>
      <c r="G31" s="167"/>
      <c r="H31" s="167"/>
    </row>
    <row r="32" spans="1:8">
      <c r="A32" s="167"/>
      <c r="B32" s="167"/>
      <c r="C32" s="201"/>
      <c r="D32" s="167"/>
      <c r="E32" s="167"/>
      <c r="F32" s="167"/>
      <c r="G32" s="167"/>
      <c r="H32" s="167"/>
    </row>
  </sheetData>
  <mergeCells count="1">
    <mergeCell ref="B26:G26"/>
  </mergeCells>
  <phoneticPr fontId="2" type="noConversion"/>
  <pageMargins left="0.75" right="0.75" top="1" bottom="1" header="0.5" footer="0.5"/>
  <pageSetup scale="85" orientation="portrait" r:id="rId1"/>
  <headerFooter alignWithMargins="0">
    <oddHeader>&amp;RPage &amp;P of &amp;N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enableFormatConditionsCalculation="0">
    <pageSetUpPr fitToPage="1"/>
  </sheetPr>
  <dimension ref="A1:F42"/>
  <sheetViews>
    <sheetView topLeftCell="A22" workbookViewId="0">
      <selection activeCell="D13" sqref="D13"/>
    </sheetView>
  </sheetViews>
  <sheetFormatPr defaultRowHeight="12.75"/>
  <cols>
    <col min="2" max="2" width="9.85546875" customWidth="1"/>
    <col min="3" max="3" width="66.28515625" bestFit="1" customWidth="1"/>
    <col min="4" max="4" width="14.85546875" bestFit="1" customWidth="1"/>
    <col min="5" max="6" width="14.140625" bestFit="1" customWidth="1"/>
    <col min="7" max="7" width="3.7109375" customWidth="1"/>
  </cols>
  <sheetData>
    <row r="1" spans="1:6">
      <c r="A1" s="98" t="str">
        <f>'Cover Page'!A5</f>
        <v>Public Service Company of Colorado</v>
      </c>
      <c r="F1" s="133" t="str">
        <f>'Table of Contents'!A30</f>
        <v>Table 22</v>
      </c>
    </row>
    <row r="2" spans="1:6">
      <c r="A2" s="98" t="str">
        <f>'Cover Page'!A6</f>
        <v>Transmission Formula Rate Template</v>
      </c>
      <c r="F2" s="133" t="str">
        <f ca="1">MID(CELL("filename",B2),FIND("]",CELL("filename",B2))+1,LEN(CELL("filename",B2))-FIND("]",CELL("filename",B2)))</f>
        <v>WP_E-1</v>
      </c>
    </row>
    <row r="3" spans="1:6">
      <c r="A3" s="98" t="str">
        <f>'Cover Page'!A7</f>
        <v>Twelve Months Ended December 31, 2018</v>
      </c>
    </row>
    <row r="4" spans="1:6">
      <c r="A4" s="98" t="s">
        <v>92</v>
      </c>
    </row>
    <row r="5" spans="1:6" ht="13.5" thickBot="1"/>
    <row r="6" spans="1:6">
      <c r="A6" s="527" t="s">
        <v>990</v>
      </c>
      <c r="B6" s="528"/>
      <c r="C6" s="528"/>
      <c r="D6" s="528"/>
      <c r="E6" s="528"/>
      <c r="F6" s="529"/>
    </row>
    <row r="7" spans="1:6">
      <c r="A7" s="530"/>
      <c r="B7" s="143"/>
      <c r="C7" s="143"/>
      <c r="D7" s="143"/>
      <c r="E7" s="143"/>
      <c r="F7" s="531"/>
    </row>
    <row r="8" spans="1:6">
      <c r="A8" s="532" t="s">
        <v>868</v>
      </c>
      <c r="B8" s="277" t="s">
        <v>897</v>
      </c>
      <c r="C8" s="277" t="s">
        <v>917</v>
      </c>
      <c r="D8" s="277" t="s">
        <v>795</v>
      </c>
      <c r="E8" s="277" t="s">
        <v>978</v>
      </c>
      <c r="F8" s="293" t="s">
        <v>56</v>
      </c>
    </row>
    <row r="9" spans="1:6">
      <c r="A9" s="530"/>
      <c r="B9" s="143"/>
      <c r="C9" s="143"/>
      <c r="D9" s="316" t="s">
        <v>363</v>
      </c>
      <c r="E9" s="695" t="s">
        <v>362</v>
      </c>
      <c r="F9" s="727" t="s">
        <v>364</v>
      </c>
    </row>
    <row r="10" spans="1:6">
      <c r="A10" s="533">
        <v>1</v>
      </c>
      <c r="B10" s="311" t="s">
        <v>97</v>
      </c>
      <c r="C10" s="139"/>
      <c r="D10" s="143"/>
      <c r="E10" s="139"/>
      <c r="F10" s="327"/>
    </row>
    <row r="11" spans="1:6">
      <c r="A11" s="533">
        <f t="shared" ref="A11:A18" si="0">A10+1</f>
        <v>2</v>
      </c>
      <c r="B11" s="115">
        <v>45400</v>
      </c>
      <c r="C11" s="139" t="s">
        <v>98</v>
      </c>
      <c r="D11" s="726">
        <v>3497395</v>
      </c>
      <c r="E11" s="220">
        <v>0</v>
      </c>
      <c r="F11" s="328">
        <f>SUM(D11:E11)</f>
        <v>3497395</v>
      </c>
    </row>
    <row r="12" spans="1:6" ht="13.5" thickBot="1">
      <c r="A12" s="533">
        <f>A11+1</f>
        <v>3</v>
      </c>
      <c r="B12" s="526">
        <v>45400</v>
      </c>
      <c r="C12" s="139" t="s">
        <v>507</v>
      </c>
      <c r="D12" s="735">
        <v>3111129</v>
      </c>
      <c r="E12" s="189">
        <f>-D12</f>
        <v>-3111129</v>
      </c>
      <c r="F12" s="327">
        <f>SUM(D12:E12)</f>
        <v>0</v>
      </c>
    </row>
    <row r="13" spans="1:6" ht="13.5" thickBot="1">
      <c r="A13" s="533">
        <f t="shared" si="0"/>
        <v>4</v>
      </c>
      <c r="B13" s="139" t="s">
        <v>105</v>
      </c>
      <c r="C13" s="139"/>
      <c r="D13" s="220">
        <f>SUM(D11:D12)</f>
        <v>6608524</v>
      </c>
      <c r="E13" s="220">
        <f>SUM(E11:E12)</f>
        <v>-3111129</v>
      </c>
      <c r="F13" s="224">
        <f>SUM(F11:F12)</f>
        <v>3497395</v>
      </c>
    </row>
    <row r="14" spans="1:6">
      <c r="A14" s="533">
        <f t="shared" si="0"/>
        <v>5</v>
      </c>
      <c r="B14" s="139"/>
      <c r="C14" s="139"/>
      <c r="D14" s="139"/>
      <c r="E14" s="139"/>
      <c r="F14" s="327"/>
    </row>
    <row r="15" spans="1:6">
      <c r="A15" s="533">
        <f t="shared" si="0"/>
        <v>6</v>
      </c>
      <c r="B15" s="190" t="s">
        <v>941</v>
      </c>
      <c r="C15" s="220"/>
      <c r="D15" s="220"/>
      <c r="E15" s="220"/>
      <c r="F15" s="328"/>
    </row>
    <row r="16" spans="1:6" ht="25.5">
      <c r="A16" s="533">
        <f t="shared" si="0"/>
        <v>7</v>
      </c>
      <c r="B16" s="587">
        <v>421.1</v>
      </c>
      <c r="C16" s="863" t="s">
        <v>1707</v>
      </c>
      <c r="D16" s="220">
        <f>'WP_B-7'!E26</f>
        <v>0</v>
      </c>
      <c r="E16" s="220">
        <v>0</v>
      </c>
      <c r="F16" s="328">
        <f>SUM(D16:E16)</f>
        <v>0</v>
      </c>
    </row>
    <row r="17" spans="1:6" ht="13.5" thickBot="1">
      <c r="A17" s="533">
        <f t="shared" si="0"/>
        <v>8</v>
      </c>
      <c r="B17" s="115">
        <v>421.1</v>
      </c>
      <c r="C17" s="211" t="s">
        <v>93</v>
      </c>
      <c r="D17" s="138"/>
      <c r="E17" s="189">
        <f>-D17</f>
        <v>0</v>
      </c>
      <c r="F17" s="327">
        <f>SUM(D17:E17)</f>
        <v>0</v>
      </c>
    </row>
    <row r="18" spans="1:6" ht="13.5" thickBot="1">
      <c r="A18" s="533">
        <f t="shared" si="0"/>
        <v>9</v>
      </c>
      <c r="B18" s="536" t="s">
        <v>407</v>
      </c>
      <c r="C18" s="190"/>
      <c r="D18" s="220">
        <f>SUM(D16:D17)</f>
        <v>0</v>
      </c>
      <c r="E18" s="220">
        <f>SUM(E16:E17)</f>
        <v>0</v>
      </c>
      <c r="F18" s="224">
        <f>SUM(F16:F17)</f>
        <v>0</v>
      </c>
    </row>
    <row r="19" spans="1:6" ht="13.5" thickBot="1">
      <c r="A19" s="329"/>
      <c r="B19" s="330"/>
      <c r="C19" s="331"/>
      <c r="D19" s="331"/>
      <c r="E19" s="331"/>
      <c r="F19" s="332"/>
    </row>
    <row r="20" spans="1:6">
      <c r="A20" s="115"/>
      <c r="B20" s="181"/>
      <c r="C20" s="220"/>
      <c r="D20" s="220"/>
      <c r="E20" s="220"/>
      <c r="F20" s="220"/>
    </row>
    <row r="21" spans="1:6">
      <c r="A21" s="115"/>
      <c r="B21" s="181"/>
      <c r="C21" s="220"/>
      <c r="D21" s="220"/>
      <c r="E21" s="220"/>
      <c r="F21" s="220"/>
    </row>
    <row r="22" spans="1:6">
      <c r="A22" s="115"/>
      <c r="B22" s="181"/>
      <c r="C22" s="220"/>
      <c r="D22" s="220"/>
      <c r="E22" s="220"/>
      <c r="F22" s="220"/>
    </row>
    <row r="23" spans="1:6" ht="13.5" thickBot="1">
      <c r="A23" s="115"/>
      <c r="B23" s="143"/>
      <c r="C23" s="143"/>
      <c r="D23" s="143"/>
      <c r="E23" s="143"/>
      <c r="F23" s="143"/>
    </row>
    <row r="24" spans="1:6">
      <c r="A24" s="527" t="s">
        <v>1071</v>
      </c>
      <c r="B24" s="528"/>
      <c r="C24" s="528"/>
      <c r="D24" s="528"/>
      <c r="E24" s="528"/>
      <c r="F24" s="529"/>
    </row>
    <row r="25" spans="1:6">
      <c r="A25" s="530"/>
      <c r="B25" s="143"/>
      <c r="C25" s="143"/>
      <c r="D25" s="143"/>
      <c r="E25" s="143"/>
      <c r="F25" s="531"/>
    </row>
    <row r="26" spans="1:6">
      <c r="A26" s="532" t="s">
        <v>868</v>
      </c>
      <c r="B26" s="277" t="s">
        <v>897</v>
      </c>
      <c r="C26" s="277" t="s">
        <v>917</v>
      </c>
      <c r="D26" s="277" t="s">
        <v>795</v>
      </c>
      <c r="E26" s="277" t="s">
        <v>978</v>
      </c>
      <c r="F26" s="293" t="s">
        <v>56</v>
      </c>
    </row>
    <row r="27" spans="1:6">
      <c r="A27" s="530"/>
      <c r="B27" s="143"/>
      <c r="C27" s="143"/>
      <c r="D27" s="316" t="s">
        <v>363</v>
      </c>
      <c r="E27" s="695" t="s">
        <v>362</v>
      </c>
      <c r="F27" s="727" t="s">
        <v>364</v>
      </c>
    </row>
    <row r="28" spans="1:6">
      <c r="A28" s="533">
        <v>1</v>
      </c>
      <c r="B28" s="311" t="s">
        <v>97</v>
      </c>
      <c r="C28" s="139"/>
      <c r="D28" s="143"/>
      <c r="E28" s="139"/>
      <c r="F28" s="327"/>
    </row>
    <row r="29" spans="1:6">
      <c r="A29" s="533">
        <f>A28+1</f>
        <v>2</v>
      </c>
      <c r="B29" s="115">
        <v>45400</v>
      </c>
      <c r="C29" s="139" t="s">
        <v>98</v>
      </c>
      <c r="D29" s="219"/>
      <c r="E29" s="220">
        <v>0</v>
      </c>
      <c r="F29" s="328">
        <f>SUM(D29:E29)</f>
        <v>0</v>
      </c>
    </row>
    <row r="30" spans="1:6" ht="13.5" thickBot="1">
      <c r="A30" s="533">
        <f>A29+1</f>
        <v>3</v>
      </c>
      <c r="B30" s="526">
        <v>45400</v>
      </c>
      <c r="C30" s="139" t="s">
        <v>507</v>
      </c>
      <c r="D30" s="138"/>
      <c r="E30" s="189">
        <f>-D30</f>
        <v>0</v>
      </c>
      <c r="F30" s="327">
        <f>SUM(D30:E30)</f>
        <v>0</v>
      </c>
    </row>
    <row r="31" spans="1:6" ht="13.5" thickBot="1">
      <c r="A31" s="533">
        <f t="shared" ref="A31:A41" si="1">A30+1</f>
        <v>4</v>
      </c>
      <c r="B31" s="139" t="s">
        <v>382</v>
      </c>
      <c r="C31" s="139"/>
      <c r="D31" s="220">
        <f>SUM(D29:D30)</f>
        <v>0</v>
      </c>
      <c r="E31" s="220">
        <f>SUM(E29:E30)</f>
        <v>0</v>
      </c>
      <c r="F31" s="224">
        <f>SUM(F29:F30)</f>
        <v>0</v>
      </c>
    </row>
    <row r="32" spans="1:6">
      <c r="A32" s="533">
        <f t="shared" si="1"/>
        <v>5</v>
      </c>
      <c r="B32" s="139"/>
      <c r="C32" s="139"/>
      <c r="D32" s="139"/>
      <c r="E32" s="139"/>
      <c r="F32" s="327"/>
    </row>
    <row r="33" spans="1:6">
      <c r="A33" s="533">
        <f t="shared" si="1"/>
        <v>6</v>
      </c>
      <c r="B33" s="139" t="s">
        <v>1725</v>
      </c>
      <c r="C33" s="139"/>
      <c r="D33" s="139"/>
      <c r="E33" s="139"/>
      <c r="F33" s="327"/>
    </row>
    <row r="34" spans="1:6">
      <c r="A34" s="533">
        <f t="shared" si="1"/>
        <v>7</v>
      </c>
      <c r="B34" s="139">
        <v>456</v>
      </c>
      <c r="C34" s="139" t="s">
        <v>1726</v>
      </c>
      <c r="D34" s="219"/>
      <c r="E34" s="220">
        <v>0</v>
      </c>
      <c r="F34" s="328">
        <f>SUM(D34:E34)</f>
        <v>0</v>
      </c>
    </row>
    <row r="35" spans="1:6" ht="13.5" thickBot="1">
      <c r="A35" s="533">
        <f t="shared" si="1"/>
        <v>8</v>
      </c>
      <c r="B35" s="139">
        <v>456</v>
      </c>
      <c r="C35" s="139" t="s">
        <v>1727</v>
      </c>
      <c r="D35" s="138"/>
      <c r="E35" s="189">
        <f>-D35</f>
        <v>0</v>
      </c>
      <c r="F35" s="327">
        <f>SUM(D35:E35)</f>
        <v>0</v>
      </c>
    </row>
    <row r="36" spans="1:6" ht="13.5" thickBot="1">
      <c r="A36" s="533">
        <f t="shared" si="1"/>
        <v>9</v>
      </c>
      <c r="B36" s="139" t="s">
        <v>1768</v>
      </c>
      <c r="C36" s="139"/>
      <c r="D36" s="220">
        <f>SUM(D34:D35)</f>
        <v>0</v>
      </c>
      <c r="E36" s="220">
        <f>SUM(E34:E35)</f>
        <v>0</v>
      </c>
      <c r="F36" s="224">
        <f>SUM(F34:F35)</f>
        <v>0</v>
      </c>
    </row>
    <row r="37" spans="1:6">
      <c r="A37" s="533">
        <f t="shared" si="1"/>
        <v>10</v>
      </c>
      <c r="B37" s="139"/>
      <c r="C37" s="139"/>
      <c r="D37" s="139"/>
      <c r="E37" s="139"/>
      <c r="F37" s="327"/>
    </row>
    <row r="38" spans="1:6">
      <c r="A38" s="533">
        <f t="shared" si="1"/>
        <v>11</v>
      </c>
      <c r="B38" s="190" t="s">
        <v>941</v>
      </c>
      <c r="C38" s="220"/>
      <c r="D38" s="220"/>
      <c r="E38" s="220"/>
      <c r="F38" s="328"/>
    </row>
    <row r="39" spans="1:6" ht="25.5">
      <c r="A39" s="533">
        <f t="shared" si="1"/>
        <v>12</v>
      </c>
      <c r="B39" s="587">
        <v>421.1</v>
      </c>
      <c r="C39" s="863" t="s">
        <v>1707</v>
      </c>
      <c r="D39" s="220">
        <f>-'WP_B-7'!E50</f>
        <v>0</v>
      </c>
      <c r="E39" s="220">
        <v>0</v>
      </c>
      <c r="F39" s="328">
        <f>SUM(D39:E39)</f>
        <v>0</v>
      </c>
    </row>
    <row r="40" spans="1:6" ht="13.5" thickBot="1">
      <c r="A40" s="533">
        <f t="shared" si="1"/>
        <v>13</v>
      </c>
      <c r="B40" s="115">
        <v>421.1</v>
      </c>
      <c r="C40" s="211" t="s">
        <v>93</v>
      </c>
      <c r="D40" s="138"/>
      <c r="E40" s="189">
        <f>-D40</f>
        <v>0</v>
      </c>
      <c r="F40" s="327">
        <f>SUM(D40:E40)</f>
        <v>0</v>
      </c>
    </row>
    <row r="41" spans="1:6" ht="13.5" thickBot="1">
      <c r="A41" s="533">
        <f t="shared" si="1"/>
        <v>14</v>
      </c>
      <c r="B41" s="536" t="s">
        <v>385</v>
      </c>
      <c r="C41" s="190"/>
      <c r="D41" s="220">
        <f>SUM(D39:D40)</f>
        <v>0</v>
      </c>
      <c r="E41" s="220">
        <f>SUM(E39:E40)</f>
        <v>0</v>
      </c>
      <c r="F41" s="224">
        <f>SUM(F39:F40)</f>
        <v>0</v>
      </c>
    </row>
    <row r="42" spans="1:6" ht="13.5" thickBot="1">
      <c r="A42" s="534"/>
      <c r="B42" s="410"/>
      <c r="C42" s="410"/>
      <c r="D42" s="410"/>
      <c r="E42" s="410"/>
      <c r="F42" s="535"/>
    </row>
  </sheetData>
  <phoneticPr fontId="2" type="noConversion"/>
  <printOptions horizontalCentered="1"/>
  <pageMargins left="0.75" right="0.75" top="1" bottom="1" header="0.5" footer="0.5"/>
  <pageSetup scale="81" orientation="portrait" r:id="rId1"/>
  <headerFooter alignWithMargins="0">
    <oddHeader>&amp;RPage &amp;P of &amp;N</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U129"/>
  <sheetViews>
    <sheetView workbookViewId="0">
      <selection activeCell="B13" sqref="B13"/>
    </sheetView>
  </sheetViews>
  <sheetFormatPr defaultRowHeight="12.75"/>
  <cols>
    <col min="1" max="1" width="10.7109375" style="72" customWidth="1"/>
    <col min="2" max="2" width="9.5703125" style="72" customWidth="1"/>
    <col min="3" max="3" width="46" style="72" customWidth="1"/>
    <col min="4" max="4" width="9.42578125" style="72" bestFit="1" customWidth="1"/>
    <col min="5" max="5" width="12.85546875" style="72" bestFit="1" customWidth="1"/>
    <col min="6" max="6" width="19.7109375" style="72" customWidth="1"/>
    <col min="7" max="7" width="15" style="72" bestFit="1" customWidth="1"/>
    <col min="8" max="9" width="14" style="72" bestFit="1" customWidth="1"/>
    <col min="10" max="10" width="16.140625" style="72" bestFit="1" customWidth="1"/>
    <col min="11" max="11" width="18.85546875" style="72" bestFit="1" customWidth="1"/>
    <col min="12" max="12" width="24.42578125" style="72" bestFit="1" customWidth="1"/>
    <col min="13" max="13" width="20.42578125" style="72" bestFit="1" customWidth="1"/>
    <col min="14" max="15" width="20.42578125" style="72" customWidth="1"/>
    <col min="16" max="16" width="14" style="72" bestFit="1" customWidth="1"/>
    <col min="17" max="17" width="14.42578125" style="72" bestFit="1" customWidth="1"/>
    <col min="18" max="18" width="15.42578125" style="72" bestFit="1" customWidth="1"/>
    <col min="19" max="19" width="15.42578125" style="72" customWidth="1"/>
    <col min="20" max="20" width="14.42578125" style="72" customWidth="1"/>
    <col min="21" max="21" width="12.5703125" style="72" customWidth="1"/>
    <col min="22" max="41" width="12.7109375" style="72" customWidth="1"/>
    <col min="42" max="16384" width="9.140625" style="72"/>
  </cols>
  <sheetData>
    <row r="1" spans="1:20" ht="12.75" customHeight="1">
      <c r="A1" s="98" t="str">
        <f>'Cover Page'!A5</f>
        <v>Public Service Company of Colorado</v>
      </c>
      <c r="B1" s="98"/>
      <c r="C1" s="98"/>
      <c r="D1" s="98"/>
      <c r="E1" s="98"/>
      <c r="R1" s="133" t="str">
        <f>'Table of Contents'!A31</f>
        <v>Table 23</v>
      </c>
    </row>
    <row r="2" spans="1:20" ht="12.75" customHeight="1">
      <c r="A2" s="98" t="str">
        <f>'Cover Page'!A6</f>
        <v>Transmission Formula Rate Template</v>
      </c>
      <c r="B2" s="98"/>
      <c r="C2" s="98"/>
      <c r="D2" s="98"/>
      <c r="E2" s="98"/>
      <c r="R2" s="133" t="str">
        <f ca="1">MID(CELL("filename",$A$1),FIND("]",CELL("filename",$A$1))+1,LEN(CELL("filename",$A$1))-FIND("]",CELL("filename",$A$1)))</f>
        <v>WP_F-1</v>
      </c>
    </row>
    <row r="3" spans="1:20" ht="12.75" customHeight="1">
      <c r="A3" s="98" t="s">
        <v>198</v>
      </c>
      <c r="B3" s="98"/>
      <c r="C3" s="98"/>
      <c r="D3" s="98"/>
      <c r="E3" s="98"/>
    </row>
    <row r="4" spans="1:20" ht="12.75" customHeight="1">
      <c r="A4" s="98"/>
      <c r="B4" s="98"/>
      <c r="C4" s="98"/>
      <c r="D4" s="98"/>
      <c r="E4" s="98"/>
    </row>
    <row r="5" spans="1:20">
      <c r="F5" s="415"/>
      <c r="G5" s="415"/>
      <c r="H5" s="415" t="s">
        <v>700</v>
      </c>
      <c r="I5" s="415" t="s">
        <v>701</v>
      </c>
      <c r="K5" s="415" t="s">
        <v>705</v>
      </c>
      <c r="L5" s="415" t="s">
        <v>705</v>
      </c>
      <c r="M5" s="415"/>
      <c r="N5" s="415" t="s">
        <v>702</v>
      </c>
      <c r="O5" s="415"/>
      <c r="P5" s="415"/>
      <c r="Q5" s="415"/>
      <c r="R5" s="415"/>
    </row>
    <row r="6" spans="1:20">
      <c r="A6" s="98" t="s">
        <v>758</v>
      </c>
      <c r="F6" s="415"/>
      <c r="G6" s="415"/>
      <c r="H6" s="415" t="s">
        <v>703</v>
      </c>
      <c r="I6" s="415" t="s">
        <v>704</v>
      </c>
      <c r="J6" s="415" t="s">
        <v>705</v>
      </c>
      <c r="K6" s="415" t="s">
        <v>711</v>
      </c>
      <c r="L6" s="415" t="s">
        <v>711</v>
      </c>
      <c r="M6" s="415" t="s">
        <v>702</v>
      </c>
      <c r="N6" s="415" t="s">
        <v>706</v>
      </c>
      <c r="O6" s="415"/>
      <c r="P6" s="415" t="s">
        <v>707</v>
      </c>
      <c r="Q6" s="415" t="s">
        <v>897</v>
      </c>
      <c r="R6" s="415"/>
    </row>
    <row r="7" spans="1:20">
      <c r="F7" s="415" t="s">
        <v>759</v>
      </c>
      <c r="G7" s="415" t="s">
        <v>708</v>
      </c>
      <c r="H7" s="415" t="s">
        <v>709</v>
      </c>
      <c r="I7" s="415" t="s">
        <v>710</v>
      </c>
      <c r="J7" s="415" t="s">
        <v>711</v>
      </c>
      <c r="K7" s="822" t="s">
        <v>716</v>
      </c>
      <c r="L7" s="822" t="s">
        <v>716</v>
      </c>
      <c r="M7" s="415" t="s">
        <v>57</v>
      </c>
      <c r="N7" s="415" t="s">
        <v>712</v>
      </c>
      <c r="O7" s="415" t="s">
        <v>1730</v>
      </c>
      <c r="P7" s="415" t="s">
        <v>712</v>
      </c>
      <c r="Q7" s="415" t="s">
        <v>713</v>
      </c>
      <c r="R7" s="415"/>
    </row>
    <row r="8" spans="1:20">
      <c r="D8" s="313"/>
      <c r="E8" s="313"/>
      <c r="F8" s="822" t="s">
        <v>794</v>
      </c>
      <c r="G8" s="822" t="s">
        <v>794</v>
      </c>
      <c r="H8" s="822" t="s">
        <v>714</v>
      </c>
      <c r="I8" s="822" t="s">
        <v>715</v>
      </c>
      <c r="J8" s="822" t="s">
        <v>716</v>
      </c>
      <c r="K8" s="822" t="s">
        <v>1769</v>
      </c>
      <c r="L8" s="822" t="s">
        <v>1770</v>
      </c>
      <c r="M8" s="822" t="s">
        <v>717</v>
      </c>
      <c r="N8" s="822" t="s">
        <v>718</v>
      </c>
      <c r="O8" s="822" t="s">
        <v>718</v>
      </c>
      <c r="P8" s="822" t="s">
        <v>718</v>
      </c>
      <c r="Q8" s="822" t="s">
        <v>719</v>
      </c>
      <c r="R8" s="822" t="s">
        <v>720</v>
      </c>
    </row>
    <row r="9" spans="1:20">
      <c r="A9" s="176" t="s">
        <v>86</v>
      </c>
      <c r="B9" s="176"/>
      <c r="C9" s="176"/>
      <c r="D9" s="690" t="s">
        <v>1000</v>
      </c>
      <c r="E9" s="690"/>
      <c r="F9" s="822" t="s">
        <v>721</v>
      </c>
      <c r="G9" s="822" t="s">
        <v>722</v>
      </c>
      <c r="H9" s="822" t="s">
        <v>723</v>
      </c>
      <c r="I9" s="822" t="s">
        <v>724</v>
      </c>
      <c r="J9" s="822" t="s">
        <v>1711</v>
      </c>
      <c r="K9" s="822" t="s">
        <v>1458</v>
      </c>
      <c r="L9" s="822" t="s">
        <v>1457</v>
      </c>
      <c r="M9" s="822" t="s">
        <v>725</v>
      </c>
      <c r="N9" s="822" t="s">
        <v>726</v>
      </c>
      <c r="O9" s="822" t="s">
        <v>1729</v>
      </c>
      <c r="P9" s="822" t="s">
        <v>727</v>
      </c>
      <c r="Q9" s="822" t="s">
        <v>728</v>
      </c>
      <c r="R9" s="822" t="s">
        <v>86</v>
      </c>
      <c r="T9" s="518"/>
    </row>
    <row r="10" spans="1:20">
      <c r="A10" s="1" t="s">
        <v>87</v>
      </c>
      <c r="B10" s="1" t="s">
        <v>729</v>
      </c>
      <c r="C10" s="1" t="s">
        <v>917</v>
      </c>
      <c r="D10" s="699" t="s">
        <v>1001</v>
      </c>
      <c r="E10" s="699" t="s">
        <v>1094</v>
      </c>
      <c r="F10" s="966"/>
      <c r="G10" s="966"/>
      <c r="H10" s="966"/>
      <c r="I10" s="966"/>
      <c r="J10" s="966"/>
      <c r="K10" s="966"/>
      <c r="L10" s="966"/>
      <c r="M10" s="966"/>
      <c r="N10" s="966"/>
      <c r="O10" s="966"/>
      <c r="P10" s="966"/>
      <c r="Q10" s="966"/>
      <c r="R10" s="966" t="s">
        <v>730</v>
      </c>
    </row>
    <row r="11" spans="1:20">
      <c r="D11" s="313"/>
      <c r="E11" s="420" t="s">
        <v>1645</v>
      </c>
      <c r="F11" s="420" t="s">
        <v>1646</v>
      </c>
      <c r="G11" s="420" t="s">
        <v>1647</v>
      </c>
      <c r="H11" s="420" t="s">
        <v>1648</v>
      </c>
      <c r="I11" s="420" t="s">
        <v>1649</v>
      </c>
      <c r="J11" s="420" t="s">
        <v>1650</v>
      </c>
      <c r="K11" s="420" t="s">
        <v>1651</v>
      </c>
      <c r="L11" s="420" t="s">
        <v>1652</v>
      </c>
      <c r="M11" s="420" t="s">
        <v>1731</v>
      </c>
      <c r="N11" s="420" t="s">
        <v>1732</v>
      </c>
      <c r="O11" s="420" t="s">
        <v>1733</v>
      </c>
      <c r="P11" s="420" t="s">
        <v>1653</v>
      </c>
      <c r="Q11" s="316" t="s">
        <v>1654</v>
      </c>
      <c r="R11" s="316" t="s">
        <v>1655</v>
      </c>
      <c r="S11" s="420"/>
    </row>
    <row r="13" spans="1:20">
      <c r="A13" s="74">
        <v>1</v>
      </c>
      <c r="B13" s="381" t="s">
        <v>513</v>
      </c>
      <c r="C13" s="381" t="s">
        <v>1866</v>
      </c>
      <c r="D13" s="381" t="s">
        <v>1867</v>
      </c>
      <c r="E13" s="381">
        <v>0</v>
      </c>
      <c r="F13" s="381">
        <v>1910235</v>
      </c>
      <c r="G13" s="381">
        <v>0</v>
      </c>
      <c r="H13" s="381">
        <v>20748</v>
      </c>
      <c r="I13" s="381">
        <v>90409</v>
      </c>
      <c r="J13" s="381">
        <v>13192</v>
      </c>
      <c r="K13" s="381">
        <v>0</v>
      </c>
      <c r="L13" s="381">
        <v>0</v>
      </c>
      <c r="M13" s="381">
        <v>0</v>
      </c>
      <c r="N13" s="381">
        <v>22186</v>
      </c>
      <c r="O13" s="381">
        <v>5683</v>
      </c>
      <c r="P13" s="381">
        <v>0</v>
      </c>
      <c r="Q13" s="381">
        <v>0</v>
      </c>
      <c r="R13" s="381">
        <v>2062453</v>
      </c>
    </row>
    <row r="14" spans="1:20">
      <c r="A14" s="74">
        <f t="shared" ref="A14:A60" si="0">A13+1</f>
        <v>2</v>
      </c>
      <c r="B14" s="381" t="s">
        <v>513</v>
      </c>
      <c r="C14" s="381" t="s">
        <v>1868</v>
      </c>
      <c r="D14" s="381" t="s">
        <v>1869</v>
      </c>
      <c r="E14" s="381">
        <v>0</v>
      </c>
      <c r="F14" s="381">
        <v>324797</v>
      </c>
      <c r="G14" s="381">
        <v>0</v>
      </c>
      <c r="H14" s="381">
        <v>4890</v>
      </c>
      <c r="I14" s="381">
        <v>22440</v>
      </c>
      <c r="J14" s="381">
        <v>8381</v>
      </c>
      <c r="K14" s="381">
        <v>0</v>
      </c>
      <c r="L14" s="381">
        <v>0</v>
      </c>
      <c r="M14" s="381">
        <v>0</v>
      </c>
      <c r="N14" s="381">
        <v>23010</v>
      </c>
      <c r="O14" s="381">
        <v>5849</v>
      </c>
      <c r="P14" s="381">
        <v>0</v>
      </c>
      <c r="Q14" s="381">
        <v>0</v>
      </c>
      <c r="R14" s="381">
        <v>389367</v>
      </c>
      <c r="T14" s="97"/>
    </row>
    <row r="15" spans="1:20">
      <c r="A15" s="74">
        <f t="shared" si="0"/>
        <v>3</v>
      </c>
      <c r="B15" s="381"/>
      <c r="C15" s="381"/>
      <c r="D15" s="381"/>
      <c r="E15" s="381">
        <v>0</v>
      </c>
      <c r="F15" s="381">
        <v>0</v>
      </c>
      <c r="G15" s="381">
        <v>0</v>
      </c>
      <c r="H15" s="381">
        <v>0</v>
      </c>
      <c r="I15" s="381">
        <v>0</v>
      </c>
      <c r="J15" s="381">
        <v>0</v>
      </c>
      <c r="K15" s="381">
        <v>0</v>
      </c>
      <c r="L15" s="381">
        <v>0</v>
      </c>
      <c r="M15" s="381">
        <v>0</v>
      </c>
      <c r="N15" s="381">
        <v>0</v>
      </c>
      <c r="O15" s="381">
        <v>0</v>
      </c>
      <c r="P15" s="381">
        <v>0</v>
      </c>
      <c r="Q15" s="381">
        <v>0</v>
      </c>
      <c r="R15" s="381">
        <v>0</v>
      </c>
      <c r="T15" s="97"/>
    </row>
    <row r="16" spans="1:20">
      <c r="A16" s="74">
        <f t="shared" si="0"/>
        <v>4</v>
      </c>
      <c r="B16" s="381" t="s">
        <v>874</v>
      </c>
      <c r="C16" s="381" t="s">
        <v>1870</v>
      </c>
      <c r="D16" s="381" t="s">
        <v>1871</v>
      </c>
      <c r="E16" s="381">
        <v>188000</v>
      </c>
      <c r="F16" s="381">
        <v>8141904</v>
      </c>
      <c r="G16" s="381">
        <v>0</v>
      </c>
      <c r="H16" s="381">
        <v>126336</v>
      </c>
      <c r="I16" s="381">
        <v>570768</v>
      </c>
      <c r="J16" s="381">
        <v>0</v>
      </c>
      <c r="K16" s="381">
        <v>0</v>
      </c>
      <c r="L16" s="381">
        <v>0</v>
      </c>
      <c r="M16" s="381">
        <v>0</v>
      </c>
      <c r="N16" s="381">
        <v>0</v>
      </c>
      <c r="O16" s="381">
        <v>0</v>
      </c>
      <c r="P16" s="381">
        <v>0</v>
      </c>
      <c r="Q16" s="381">
        <v>0</v>
      </c>
      <c r="R16" s="381">
        <v>8839008</v>
      </c>
    </row>
    <row r="17" spans="1:18">
      <c r="A17" s="74">
        <f t="shared" si="0"/>
        <v>5</v>
      </c>
      <c r="B17" s="381" t="s">
        <v>874</v>
      </c>
      <c r="C17" s="381" t="s">
        <v>1872</v>
      </c>
      <c r="D17" s="381" t="s">
        <v>1871</v>
      </c>
      <c r="E17" s="381">
        <v>9166.6666666666661</v>
      </c>
      <c r="F17" s="381">
        <v>396990</v>
      </c>
      <c r="G17" s="381">
        <v>0</v>
      </c>
      <c r="H17" s="381">
        <v>6160</v>
      </c>
      <c r="I17" s="381">
        <v>0</v>
      </c>
      <c r="J17" s="381">
        <v>0</v>
      </c>
      <c r="K17" s="381">
        <v>0</v>
      </c>
      <c r="L17" s="381">
        <v>0</v>
      </c>
      <c r="M17" s="381">
        <v>0</v>
      </c>
      <c r="N17" s="381">
        <v>0</v>
      </c>
      <c r="O17" s="381">
        <v>0</v>
      </c>
      <c r="P17" s="381">
        <v>0</v>
      </c>
      <c r="Q17" s="381">
        <v>0</v>
      </c>
      <c r="R17" s="381">
        <v>403150</v>
      </c>
    </row>
    <row r="18" spans="1:18">
      <c r="A18" s="74">
        <f t="shared" si="0"/>
        <v>6</v>
      </c>
      <c r="B18" s="381"/>
      <c r="C18" s="381"/>
      <c r="D18" s="381"/>
      <c r="E18" s="381">
        <v>0</v>
      </c>
      <c r="F18" s="381">
        <v>0</v>
      </c>
      <c r="G18" s="381">
        <v>0</v>
      </c>
      <c r="H18" s="381">
        <v>0</v>
      </c>
      <c r="I18" s="381">
        <v>0</v>
      </c>
      <c r="J18" s="381">
        <v>0</v>
      </c>
      <c r="K18" s="381">
        <v>0</v>
      </c>
      <c r="L18" s="381">
        <v>0</v>
      </c>
      <c r="M18" s="381">
        <v>0</v>
      </c>
      <c r="N18" s="381">
        <v>0</v>
      </c>
      <c r="O18" s="381">
        <v>0</v>
      </c>
      <c r="P18" s="381">
        <v>0</v>
      </c>
      <c r="Q18" s="381">
        <v>0</v>
      </c>
      <c r="R18" s="381">
        <v>0</v>
      </c>
    </row>
    <row r="19" spans="1:18">
      <c r="A19" s="74">
        <f t="shared" si="0"/>
        <v>7</v>
      </c>
      <c r="B19" s="381" t="s">
        <v>874</v>
      </c>
      <c r="C19" s="381" t="s">
        <v>1873</v>
      </c>
      <c r="D19" s="381" t="s">
        <v>1874</v>
      </c>
      <c r="E19" s="381">
        <v>29945</v>
      </c>
      <c r="F19" s="381">
        <v>0</v>
      </c>
      <c r="G19" s="381">
        <v>1296862</v>
      </c>
      <c r="H19" s="381">
        <v>0</v>
      </c>
      <c r="I19" s="381">
        <v>0</v>
      </c>
      <c r="J19" s="381">
        <v>0</v>
      </c>
      <c r="K19" s="381">
        <v>0</v>
      </c>
      <c r="L19" s="381">
        <v>0</v>
      </c>
      <c r="M19" s="381">
        <v>0</v>
      </c>
      <c r="N19" s="381">
        <v>0</v>
      </c>
      <c r="O19" s="381">
        <v>0</v>
      </c>
      <c r="P19" s="381">
        <v>0</v>
      </c>
      <c r="Q19" s="381">
        <v>0</v>
      </c>
      <c r="R19" s="381">
        <v>1296862</v>
      </c>
    </row>
    <row r="20" spans="1:18">
      <c r="A20" s="74">
        <f t="shared" si="0"/>
        <v>8</v>
      </c>
      <c r="B20" s="381" t="s">
        <v>731</v>
      </c>
      <c r="C20" s="381" t="s">
        <v>1873</v>
      </c>
      <c r="D20" s="381" t="s">
        <v>1875</v>
      </c>
      <c r="E20" s="381">
        <v>0</v>
      </c>
      <c r="F20" s="381">
        <v>0</v>
      </c>
      <c r="G20" s="381">
        <v>0</v>
      </c>
      <c r="H20" s="381">
        <v>20123</v>
      </c>
      <c r="I20" s="381">
        <v>90913</v>
      </c>
      <c r="J20" s="381">
        <v>34315</v>
      </c>
      <c r="K20" s="381">
        <v>0</v>
      </c>
      <c r="L20" s="381">
        <v>1192</v>
      </c>
      <c r="M20" s="381">
        <v>0</v>
      </c>
      <c r="N20" s="381">
        <v>0</v>
      </c>
      <c r="O20" s="381">
        <v>0</v>
      </c>
      <c r="P20" s="381">
        <v>0</v>
      </c>
      <c r="Q20" s="381">
        <v>0</v>
      </c>
      <c r="R20" s="381">
        <v>146543</v>
      </c>
    </row>
    <row r="21" spans="1:18">
      <c r="A21" s="74">
        <f t="shared" si="0"/>
        <v>9</v>
      </c>
      <c r="B21" s="381" t="s">
        <v>874</v>
      </c>
      <c r="C21" s="381" t="s">
        <v>1876</v>
      </c>
      <c r="D21" s="381" t="s">
        <v>1874</v>
      </c>
      <c r="E21" s="381">
        <v>230627</v>
      </c>
      <c r="F21" s="381">
        <v>0</v>
      </c>
      <c r="G21" s="381">
        <v>9987996</v>
      </c>
      <c r="H21" s="381">
        <v>0</v>
      </c>
      <c r="I21" s="381">
        <v>0</v>
      </c>
      <c r="J21" s="381">
        <v>0</v>
      </c>
      <c r="K21" s="381">
        <v>0</v>
      </c>
      <c r="L21" s="381">
        <v>0</v>
      </c>
      <c r="M21" s="381">
        <v>0</v>
      </c>
      <c r="N21" s="381">
        <v>0</v>
      </c>
      <c r="O21" s="381">
        <v>0</v>
      </c>
      <c r="P21" s="381">
        <v>0</v>
      </c>
      <c r="Q21" s="381">
        <v>0</v>
      </c>
      <c r="R21" s="381">
        <v>9987996</v>
      </c>
    </row>
    <row r="22" spans="1:18">
      <c r="A22" s="74">
        <f t="shared" si="0"/>
        <v>10</v>
      </c>
      <c r="B22" s="381" t="s">
        <v>731</v>
      </c>
      <c r="C22" s="381" t="s">
        <v>1876</v>
      </c>
      <c r="D22" s="381" t="s">
        <v>1875</v>
      </c>
      <c r="E22" s="381">
        <v>0</v>
      </c>
      <c r="F22" s="381">
        <v>0</v>
      </c>
      <c r="G22" s="381">
        <v>0</v>
      </c>
      <c r="H22" s="381">
        <v>154981</v>
      </c>
      <c r="I22" s="381">
        <v>0</v>
      </c>
      <c r="J22" s="381">
        <v>264286</v>
      </c>
      <c r="K22" s="381">
        <v>215241</v>
      </c>
      <c r="L22" s="381">
        <v>83967</v>
      </c>
      <c r="M22" s="381">
        <v>0</v>
      </c>
      <c r="N22" s="381">
        <v>0</v>
      </c>
      <c r="O22" s="381">
        <v>0</v>
      </c>
      <c r="P22" s="381">
        <v>853584</v>
      </c>
      <c r="Q22" s="381">
        <v>0</v>
      </c>
      <c r="R22" s="381">
        <v>1572059</v>
      </c>
    </row>
    <row r="23" spans="1:18">
      <c r="A23" s="74">
        <f t="shared" si="0"/>
        <v>11</v>
      </c>
      <c r="B23" s="381" t="s">
        <v>874</v>
      </c>
      <c r="C23" s="381" t="s">
        <v>1877</v>
      </c>
      <c r="D23" s="381" t="s">
        <v>1874</v>
      </c>
      <c r="E23" s="381">
        <v>406838</v>
      </c>
      <c r="F23" s="381">
        <v>0</v>
      </c>
      <c r="G23" s="381">
        <v>17619329</v>
      </c>
      <c r="H23" s="381">
        <v>0</v>
      </c>
      <c r="I23" s="381">
        <v>0</v>
      </c>
      <c r="J23" s="381">
        <v>0</v>
      </c>
      <c r="K23" s="381">
        <v>0</v>
      </c>
      <c r="L23" s="381">
        <v>0</v>
      </c>
      <c r="M23" s="381">
        <v>0</v>
      </c>
      <c r="N23" s="381">
        <v>0</v>
      </c>
      <c r="O23" s="381">
        <v>0</v>
      </c>
      <c r="P23" s="381">
        <v>0</v>
      </c>
      <c r="Q23" s="381">
        <v>0</v>
      </c>
      <c r="R23" s="381">
        <v>17619329</v>
      </c>
    </row>
    <row r="24" spans="1:18">
      <c r="A24" s="74">
        <f t="shared" si="0"/>
        <v>12</v>
      </c>
      <c r="B24" s="381" t="s">
        <v>731</v>
      </c>
      <c r="C24" s="381" t="s">
        <v>1877</v>
      </c>
      <c r="D24" s="381" t="s">
        <v>1875</v>
      </c>
      <c r="E24" s="381">
        <v>0</v>
      </c>
      <c r="F24" s="381">
        <v>0</v>
      </c>
      <c r="G24" s="381">
        <v>0</v>
      </c>
      <c r="H24" s="381">
        <v>273395</v>
      </c>
      <c r="I24" s="381">
        <v>1235159</v>
      </c>
      <c r="J24" s="381">
        <v>466214</v>
      </c>
      <c r="K24" s="381">
        <v>23812</v>
      </c>
      <c r="L24" s="381">
        <v>41546</v>
      </c>
      <c r="M24" s="381">
        <v>0</v>
      </c>
      <c r="N24" s="381">
        <v>1579027</v>
      </c>
      <c r="O24" s="381">
        <v>398986</v>
      </c>
      <c r="P24" s="381">
        <v>0</v>
      </c>
      <c r="Q24" s="381">
        <v>0</v>
      </c>
      <c r="R24" s="381">
        <v>4018139</v>
      </c>
    </row>
    <row r="25" spans="1:18">
      <c r="A25" s="74">
        <f t="shared" si="0"/>
        <v>13</v>
      </c>
      <c r="B25" s="381" t="s">
        <v>874</v>
      </c>
      <c r="C25" s="381" t="s">
        <v>1878</v>
      </c>
      <c r="D25" s="381" t="s">
        <v>1874</v>
      </c>
      <c r="E25" s="381">
        <v>117777</v>
      </c>
      <c r="F25" s="381">
        <v>0</v>
      </c>
      <c r="G25" s="381">
        <v>5428751</v>
      </c>
      <c r="H25" s="381">
        <v>0</v>
      </c>
      <c r="I25" s="381">
        <v>0</v>
      </c>
      <c r="J25" s="381">
        <v>0</v>
      </c>
      <c r="K25" s="381">
        <v>0</v>
      </c>
      <c r="L25" s="381">
        <v>0</v>
      </c>
      <c r="M25" s="381">
        <v>0</v>
      </c>
      <c r="N25" s="381">
        <v>0</v>
      </c>
      <c r="O25" s="381">
        <v>0</v>
      </c>
      <c r="P25" s="381">
        <v>0</v>
      </c>
      <c r="Q25" s="381">
        <v>0</v>
      </c>
      <c r="R25" s="381">
        <v>5428751</v>
      </c>
    </row>
    <row r="26" spans="1:18">
      <c r="A26" s="74">
        <f t="shared" si="0"/>
        <v>14</v>
      </c>
      <c r="B26" s="381" t="s">
        <v>731</v>
      </c>
      <c r="C26" s="381" t="s">
        <v>1878</v>
      </c>
      <c r="D26" s="381" t="s">
        <v>1875</v>
      </c>
      <c r="E26" s="381">
        <v>0</v>
      </c>
      <c r="F26" s="381">
        <v>0</v>
      </c>
      <c r="G26" s="381">
        <v>0</v>
      </c>
      <c r="H26" s="381">
        <v>79146</v>
      </c>
      <c r="I26" s="381">
        <v>357571</v>
      </c>
      <c r="J26" s="381">
        <v>134966</v>
      </c>
      <c r="K26" s="381">
        <v>0</v>
      </c>
      <c r="L26" s="381">
        <v>164</v>
      </c>
      <c r="M26" s="381">
        <v>0</v>
      </c>
      <c r="N26" s="381">
        <v>457118</v>
      </c>
      <c r="O26" s="381">
        <v>115504</v>
      </c>
      <c r="P26" s="381">
        <v>0</v>
      </c>
      <c r="Q26" s="381">
        <v>0</v>
      </c>
      <c r="R26" s="381">
        <v>1144469</v>
      </c>
    </row>
    <row r="27" spans="1:18">
      <c r="A27" s="74">
        <f t="shared" si="0"/>
        <v>15</v>
      </c>
      <c r="B27" s="381" t="s">
        <v>874</v>
      </c>
      <c r="C27" s="381" t="s">
        <v>1879</v>
      </c>
      <c r="D27" s="381" t="s">
        <v>1874</v>
      </c>
      <c r="E27" s="381">
        <v>39480</v>
      </c>
      <c r="F27" s="381">
        <v>0</v>
      </c>
      <c r="G27" s="381">
        <v>1709784</v>
      </c>
      <c r="H27" s="381">
        <v>0</v>
      </c>
      <c r="I27" s="381">
        <v>0</v>
      </c>
      <c r="J27" s="381">
        <v>0</v>
      </c>
      <c r="K27" s="381">
        <v>0</v>
      </c>
      <c r="L27" s="381">
        <v>0</v>
      </c>
      <c r="M27" s="381">
        <v>0</v>
      </c>
      <c r="N27" s="381">
        <v>0</v>
      </c>
      <c r="O27" s="381">
        <v>0</v>
      </c>
      <c r="P27" s="381">
        <v>0</v>
      </c>
      <c r="Q27" s="381">
        <v>0</v>
      </c>
      <c r="R27" s="381">
        <v>1709784</v>
      </c>
    </row>
    <row r="28" spans="1:18">
      <c r="A28" s="74">
        <f t="shared" si="0"/>
        <v>16</v>
      </c>
      <c r="B28" s="381" t="s">
        <v>731</v>
      </c>
      <c r="C28" s="381" t="s">
        <v>1879</v>
      </c>
      <c r="D28" s="381" t="s">
        <v>1875</v>
      </c>
      <c r="E28" s="381">
        <v>0</v>
      </c>
      <c r="F28" s="381">
        <v>0</v>
      </c>
      <c r="G28" s="381">
        <v>0</v>
      </c>
      <c r="H28" s="381">
        <v>26530</v>
      </c>
      <c r="I28" s="381">
        <v>0</v>
      </c>
      <c r="J28" s="381">
        <v>45242</v>
      </c>
      <c r="K28" s="381">
        <v>0</v>
      </c>
      <c r="L28" s="381">
        <v>0</v>
      </c>
      <c r="M28" s="381">
        <v>0</v>
      </c>
      <c r="N28" s="381">
        <v>0</v>
      </c>
      <c r="O28" s="381">
        <v>0</v>
      </c>
      <c r="P28" s="381">
        <v>0</v>
      </c>
      <c r="Q28" s="381">
        <v>0</v>
      </c>
      <c r="R28" s="381">
        <v>71772</v>
      </c>
    </row>
    <row r="29" spans="1:18">
      <c r="A29" s="74">
        <f t="shared" si="0"/>
        <v>17</v>
      </c>
      <c r="B29" s="381"/>
      <c r="C29" s="381"/>
      <c r="D29" s="381"/>
      <c r="E29" s="381">
        <v>0</v>
      </c>
      <c r="F29" s="381">
        <v>0</v>
      </c>
      <c r="G29" s="381">
        <v>0</v>
      </c>
      <c r="H29" s="381">
        <v>0</v>
      </c>
      <c r="I29" s="381">
        <v>0</v>
      </c>
      <c r="J29" s="381">
        <v>0</v>
      </c>
      <c r="K29" s="381">
        <v>0</v>
      </c>
      <c r="L29" s="381">
        <v>0</v>
      </c>
      <c r="M29" s="381">
        <v>0</v>
      </c>
      <c r="N29" s="381">
        <v>0</v>
      </c>
      <c r="O29" s="381">
        <v>0</v>
      </c>
      <c r="P29" s="381">
        <v>0</v>
      </c>
      <c r="Q29" s="381">
        <v>0</v>
      </c>
      <c r="R29" s="381">
        <v>0</v>
      </c>
    </row>
    <row r="30" spans="1:18">
      <c r="A30" s="74">
        <f t="shared" si="0"/>
        <v>18</v>
      </c>
      <c r="B30" s="381" t="s">
        <v>874</v>
      </c>
      <c r="C30" s="381" t="s">
        <v>1880</v>
      </c>
      <c r="D30" s="381" t="s">
        <v>1871</v>
      </c>
      <c r="E30" s="381">
        <v>35510</v>
      </c>
      <c r="F30" s="381">
        <v>0</v>
      </c>
      <c r="G30" s="381">
        <v>1093471</v>
      </c>
      <c r="H30" s="381">
        <v>0</v>
      </c>
      <c r="I30" s="381">
        <v>0</v>
      </c>
      <c r="J30" s="381">
        <v>0</v>
      </c>
      <c r="K30" s="381">
        <v>0</v>
      </c>
      <c r="L30" s="381">
        <v>0</v>
      </c>
      <c r="M30" s="381">
        <v>0</v>
      </c>
      <c r="N30" s="381">
        <v>0</v>
      </c>
      <c r="O30" s="381">
        <v>0</v>
      </c>
      <c r="P30" s="381">
        <v>0</v>
      </c>
      <c r="Q30" s="381">
        <v>0</v>
      </c>
      <c r="R30" s="381">
        <v>1093471</v>
      </c>
    </row>
    <row r="31" spans="1:18">
      <c r="A31" s="74">
        <f t="shared" si="0"/>
        <v>19</v>
      </c>
      <c r="B31" s="381" t="s">
        <v>513</v>
      </c>
      <c r="C31" s="381" t="s">
        <v>1881</v>
      </c>
      <c r="D31" s="381" t="s">
        <v>1875</v>
      </c>
      <c r="E31" s="381">
        <v>0</v>
      </c>
      <c r="F31" s="381">
        <v>0</v>
      </c>
      <c r="G31" s="381">
        <v>224400</v>
      </c>
      <c r="H31" s="381">
        <v>0</v>
      </c>
      <c r="I31" s="381">
        <v>0</v>
      </c>
      <c r="J31" s="381">
        <v>0</v>
      </c>
      <c r="K31" s="381">
        <v>0</v>
      </c>
      <c r="L31" s="381">
        <v>0</v>
      </c>
      <c r="M31" s="381">
        <v>0</v>
      </c>
      <c r="N31" s="381">
        <v>0</v>
      </c>
      <c r="O31" s="381">
        <v>0</v>
      </c>
      <c r="P31" s="381">
        <v>0</v>
      </c>
      <c r="Q31" s="381">
        <v>0</v>
      </c>
      <c r="R31" s="381">
        <v>224400</v>
      </c>
    </row>
    <row r="32" spans="1:18">
      <c r="A32" s="74">
        <f t="shared" si="0"/>
        <v>20</v>
      </c>
      <c r="B32" s="381"/>
      <c r="C32" s="381"/>
      <c r="D32" s="381"/>
      <c r="E32" s="381">
        <v>0</v>
      </c>
      <c r="F32" s="381">
        <v>0</v>
      </c>
      <c r="G32" s="381">
        <v>0</v>
      </c>
      <c r="H32" s="381">
        <v>0</v>
      </c>
      <c r="I32" s="381">
        <v>0</v>
      </c>
      <c r="J32" s="381">
        <v>0</v>
      </c>
      <c r="K32" s="381">
        <v>0</v>
      </c>
      <c r="L32" s="381">
        <v>0</v>
      </c>
      <c r="M32" s="381">
        <v>0</v>
      </c>
      <c r="N32" s="381">
        <v>0</v>
      </c>
      <c r="O32" s="381">
        <v>0</v>
      </c>
      <c r="P32" s="381">
        <v>0</v>
      </c>
      <c r="Q32" s="381">
        <v>0</v>
      </c>
      <c r="R32" s="381">
        <v>0</v>
      </c>
    </row>
    <row r="33" spans="1:20">
      <c r="A33" s="74">
        <f t="shared" si="0"/>
        <v>21</v>
      </c>
      <c r="B33" s="381" t="s">
        <v>513</v>
      </c>
      <c r="C33" s="381" t="s">
        <v>1882</v>
      </c>
      <c r="D33" s="381" t="s">
        <v>1875</v>
      </c>
      <c r="E33" s="381">
        <v>0</v>
      </c>
      <c r="F33" s="381">
        <v>0</v>
      </c>
      <c r="G33" s="381">
        <v>0</v>
      </c>
      <c r="H33" s="381">
        <v>352524</v>
      </c>
      <c r="I33" s="381">
        <v>0</v>
      </c>
      <c r="J33" s="381">
        <v>601151</v>
      </c>
      <c r="K33" s="381">
        <v>201419</v>
      </c>
      <c r="L33" s="381">
        <v>179741</v>
      </c>
      <c r="M33" s="381">
        <v>0</v>
      </c>
      <c r="N33" s="381">
        <v>455836</v>
      </c>
      <c r="O33" s="381">
        <v>286942</v>
      </c>
      <c r="P33" s="381">
        <v>795358</v>
      </c>
      <c r="Q33" s="381">
        <v>0</v>
      </c>
      <c r="R33" s="381">
        <v>2872971</v>
      </c>
    </row>
    <row r="34" spans="1:20">
      <c r="A34" s="74">
        <f t="shared" si="0"/>
        <v>22</v>
      </c>
      <c r="B34" s="381" t="s">
        <v>513</v>
      </c>
      <c r="C34" s="381" t="s">
        <v>1883</v>
      </c>
      <c r="D34" s="381" t="s">
        <v>1875</v>
      </c>
      <c r="E34" s="381">
        <v>0</v>
      </c>
      <c r="F34" s="381">
        <v>0</v>
      </c>
      <c r="G34" s="381">
        <v>0</v>
      </c>
      <c r="H34" s="381">
        <v>132737</v>
      </c>
      <c r="I34" s="381">
        <v>0</v>
      </c>
      <c r="J34" s="381">
        <v>226353</v>
      </c>
      <c r="K34" s="381">
        <v>29300</v>
      </c>
      <c r="L34" s="381">
        <v>0</v>
      </c>
      <c r="M34" s="381">
        <v>0</v>
      </c>
      <c r="N34" s="381">
        <v>0</v>
      </c>
      <c r="O34" s="381">
        <v>0</v>
      </c>
      <c r="P34" s="381">
        <v>0</v>
      </c>
      <c r="Q34" s="381">
        <v>0</v>
      </c>
      <c r="R34" s="381">
        <v>388390</v>
      </c>
    </row>
    <row r="35" spans="1:20">
      <c r="A35" s="74">
        <f t="shared" si="0"/>
        <v>23</v>
      </c>
      <c r="B35" s="381" t="s">
        <v>513</v>
      </c>
      <c r="C35" s="381" t="s">
        <v>1884</v>
      </c>
      <c r="D35" s="381" t="s">
        <v>1875</v>
      </c>
      <c r="E35" s="381">
        <v>0</v>
      </c>
      <c r="F35" s="381">
        <v>0</v>
      </c>
      <c r="G35" s="381">
        <v>0</v>
      </c>
      <c r="H35" s="381">
        <v>28030</v>
      </c>
      <c r="I35" s="381">
        <v>0</v>
      </c>
      <c r="J35" s="381">
        <v>47799</v>
      </c>
      <c r="K35" s="381">
        <v>7020</v>
      </c>
      <c r="L35" s="381">
        <v>1509</v>
      </c>
      <c r="M35" s="381">
        <v>0</v>
      </c>
      <c r="N35" s="381">
        <v>161891</v>
      </c>
      <c r="O35" s="381">
        <v>0</v>
      </c>
      <c r="P35" s="381">
        <v>52200</v>
      </c>
      <c r="Q35" s="381">
        <v>0</v>
      </c>
      <c r="R35" s="381">
        <v>298449</v>
      </c>
    </row>
    <row r="36" spans="1:20">
      <c r="A36" s="74">
        <f t="shared" si="0"/>
        <v>24</v>
      </c>
      <c r="B36" s="381" t="s">
        <v>513</v>
      </c>
      <c r="C36" s="381" t="s">
        <v>1885</v>
      </c>
      <c r="D36" s="381" t="s">
        <v>1875</v>
      </c>
      <c r="E36" s="381">
        <v>0</v>
      </c>
      <c r="F36" s="381">
        <v>0</v>
      </c>
      <c r="G36" s="381">
        <v>0</v>
      </c>
      <c r="H36" s="381">
        <v>214805</v>
      </c>
      <c r="I36" s="381">
        <v>0</v>
      </c>
      <c r="J36" s="381">
        <v>366303</v>
      </c>
      <c r="K36" s="381">
        <v>165645</v>
      </c>
      <c r="L36" s="381">
        <v>99382</v>
      </c>
      <c r="M36" s="381">
        <v>0</v>
      </c>
      <c r="N36" s="381">
        <v>0</v>
      </c>
      <c r="O36" s="381">
        <v>0</v>
      </c>
      <c r="P36" s="381">
        <v>904800</v>
      </c>
      <c r="Q36" s="381">
        <v>0</v>
      </c>
      <c r="R36" s="381">
        <v>1750935</v>
      </c>
    </row>
    <row r="37" spans="1:20">
      <c r="A37" s="74">
        <f t="shared" si="0"/>
        <v>25</v>
      </c>
      <c r="B37" s="381"/>
      <c r="C37" s="381"/>
      <c r="D37" s="381"/>
      <c r="E37" s="381">
        <v>0</v>
      </c>
      <c r="F37" s="381">
        <v>0</v>
      </c>
      <c r="G37" s="381">
        <v>0</v>
      </c>
      <c r="H37" s="381">
        <v>0</v>
      </c>
      <c r="I37" s="381">
        <v>0</v>
      </c>
      <c r="J37" s="381">
        <v>0</v>
      </c>
      <c r="K37" s="381">
        <v>0</v>
      </c>
      <c r="L37" s="381">
        <v>0</v>
      </c>
      <c r="M37" s="381">
        <v>0</v>
      </c>
      <c r="N37" s="381">
        <v>0</v>
      </c>
      <c r="O37" s="381">
        <v>0</v>
      </c>
      <c r="P37" s="381">
        <v>0</v>
      </c>
      <c r="Q37" s="381">
        <v>0</v>
      </c>
      <c r="R37" s="381">
        <v>0</v>
      </c>
    </row>
    <row r="38" spans="1:20">
      <c r="A38" s="74">
        <f t="shared" si="0"/>
        <v>26</v>
      </c>
      <c r="B38" s="381" t="s">
        <v>731</v>
      </c>
      <c r="C38" s="381"/>
      <c r="D38" s="381"/>
      <c r="E38" s="381">
        <v>0</v>
      </c>
      <c r="F38" s="381">
        <v>0</v>
      </c>
      <c r="G38" s="381">
        <v>0</v>
      </c>
      <c r="H38" s="381">
        <v>0</v>
      </c>
      <c r="I38" s="381">
        <v>0</v>
      </c>
      <c r="J38" s="381">
        <v>0</v>
      </c>
      <c r="K38" s="381">
        <v>0</v>
      </c>
      <c r="L38" s="381">
        <v>0</v>
      </c>
      <c r="M38" s="381">
        <v>0</v>
      </c>
      <c r="N38" s="381">
        <v>0</v>
      </c>
      <c r="O38" s="381">
        <v>0</v>
      </c>
      <c r="P38" s="381">
        <v>0</v>
      </c>
      <c r="Q38" s="381">
        <v>429940</v>
      </c>
      <c r="R38" s="381">
        <v>429940</v>
      </c>
    </row>
    <row r="39" spans="1:20">
      <c r="A39" s="74">
        <f t="shared" si="0"/>
        <v>27</v>
      </c>
      <c r="B39" s="381"/>
      <c r="C39" s="381"/>
      <c r="D39" s="700"/>
      <c r="E39" s="967"/>
      <c r="F39" s="499"/>
      <c r="G39" s="499"/>
      <c r="H39" s="499"/>
      <c r="I39" s="499"/>
      <c r="J39" s="499"/>
      <c r="K39" s="499"/>
      <c r="L39" s="499"/>
      <c r="M39" s="499"/>
      <c r="N39" s="499"/>
      <c r="O39" s="499"/>
      <c r="P39" s="499"/>
      <c r="Q39" s="499"/>
      <c r="R39" s="499"/>
    </row>
    <row r="40" spans="1:20">
      <c r="A40" s="74">
        <f t="shared" si="0"/>
        <v>28</v>
      </c>
      <c r="B40" s="381"/>
      <c r="C40" s="381"/>
      <c r="D40" s="381"/>
      <c r="E40" s="967"/>
      <c r="F40" s="499"/>
      <c r="G40" s="499"/>
      <c r="H40" s="499"/>
      <c r="I40" s="499"/>
      <c r="J40" s="499"/>
      <c r="K40" s="499"/>
      <c r="L40" s="499"/>
      <c r="M40" s="499"/>
      <c r="N40" s="499"/>
      <c r="O40" s="499"/>
      <c r="P40" s="499"/>
      <c r="Q40" s="499"/>
      <c r="R40" s="499"/>
    </row>
    <row r="41" spans="1:20">
      <c r="A41" s="74">
        <f t="shared" si="0"/>
        <v>29</v>
      </c>
      <c r="B41" s="381"/>
      <c r="C41" s="381"/>
      <c r="D41" s="381"/>
      <c r="E41" s="967"/>
      <c r="F41" s="499"/>
      <c r="G41" s="499"/>
      <c r="H41" s="499"/>
      <c r="I41" s="499"/>
      <c r="J41" s="499"/>
      <c r="K41" s="499"/>
      <c r="L41" s="499"/>
      <c r="M41" s="499"/>
      <c r="N41" s="499"/>
      <c r="O41" s="499"/>
      <c r="P41" s="499"/>
      <c r="Q41" s="499"/>
      <c r="R41" s="499"/>
    </row>
    <row r="42" spans="1:20">
      <c r="A42" s="74">
        <f t="shared" si="0"/>
        <v>30</v>
      </c>
      <c r="B42" s="381"/>
      <c r="C42" s="381"/>
      <c r="D42" s="381"/>
      <c r="E42" s="381"/>
      <c r="F42" s="499"/>
      <c r="G42" s="499"/>
      <c r="H42" s="499"/>
      <c r="I42" s="499"/>
      <c r="J42" s="499"/>
      <c r="K42" s="499"/>
      <c r="L42" s="499"/>
      <c r="M42" s="499"/>
      <c r="N42" s="499"/>
      <c r="O42" s="499"/>
      <c r="P42" s="499"/>
      <c r="Q42" s="499"/>
      <c r="R42" s="499"/>
      <c r="T42" s="97"/>
    </row>
    <row r="43" spans="1:20">
      <c r="A43" s="74">
        <f t="shared" si="0"/>
        <v>31</v>
      </c>
      <c r="B43" s="381"/>
      <c r="C43" s="381"/>
      <c r="D43" s="381"/>
      <c r="E43" s="247"/>
      <c r="F43" s="499"/>
      <c r="G43" s="499"/>
      <c r="H43" s="499"/>
      <c r="I43" s="499"/>
      <c r="J43" s="499"/>
      <c r="K43" s="499"/>
      <c r="L43" s="499"/>
      <c r="M43" s="499"/>
      <c r="N43" s="499"/>
      <c r="O43" s="499"/>
      <c r="P43" s="499"/>
      <c r="Q43" s="499"/>
      <c r="R43" s="499"/>
    </row>
    <row r="44" spans="1:20">
      <c r="A44" s="74">
        <f t="shared" si="0"/>
        <v>32</v>
      </c>
      <c r="B44" s="381"/>
      <c r="C44" s="381"/>
      <c r="D44" s="700"/>
      <c r="E44" s="247"/>
      <c r="F44" s="499"/>
      <c r="G44" s="499"/>
      <c r="H44" s="499"/>
      <c r="I44" s="499"/>
      <c r="J44" s="499"/>
      <c r="K44" s="499"/>
      <c r="L44" s="499"/>
      <c r="M44" s="499"/>
      <c r="N44" s="499"/>
      <c r="O44" s="499"/>
      <c r="P44" s="499"/>
      <c r="Q44" s="499"/>
      <c r="R44" s="499"/>
    </row>
    <row r="45" spans="1:20">
      <c r="A45" s="74">
        <f t="shared" si="0"/>
        <v>33</v>
      </c>
      <c r="B45" s="381"/>
      <c r="C45" s="381"/>
      <c r="D45" s="700"/>
      <c r="E45" s="247"/>
      <c r="F45" s="499"/>
      <c r="G45" s="499"/>
      <c r="H45" s="499"/>
      <c r="I45" s="499"/>
      <c r="J45" s="499"/>
      <c r="K45" s="499"/>
      <c r="L45" s="499"/>
      <c r="M45" s="499"/>
      <c r="N45" s="499"/>
      <c r="O45" s="499"/>
      <c r="P45" s="499"/>
      <c r="Q45" s="499"/>
      <c r="R45" s="499"/>
    </row>
    <row r="46" spans="1:20">
      <c r="A46" s="74">
        <f t="shared" si="0"/>
        <v>34</v>
      </c>
      <c r="B46" s="381"/>
      <c r="C46" s="381"/>
      <c r="D46" s="700"/>
      <c r="E46" s="247"/>
      <c r="F46" s="499"/>
      <c r="G46" s="499"/>
      <c r="H46" s="499"/>
      <c r="I46" s="499"/>
      <c r="J46" s="499"/>
      <c r="K46" s="499"/>
      <c r="L46" s="499"/>
      <c r="M46" s="499"/>
      <c r="N46" s="499"/>
      <c r="O46" s="499"/>
      <c r="P46" s="499"/>
      <c r="Q46" s="499"/>
      <c r="R46" s="499"/>
    </row>
    <row r="47" spans="1:20">
      <c r="A47" s="74">
        <f t="shared" si="0"/>
        <v>35</v>
      </c>
      <c r="B47" s="381"/>
      <c r="C47" s="381"/>
      <c r="D47" s="700"/>
      <c r="E47" s="247"/>
      <c r="F47" s="499"/>
      <c r="G47" s="499"/>
      <c r="H47" s="499"/>
      <c r="I47" s="499"/>
      <c r="J47" s="499"/>
      <c r="K47" s="499"/>
      <c r="L47" s="499"/>
      <c r="M47" s="499"/>
      <c r="N47" s="499"/>
      <c r="O47" s="499"/>
      <c r="P47" s="499"/>
      <c r="Q47" s="499"/>
      <c r="R47" s="499"/>
    </row>
    <row r="48" spans="1:20">
      <c r="A48" s="74">
        <f t="shared" si="0"/>
        <v>36</v>
      </c>
      <c r="B48" s="381"/>
      <c r="C48" s="381"/>
      <c r="D48" s="381"/>
      <c r="E48" s="247"/>
      <c r="F48" s="499"/>
      <c r="G48" s="499"/>
      <c r="H48" s="499"/>
      <c r="I48" s="499"/>
      <c r="J48" s="499"/>
      <c r="K48" s="499"/>
      <c r="L48" s="499"/>
      <c r="M48" s="499"/>
      <c r="N48" s="499"/>
      <c r="O48" s="499"/>
      <c r="P48" s="499"/>
      <c r="Q48" s="499"/>
      <c r="R48" s="499"/>
    </row>
    <row r="49" spans="1:21">
      <c r="A49" s="74">
        <f t="shared" si="0"/>
        <v>37</v>
      </c>
      <c r="B49" s="381"/>
      <c r="C49" s="381"/>
      <c r="D49" s="381"/>
      <c r="E49" s="247"/>
      <c r="F49" s="499"/>
      <c r="G49" s="499"/>
      <c r="H49" s="499"/>
      <c r="I49" s="499"/>
      <c r="J49" s="499"/>
      <c r="K49" s="499"/>
      <c r="L49" s="499"/>
      <c r="M49" s="499"/>
      <c r="N49" s="499"/>
      <c r="O49" s="499"/>
      <c r="P49" s="499"/>
      <c r="Q49" s="499"/>
      <c r="R49" s="499"/>
    </row>
    <row r="50" spans="1:21">
      <c r="A50" s="74">
        <f t="shared" si="0"/>
        <v>38</v>
      </c>
      <c r="B50" s="381"/>
      <c r="C50" s="381"/>
      <c r="D50" s="381"/>
      <c r="E50" s="381"/>
      <c r="F50" s="499"/>
      <c r="G50" s="499"/>
      <c r="H50" s="499"/>
      <c r="I50" s="499"/>
      <c r="J50" s="499"/>
      <c r="K50" s="499"/>
      <c r="L50" s="499"/>
      <c r="M50" s="499"/>
      <c r="N50" s="499"/>
      <c r="O50" s="499"/>
      <c r="P50" s="499"/>
      <c r="Q50" s="499"/>
      <c r="R50" s="499"/>
    </row>
    <row r="51" spans="1:21">
      <c r="A51" s="74">
        <f t="shared" si="0"/>
        <v>39</v>
      </c>
      <c r="B51" s="313"/>
      <c r="C51" s="313" t="s">
        <v>795</v>
      </c>
      <c r="D51" s="500"/>
      <c r="E51" s="500">
        <f t="shared" ref="E51:Q51" si="1">SUM(E13:E50)</f>
        <v>1057343.6666666665</v>
      </c>
      <c r="F51" s="500">
        <f t="shared" si="1"/>
        <v>10773926</v>
      </c>
      <c r="G51" s="500">
        <f t="shared" si="1"/>
        <v>37360593</v>
      </c>
      <c r="H51" s="500">
        <f t="shared" si="1"/>
        <v>1440405</v>
      </c>
      <c r="I51" s="500">
        <f t="shared" si="1"/>
        <v>2367260</v>
      </c>
      <c r="J51" s="500">
        <f t="shared" si="1"/>
        <v>2208202</v>
      </c>
      <c r="K51" s="500">
        <f t="shared" si="1"/>
        <v>642437</v>
      </c>
      <c r="L51" s="500">
        <f t="shared" si="1"/>
        <v>407501</v>
      </c>
      <c r="M51" s="500">
        <f t="shared" si="1"/>
        <v>0</v>
      </c>
      <c r="N51" s="500">
        <f t="shared" si="1"/>
        <v>2699068</v>
      </c>
      <c r="O51" s="500">
        <f t="shared" si="1"/>
        <v>812964</v>
      </c>
      <c r="P51" s="500">
        <f t="shared" si="1"/>
        <v>2605942</v>
      </c>
      <c r="Q51" s="500">
        <f t="shared" si="1"/>
        <v>429940</v>
      </c>
      <c r="R51" s="500">
        <f>SUM(F51:Q51)</f>
        <v>61748238</v>
      </c>
      <c r="S51" s="379"/>
    </row>
    <row r="52" spans="1:21">
      <c r="A52" s="74">
        <f t="shared" si="0"/>
        <v>40</v>
      </c>
      <c r="B52" s="313"/>
      <c r="C52" s="313"/>
      <c r="D52" s="313"/>
      <c r="E52" s="168"/>
      <c r="F52" s="500"/>
      <c r="G52" s="500"/>
      <c r="H52" s="500"/>
      <c r="I52" s="500"/>
      <c r="J52" s="500"/>
      <c r="K52" s="500"/>
      <c r="L52" s="500"/>
      <c r="M52" s="500"/>
      <c r="N52" s="500"/>
      <c r="O52" s="500"/>
      <c r="P52" s="500"/>
      <c r="Q52" s="500"/>
      <c r="R52" s="500"/>
      <c r="S52" s="379"/>
    </row>
    <row r="53" spans="1:21" ht="13.5" thickBot="1">
      <c r="A53" s="74">
        <f t="shared" si="0"/>
        <v>41</v>
      </c>
      <c r="B53" s="380" t="s">
        <v>757</v>
      </c>
      <c r="C53" s="313"/>
      <c r="D53" s="313"/>
      <c r="E53" s="635"/>
      <c r="F53" s="500"/>
      <c r="G53" s="500"/>
      <c r="H53" s="500"/>
      <c r="I53" s="500"/>
      <c r="J53" s="500"/>
      <c r="K53" s="500"/>
      <c r="L53" s="500"/>
      <c r="M53" s="500"/>
      <c r="N53" s="500"/>
      <c r="O53" s="500"/>
      <c r="P53" s="500"/>
      <c r="Q53" s="500"/>
      <c r="R53" s="500"/>
    </row>
    <row r="54" spans="1:21" s="98" customFormat="1" ht="15" customHeight="1" thickBot="1">
      <c r="A54" s="74">
        <f t="shared" si="0"/>
        <v>42</v>
      </c>
      <c r="B54" s="313" t="s">
        <v>513</v>
      </c>
      <c r="C54" s="313"/>
      <c r="D54" s="313"/>
      <c r="E54" s="313"/>
      <c r="F54" s="501">
        <f t="shared" ref="F54:Q54" si="2">SUMIF($B$13:$B$50,$B$54,F13:F50)</f>
        <v>2235032</v>
      </c>
      <c r="G54" s="501">
        <f t="shared" si="2"/>
        <v>224400</v>
      </c>
      <c r="H54" s="501">
        <f t="shared" si="2"/>
        <v>753734</v>
      </c>
      <c r="I54" s="500">
        <f t="shared" si="2"/>
        <v>112849</v>
      </c>
      <c r="J54" s="500">
        <f t="shared" si="2"/>
        <v>1263179</v>
      </c>
      <c r="K54" s="500">
        <f>SUMIF($B$13:$B$50,$B$54,K13:K50)</f>
        <v>403384</v>
      </c>
      <c r="L54" s="500">
        <f>SUMIF($B$13:$B$50,$B$54,L13:L50)</f>
        <v>280632</v>
      </c>
      <c r="M54" s="500">
        <f t="shared" si="2"/>
        <v>0</v>
      </c>
      <c r="N54" s="500">
        <f t="shared" si="2"/>
        <v>662923</v>
      </c>
      <c r="O54" s="500"/>
      <c r="P54" s="500">
        <f t="shared" si="2"/>
        <v>1752358</v>
      </c>
      <c r="Q54" s="500">
        <f t="shared" si="2"/>
        <v>0</v>
      </c>
      <c r="R54" s="502">
        <f>SUM(F54:Q54)</f>
        <v>7688491</v>
      </c>
    </row>
    <row r="55" spans="1:21">
      <c r="A55" s="74">
        <f t="shared" si="0"/>
        <v>43</v>
      </c>
      <c r="B55" s="313" t="s">
        <v>874</v>
      </c>
      <c r="C55" s="313"/>
      <c r="D55" s="313"/>
      <c r="E55" s="313"/>
      <c r="F55" s="500">
        <f t="shared" ref="F55:Q55" si="3">SUMIF($B$13:$B$50,$B$55,F13:F50)</f>
        <v>8538894</v>
      </c>
      <c r="G55" s="500">
        <f t="shared" si="3"/>
        <v>37136193</v>
      </c>
      <c r="H55" s="500">
        <f t="shared" si="3"/>
        <v>132496</v>
      </c>
      <c r="I55" s="500">
        <f t="shared" si="3"/>
        <v>570768</v>
      </c>
      <c r="J55" s="500">
        <f t="shared" si="3"/>
        <v>0</v>
      </c>
      <c r="K55" s="500">
        <f>SUMIF($B$13:$B$50,$B$55,K13:K50)</f>
        <v>0</v>
      </c>
      <c r="L55" s="500">
        <f>SUMIF($B$13:$B$50,$B$55,L13:L50)</f>
        <v>0</v>
      </c>
      <c r="M55" s="500">
        <f>SUMIF($B$13:$B$50,$B$55,M13:M50)</f>
        <v>0</v>
      </c>
      <c r="N55" s="500">
        <f>SUMIF($B$13:$B$50,$B$55,N13:N50)</f>
        <v>0</v>
      </c>
      <c r="O55" s="500"/>
      <c r="P55" s="500">
        <f>SUMIF($B$13:$B$50,$B$55,P13:P50)</f>
        <v>0</v>
      </c>
      <c r="Q55" s="500">
        <f t="shared" si="3"/>
        <v>0</v>
      </c>
      <c r="R55" s="502">
        <f>SUM(F55:Q55)</f>
        <v>46378351</v>
      </c>
    </row>
    <row r="56" spans="1:21">
      <c r="A56" s="74">
        <f t="shared" si="0"/>
        <v>44</v>
      </c>
      <c r="B56" s="313" t="s">
        <v>731</v>
      </c>
      <c r="C56" s="313"/>
      <c r="D56" s="313"/>
      <c r="E56" s="313"/>
      <c r="F56" s="500">
        <f t="shared" ref="F56:Q56" si="4">SUMIF($B$13:$B$50,$B$56,F13:F50)</f>
        <v>0</v>
      </c>
      <c r="G56" s="500">
        <f t="shared" si="4"/>
        <v>0</v>
      </c>
      <c r="H56" s="500">
        <f t="shared" si="4"/>
        <v>554175</v>
      </c>
      <c r="I56" s="500">
        <f t="shared" si="4"/>
        <v>1683643</v>
      </c>
      <c r="J56" s="500">
        <f t="shared" si="4"/>
        <v>945023</v>
      </c>
      <c r="K56" s="500">
        <f>SUMIF($B$13:$B$50,$B$56,K13:K50)</f>
        <v>239053</v>
      </c>
      <c r="L56" s="500">
        <f>SUMIF($B$13:$B$50,$B$56,L13:L50)</f>
        <v>126869</v>
      </c>
      <c r="M56" s="500">
        <f>SUMIF($B$13:$B$50,$B$56,M13:M50)</f>
        <v>0</v>
      </c>
      <c r="N56" s="500">
        <f>SUMIF($B$13:$B$50,$B$56,N13:N50)</f>
        <v>2036145</v>
      </c>
      <c r="O56" s="500"/>
      <c r="P56" s="500">
        <f>SUMIF($B$13:$B$50,$B$56,P13:P50)</f>
        <v>853584</v>
      </c>
      <c r="Q56" s="500">
        <f t="shared" si="4"/>
        <v>429940</v>
      </c>
      <c r="R56" s="502">
        <f>SUM(F56:Q56)</f>
        <v>6868432</v>
      </c>
    </row>
    <row r="57" spans="1:21">
      <c r="A57" s="74">
        <f t="shared" si="0"/>
        <v>45</v>
      </c>
      <c r="B57" s="313" t="s">
        <v>84</v>
      </c>
      <c r="C57" s="313"/>
      <c r="D57" s="313"/>
      <c r="E57" s="313"/>
      <c r="F57" s="503">
        <f t="shared" ref="F57:Q57" si="5">SUMIF($B$13:$B$50,$B$57,F13:F50)</f>
        <v>0</v>
      </c>
      <c r="G57" s="503">
        <f t="shared" si="5"/>
        <v>0</v>
      </c>
      <c r="H57" s="503">
        <f t="shared" si="5"/>
        <v>0</v>
      </c>
      <c r="I57" s="503">
        <f t="shared" si="5"/>
        <v>0</v>
      </c>
      <c r="J57" s="503">
        <f t="shared" si="5"/>
        <v>0</v>
      </c>
      <c r="K57" s="503">
        <f>SUMIF($B$13:$B$50,$B$57,K13:K50)</f>
        <v>0</v>
      </c>
      <c r="L57" s="503">
        <f>SUMIF($B$13:$B$50,$B$57,L13:L50)</f>
        <v>0</v>
      </c>
      <c r="M57" s="503">
        <f>SUMIF($B$13:$B$50,$B$57,M13:M50)</f>
        <v>0</v>
      </c>
      <c r="N57" s="503">
        <f>SUMIF($B$13:$B$50,$B$57,N13:N50)</f>
        <v>0</v>
      </c>
      <c r="O57" s="503"/>
      <c r="P57" s="503">
        <f>SUMIF($B$13:$B$50,$B$57,P13:P50)</f>
        <v>0</v>
      </c>
      <c r="Q57" s="503">
        <f t="shared" si="5"/>
        <v>0</v>
      </c>
      <c r="R57" s="503">
        <f>SUM(F57:Q57)</f>
        <v>0</v>
      </c>
    </row>
    <row r="58" spans="1:21">
      <c r="A58" s="74">
        <f t="shared" si="0"/>
        <v>46</v>
      </c>
      <c r="B58" s="313" t="s">
        <v>795</v>
      </c>
      <c r="C58" s="313"/>
      <c r="D58" s="313"/>
      <c r="E58" s="313"/>
      <c r="F58" s="502">
        <f t="shared" ref="F58:Q58" si="6">SUM(F54:F57)</f>
        <v>10773926</v>
      </c>
      <c r="G58" s="500">
        <f t="shared" si="6"/>
        <v>37360593</v>
      </c>
      <c r="H58" s="500">
        <f t="shared" si="6"/>
        <v>1440405</v>
      </c>
      <c r="I58" s="500">
        <f t="shared" si="6"/>
        <v>2367260</v>
      </c>
      <c r="J58" s="500">
        <f t="shared" si="6"/>
        <v>2208202</v>
      </c>
      <c r="K58" s="500">
        <f>SUM(K54:K57)</f>
        <v>642437</v>
      </c>
      <c r="L58" s="500">
        <f>SUM(L54:L57)</f>
        <v>407501</v>
      </c>
      <c r="M58" s="500">
        <f>SUM(M54:M57)</f>
        <v>0</v>
      </c>
      <c r="N58" s="500">
        <f>SUM(N54:N57)</f>
        <v>2699068</v>
      </c>
      <c r="O58" s="500"/>
      <c r="P58" s="500">
        <f>SUM(P54:P57)</f>
        <v>2605942</v>
      </c>
      <c r="Q58" s="500">
        <f t="shared" si="6"/>
        <v>429940</v>
      </c>
      <c r="R58" s="500">
        <f>SUM(R54:R57)</f>
        <v>60935274</v>
      </c>
    </row>
    <row r="59" spans="1:21">
      <c r="A59" s="74">
        <f t="shared" si="0"/>
        <v>47</v>
      </c>
      <c r="F59" s="504"/>
      <c r="G59" s="504"/>
      <c r="H59" s="504"/>
      <c r="I59" s="504"/>
      <c r="J59" s="504"/>
      <c r="K59" s="504"/>
      <c r="L59" s="504"/>
      <c r="M59" s="504"/>
      <c r="N59" s="504"/>
      <c r="O59" s="504"/>
      <c r="P59" s="504"/>
      <c r="Q59" s="504"/>
      <c r="R59" s="504"/>
      <c r="S59" s="504"/>
      <c r="T59" s="504"/>
      <c r="U59" s="504"/>
    </row>
    <row r="60" spans="1:21">
      <c r="A60" s="74">
        <f t="shared" si="0"/>
        <v>48</v>
      </c>
      <c r="B60" s="72" t="s">
        <v>741</v>
      </c>
    </row>
    <row r="61" spans="1:21">
      <c r="A61" s="74">
        <f>A60+1</f>
        <v>49</v>
      </c>
      <c r="B61" s="72" t="s">
        <v>731</v>
      </c>
      <c r="C61" s="72" t="s">
        <v>1734</v>
      </c>
    </row>
    <row r="62" spans="1:21">
      <c r="A62" s="74">
        <f>A61+1</f>
        <v>50</v>
      </c>
      <c r="B62" s="72" t="s">
        <v>874</v>
      </c>
      <c r="C62" s="72" t="s">
        <v>742</v>
      </c>
    </row>
    <row r="63" spans="1:21">
      <c r="A63" s="74">
        <f>A62+1</f>
        <v>51</v>
      </c>
      <c r="B63" s="72" t="s">
        <v>513</v>
      </c>
      <c r="C63" s="72" t="s">
        <v>408</v>
      </c>
    </row>
    <row r="64" spans="1:21">
      <c r="A64" s="74"/>
    </row>
    <row r="65" spans="1:20">
      <c r="F65" s="176"/>
      <c r="G65" s="176"/>
      <c r="H65" s="176" t="s">
        <v>700</v>
      </c>
      <c r="I65" s="176" t="s">
        <v>701</v>
      </c>
      <c r="K65" s="415" t="s">
        <v>705</v>
      </c>
      <c r="L65" s="415" t="s">
        <v>705</v>
      </c>
      <c r="M65" s="176"/>
      <c r="N65" s="176" t="s">
        <v>702</v>
      </c>
      <c r="O65" s="176"/>
      <c r="P65" s="176"/>
      <c r="Q65" s="176"/>
      <c r="R65" s="176"/>
    </row>
    <row r="66" spans="1:20">
      <c r="A66" s="98" t="s">
        <v>1344</v>
      </c>
      <c r="F66" s="176"/>
      <c r="G66" s="176"/>
      <c r="H66" s="176" t="s">
        <v>703</v>
      </c>
      <c r="I66" s="176" t="s">
        <v>704</v>
      </c>
      <c r="J66" s="176" t="s">
        <v>705</v>
      </c>
      <c r="K66" s="415" t="s">
        <v>711</v>
      </c>
      <c r="L66" s="415" t="s">
        <v>711</v>
      </c>
      <c r="M66" s="176" t="s">
        <v>702</v>
      </c>
      <c r="N66" s="176" t="s">
        <v>706</v>
      </c>
      <c r="O66" s="176"/>
      <c r="P66" s="176" t="s">
        <v>707</v>
      </c>
      <c r="Q66" s="176" t="s">
        <v>897</v>
      </c>
      <c r="R66" s="176"/>
    </row>
    <row r="67" spans="1:20">
      <c r="F67" s="176" t="s">
        <v>1713</v>
      </c>
      <c r="G67" s="176" t="s">
        <v>708</v>
      </c>
      <c r="H67" s="176" t="s">
        <v>709</v>
      </c>
      <c r="I67" s="176" t="s">
        <v>710</v>
      </c>
      <c r="J67" s="176" t="s">
        <v>711</v>
      </c>
      <c r="K67" s="822" t="s">
        <v>716</v>
      </c>
      <c r="L67" s="822" t="s">
        <v>716</v>
      </c>
      <c r="M67" s="690" t="s">
        <v>57</v>
      </c>
      <c r="N67" s="690" t="s">
        <v>712</v>
      </c>
      <c r="O67" s="415" t="s">
        <v>1730</v>
      </c>
      <c r="P67" s="415" t="s">
        <v>712</v>
      </c>
      <c r="Q67" s="176" t="s">
        <v>713</v>
      </c>
      <c r="R67" s="176"/>
      <c r="T67" s="518"/>
    </row>
    <row r="68" spans="1:20">
      <c r="D68" s="313"/>
      <c r="E68" s="313"/>
      <c r="F68" s="690" t="s">
        <v>794</v>
      </c>
      <c r="G68" s="690" t="s">
        <v>794</v>
      </c>
      <c r="H68" s="690" t="s">
        <v>714</v>
      </c>
      <c r="I68" s="690" t="s">
        <v>715</v>
      </c>
      <c r="J68" s="690" t="s">
        <v>716</v>
      </c>
      <c r="K68" s="822" t="s">
        <v>1769</v>
      </c>
      <c r="L68" s="822" t="s">
        <v>1770</v>
      </c>
      <c r="M68" s="822" t="s">
        <v>717</v>
      </c>
      <c r="N68" s="822" t="s">
        <v>718</v>
      </c>
      <c r="O68" s="822" t="s">
        <v>718</v>
      </c>
      <c r="P68" s="822" t="s">
        <v>718</v>
      </c>
      <c r="Q68" s="690" t="s">
        <v>719</v>
      </c>
      <c r="R68" s="690" t="s">
        <v>720</v>
      </c>
    </row>
    <row r="69" spans="1:20">
      <c r="A69" s="176" t="s">
        <v>86</v>
      </c>
      <c r="B69" s="176"/>
      <c r="C69" s="176"/>
      <c r="D69" s="690" t="s">
        <v>1000</v>
      </c>
      <c r="E69" s="690"/>
      <c r="F69" s="690" t="s">
        <v>721</v>
      </c>
      <c r="G69" s="690" t="s">
        <v>722</v>
      </c>
      <c r="H69" s="690" t="s">
        <v>723</v>
      </c>
      <c r="I69" s="690" t="s">
        <v>724</v>
      </c>
      <c r="J69" s="822" t="s">
        <v>1711</v>
      </c>
      <c r="K69" s="822" t="s">
        <v>1458</v>
      </c>
      <c r="L69" s="822" t="s">
        <v>1457</v>
      </c>
      <c r="M69" s="822" t="s">
        <v>725</v>
      </c>
      <c r="N69" s="822" t="s">
        <v>726</v>
      </c>
      <c r="O69" s="822" t="s">
        <v>1729</v>
      </c>
      <c r="P69" s="822" t="s">
        <v>727</v>
      </c>
      <c r="Q69" s="690" t="s">
        <v>728</v>
      </c>
      <c r="R69" s="690" t="s">
        <v>86</v>
      </c>
    </row>
    <row r="70" spans="1:20">
      <c r="A70" s="1" t="s">
        <v>87</v>
      </c>
      <c r="B70" s="1" t="s">
        <v>729</v>
      </c>
      <c r="C70" s="1" t="s">
        <v>917</v>
      </c>
      <c r="D70" s="699" t="s">
        <v>1001</v>
      </c>
      <c r="E70" s="699" t="s">
        <v>1094</v>
      </c>
      <c r="F70" s="277"/>
      <c r="G70" s="277"/>
      <c r="H70" s="277"/>
      <c r="I70" s="277"/>
      <c r="J70" s="277"/>
      <c r="K70" s="966"/>
      <c r="L70" s="966"/>
      <c r="M70" s="277"/>
      <c r="N70" s="277"/>
      <c r="O70" s="966"/>
      <c r="P70" s="277"/>
      <c r="Q70" s="277"/>
      <c r="R70" s="277" t="s">
        <v>730</v>
      </c>
    </row>
    <row r="71" spans="1:20">
      <c r="D71" s="313"/>
      <c r="E71" s="420" t="s">
        <v>1645</v>
      </c>
      <c r="F71" s="420" t="s">
        <v>1646</v>
      </c>
      <c r="G71" s="420" t="s">
        <v>1647</v>
      </c>
      <c r="H71" s="420" t="s">
        <v>1648</v>
      </c>
      <c r="I71" s="420" t="s">
        <v>1649</v>
      </c>
      <c r="J71" s="420" t="s">
        <v>1650</v>
      </c>
      <c r="K71" s="420" t="s">
        <v>1651</v>
      </c>
      <c r="L71" s="420" t="s">
        <v>1652</v>
      </c>
      <c r="M71" s="420" t="s">
        <v>1731</v>
      </c>
      <c r="N71" s="420" t="s">
        <v>1732</v>
      </c>
      <c r="O71" s="420" t="s">
        <v>1733</v>
      </c>
      <c r="P71" s="420" t="s">
        <v>1653</v>
      </c>
      <c r="Q71" s="316" t="s">
        <v>1654</v>
      </c>
      <c r="R71" s="316" t="s">
        <v>1655</v>
      </c>
    </row>
    <row r="73" spans="1:20">
      <c r="A73" s="74">
        <v>1</v>
      </c>
      <c r="B73" s="381"/>
      <c r="C73" s="381"/>
      <c r="D73" s="381"/>
      <c r="E73" s="247"/>
      <c r="F73" s="247"/>
      <c r="G73" s="247"/>
      <c r="H73" s="247"/>
      <c r="I73" s="247"/>
      <c r="J73" s="247"/>
      <c r="K73" s="247"/>
      <c r="L73" s="247"/>
      <c r="M73" s="247"/>
      <c r="N73" s="247"/>
      <c r="O73" s="247"/>
      <c r="P73" s="247"/>
      <c r="Q73" s="247"/>
      <c r="R73" s="657"/>
    </row>
    <row r="74" spans="1:20">
      <c r="A74" s="74">
        <f t="shared" ref="A74:A127" si="7">A73+1</f>
        <v>2</v>
      </c>
      <c r="B74" s="381"/>
      <c r="C74" s="381"/>
      <c r="D74" s="381"/>
      <c r="E74" s="247"/>
      <c r="F74" s="247"/>
      <c r="G74" s="247"/>
      <c r="H74" s="247"/>
      <c r="I74" s="247"/>
      <c r="J74" s="247"/>
      <c r="K74" s="247"/>
      <c r="L74" s="247"/>
      <c r="M74" s="247"/>
      <c r="N74" s="247"/>
      <c r="O74" s="247"/>
      <c r="P74" s="247"/>
      <c r="Q74" s="247"/>
      <c r="R74" s="657"/>
    </row>
    <row r="75" spans="1:20">
      <c r="A75" s="74">
        <f t="shared" si="7"/>
        <v>3</v>
      </c>
      <c r="B75" s="381"/>
      <c r="C75" s="381"/>
      <c r="D75" s="381"/>
      <c r="E75" s="247"/>
      <c r="F75" s="247"/>
      <c r="G75" s="247"/>
      <c r="H75" s="247"/>
      <c r="I75" s="247"/>
      <c r="J75" s="247"/>
      <c r="K75" s="247"/>
      <c r="L75" s="247"/>
      <c r="M75" s="247"/>
      <c r="N75" s="247"/>
      <c r="O75" s="247"/>
      <c r="P75" s="247"/>
      <c r="Q75" s="247"/>
      <c r="R75" s="657"/>
    </row>
    <row r="76" spans="1:20">
      <c r="A76" s="74">
        <f t="shared" si="7"/>
        <v>4</v>
      </c>
      <c r="B76" s="381"/>
      <c r="C76" s="381"/>
      <c r="D76" s="381"/>
      <c r="E76" s="247"/>
      <c r="F76" s="247"/>
      <c r="G76" s="247"/>
      <c r="H76" s="247"/>
      <c r="I76" s="247"/>
      <c r="J76" s="247"/>
      <c r="K76" s="247"/>
      <c r="L76" s="247"/>
      <c r="M76" s="247"/>
      <c r="N76" s="247"/>
      <c r="O76" s="247"/>
      <c r="P76" s="247"/>
      <c r="Q76" s="247"/>
      <c r="R76" s="657"/>
    </row>
    <row r="77" spans="1:20">
      <c r="A77" s="74">
        <f t="shared" si="7"/>
        <v>5</v>
      </c>
      <c r="B77" s="381"/>
      <c r="C77" s="381"/>
      <c r="D77" s="381"/>
      <c r="E77" s="247"/>
      <c r="F77" s="247"/>
      <c r="G77" s="247"/>
      <c r="H77" s="247"/>
      <c r="I77" s="247"/>
      <c r="J77" s="247"/>
      <c r="K77" s="247"/>
      <c r="L77" s="247"/>
      <c r="M77" s="247"/>
      <c r="N77" s="247"/>
      <c r="O77" s="247"/>
      <c r="P77" s="247"/>
      <c r="Q77" s="247"/>
      <c r="R77" s="657"/>
    </row>
    <row r="78" spans="1:20">
      <c r="A78" s="74">
        <f t="shared" si="7"/>
        <v>6</v>
      </c>
      <c r="B78" s="381"/>
      <c r="C78" s="381"/>
      <c r="D78" s="381"/>
      <c r="E78" s="247"/>
      <c r="F78" s="247"/>
      <c r="G78" s="247"/>
      <c r="H78" s="247"/>
      <c r="I78" s="247"/>
      <c r="J78" s="247"/>
      <c r="K78" s="247"/>
      <c r="L78" s="247"/>
      <c r="M78" s="247"/>
      <c r="N78" s="247"/>
      <c r="O78" s="247"/>
      <c r="P78" s="247"/>
      <c r="Q78" s="247"/>
      <c r="R78" s="657"/>
    </row>
    <row r="79" spans="1:20">
      <c r="A79" s="74">
        <f t="shared" si="7"/>
        <v>7</v>
      </c>
      <c r="B79" s="381"/>
      <c r="C79" s="381"/>
      <c r="D79" s="381"/>
      <c r="E79" s="247"/>
      <c r="F79" s="247"/>
      <c r="G79" s="247"/>
      <c r="H79" s="247"/>
      <c r="I79" s="247"/>
      <c r="J79" s="247"/>
      <c r="K79" s="247"/>
      <c r="L79" s="247"/>
      <c r="M79" s="247"/>
      <c r="N79" s="247"/>
      <c r="O79" s="247"/>
      <c r="P79" s="247"/>
      <c r="Q79" s="247"/>
      <c r="R79" s="657"/>
    </row>
    <row r="80" spans="1:20">
      <c r="A80" s="74">
        <f t="shared" si="7"/>
        <v>8</v>
      </c>
      <c r="B80" s="381"/>
      <c r="C80" s="381"/>
      <c r="D80" s="381"/>
      <c r="E80" s="247"/>
      <c r="F80" s="247"/>
      <c r="G80" s="247"/>
      <c r="H80" s="247"/>
      <c r="I80" s="247"/>
      <c r="J80" s="247"/>
      <c r="K80" s="247"/>
      <c r="L80" s="247"/>
      <c r="M80" s="247"/>
      <c r="N80" s="247"/>
      <c r="O80" s="247"/>
      <c r="P80" s="247"/>
      <c r="Q80" s="247"/>
      <c r="R80" s="657"/>
    </row>
    <row r="81" spans="1:18">
      <c r="A81" s="74">
        <f t="shared" si="7"/>
        <v>9</v>
      </c>
      <c r="B81" s="381"/>
      <c r="C81" s="381"/>
      <c r="D81" s="381"/>
      <c r="E81" s="247"/>
      <c r="F81" s="247"/>
      <c r="G81" s="247"/>
      <c r="H81" s="247"/>
      <c r="I81" s="247"/>
      <c r="J81" s="247"/>
      <c r="K81" s="247"/>
      <c r="L81" s="247"/>
      <c r="M81" s="247"/>
      <c r="N81" s="247"/>
      <c r="O81" s="247"/>
      <c r="P81" s="247"/>
      <c r="Q81" s="247"/>
      <c r="R81" s="657"/>
    </row>
    <row r="82" spans="1:18">
      <c r="A82" s="74">
        <f t="shared" si="7"/>
        <v>10</v>
      </c>
      <c r="B82" s="381"/>
      <c r="C82" s="381"/>
      <c r="D82" s="381"/>
      <c r="E82" s="247"/>
      <c r="F82" s="247"/>
      <c r="G82" s="247"/>
      <c r="H82" s="247"/>
      <c r="I82" s="247"/>
      <c r="J82" s="247"/>
      <c r="K82" s="247"/>
      <c r="L82" s="247"/>
      <c r="M82" s="247"/>
      <c r="N82" s="247"/>
      <c r="O82" s="247"/>
      <c r="P82" s="247"/>
      <c r="Q82" s="247"/>
      <c r="R82" s="657"/>
    </row>
    <row r="83" spans="1:18">
      <c r="A83" s="74">
        <f t="shared" si="7"/>
        <v>11</v>
      </c>
      <c r="B83" s="381"/>
      <c r="C83" s="381"/>
      <c r="D83" s="381"/>
      <c r="E83" s="247"/>
      <c r="F83" s="247"/>
      <c r="G83" s="247"/>
      <c r="H83" s="247"/>
      <c r="I83" s="247"/>
      <c r="J83" s="247"/>
      <c r="K83" s="247"/>
      <c r="L83" s="247"/>
      <c r="M83" s="247"/>
      <c r="N83" s="247"/>
      <c r="O83" s="247"/>
      <c r="P83" s="247"/>
      <c r="Q83" s="247"/>
      <c r="R83" s="657"/>
    </row>
    <row r="84" spans="1:18">
      <c r="A84" s="74">
        <f t="shared" si="7"/>
        <v>12</v>
      </c>
      <c r="B84" s="381"/>
      <c r="C84" s="381"/>
      <c r="D84" s="381"/>
      <c r="E84" s="247"/>
      <c r="F84" s="247"/>
      <c r="G84" s="247"/>
      <c r="H84" s="247"/>
      <c r="I84" s="247"/>
      <c r="J84" s="247"/>
      <c r="K84" s="247"/>
      <c r="L84" s="247"/>
      <c r="M84" s="247"/>
      <c r="N84" s="247"/>
      <c r="O84" s="247"/>
      <c r="P84" s="247"/>
      <c r="Q84" s="247"/>
      <c r="R84" s="657"/>
    </row>
    <row r="85" spans="1:18">
      <c r="A85" s="74">
        <f t="shared" si="7"/>
        <v>13</v>
      </c>
      <c r="B85" s="381"/>
      <c r="C85" s="381"/>
      <c r="D85" s="381"/>
      <c r="E85" s="247"/>
      <c r="F85" s="247"/>
      <c r="G85" s="247"/>
      <c r="H85" s="247"/>
      <c r="I85" s="247"/>
      <c r="J85" s="247"/>
      <c r="K85" s="247"/>
      <c r="L85" s="247"/>
      <c r="M85" s="247"/>
      <c r="N85" s="247"/>
      <c r="O85" s="247"/>
      <c r="P85" s="247"/>
      <c r="Q85" s="247"/>
      <c r="R85" s="657"/>
    </row>
    <row r="86" spans="1:18">
      <c r="A86" s="74">
        <f t="shared" si="7"/>
        <v>14</v>
      </c>
      <c r="B86" s="381"/>
      <c r="C86" s="381"/>
      <c r="D86" s="381"/>
      <c r="E86" s="247"/>
      <c r="F86" s="247"/>
      <c r="G86" s="247"/>
      <c r="H86" s="247"/>
      <c r="I86" s="247"/>
      <c r="J86" s="247"/>
      <c r="K86" s="247"/>
      <c r="L86" s="247"/>
      <c r="M86" s="247"/>
      <c r="N86" s="247"/>
      <c r="O86" s="247"/>
      <c r="P86" s="247"/>
      <c r="Q86" s="247"/>
      <c r="R86" s="657"/>
    </row>
    <row r="87" spans="1:18">
      <c r="A87" s="74">
        <f t="shared" si="7"/>
        <v>15</v>
      </c>
      <c r="B87" s="381"/>
      <c r="C87" s="381"/>
      <c r="D87" s="381"/>
      <c r="E87" s="247"/>
      <c r="F87" s="247"/>
      <c r="G87" s="247"/>
      <c r="H87" s="247"/>
      <c r="I87" s="247"/>
      <c r="J87" s="247"/>
      <c r="K87" s="247"/>
      <c r="L87" s="247"/>
      <c r="M87" s="247"/>
      <c r="N87" s="247"/>
      <c r="O87" s="247"/>
      <c r="P87" s="247"/>
      <c r="Q87" s="247"/>
      <c r="R87" s="657"/>
    </row>
    <row r="88" spans="1:18">
      <c r="A88" s="74">
        <f t="shared" si="7"/>
        <v>16</v>
      </c>
      <c r="B88" s="381"/>
      <c r="C88" s="381"/>
      <c r="D88" s="381"/>
      <c r="E88" s="247"/>
      <c r="F88" s="247"/>
      <c r="G88" s="247"/>
      <c r="H88" s="247"/>
      <c r="I88" s="247"/>
      <c r="J88" s="247"/>
      <c r="K88" s="247"/>
      <c r="L88" s="247"/>
      <c r="M88" s="247"/>
      <c r="N88" s="247"/>
      <c r="O88" s="247"/>
      <c r="P88" s="247"/>
      <c r="Q88" s="247"/>
      <c r="R88" s="657"/>
    </row>
    <row r="89" spans="1:18">
      <c r="A89" s="74">
        <f t="shared" si="7"/>
        <v>17</v>
      </c>
      <c r="B89" s="381"/>
      <c r="C89" s="381"/>
      <c r="D89" s="381"/>
      <c r="E89" s="247"/>
      <c r="F89" s="247"/>
      <c r="G89" s="247"/>
      <c r="H89" s="247"/>
      <c r="I89" s="247"/>
      <c r="J89" s="247"/>
      <c r="K89" s="247"/>
      <c r="L89" s="247"/>
      <c r="M89" s="247"/>
      <c r="N89" s="247"/>
      <c r="O89" s="247"/>
      <c r="P89" s="247"/>
      <c r="Q89" s="247"/>
      <c r="R89" s="657"/>
    </row>
    <row r="90" spans="1:18">
      <c r="A90" s="74">
        <f t="shared" si="7"/>
        <v>18</v>
      </c>
      <c r="B90" s="381"/>
      <c r="C90" s="381"/>
      <c r="D90" s="381"/>
      <c r="E90" s="247"/>
      <c r="F90" s="247"/>
      <c r="G90" s="247"/>
      <c r="H90" s="247"/>
      <c r="I90" s="247"/>
      <c r="J90" s="247"/>
      <c r="K90" s="247"/>
      <c r="L90" s="247"/>
      <c r="M90" s="247"/>
      <c r="N90" s="247"/>
      <c r="O90" s="247"/>
      <c r="P90" s="247"/>
      <c r="Q90" s="247"/>
      <c r="R90" s="657"/>
    </row>
    <row r="91" spans="1:18">
      <c r="A91" s="74">
        <f t="shared" si="7"/>
        <v>19</v>
      </c>
      <c r="B91" s="381"/>
      <c r="C91" s="381"/>
      <c r="D91" s="381"/>
      <c r="E91" s="247"/>
      <c r="F91" s="247"/>
      <c r="G91" s="247"/>
      <c r="H91" s="247"/>
      <c r="I91" s="247"/>
      <c r="J91" s="247"/>
      <c r="K91" s="247"/>
      <c r="L91" s="247"/>
      <c r="M91" s="247"/>
      <c r="N91" s="247"/>
      <c r="O91" s="247"/>
      <c r="P91" s="247"/>
      <c r="Q91" s="247"/>
      <c r="R91" s="657"/>
    </row>
    <row r="92" spans="1:18">
      <c r="A92" s="74">
        <f t="shared" si="7"/>
        <v>20</v>
      </c>
      <c r="B92" s="381"/>
      <c r="C92" s="381"/>
      <c r="D92" s="381"/>
      <c r="E92" s="247"/>
      <c r="F92" s="247"/>
      <c r="G92" s="247"/>
      <c r="H92" s="247"/>
      <c r="I92" s="247"/>
      <c r="J92" s="247"/>
      <c r="K92" s="247"/>
      <c r="L92" s="247"/>
      <c r="M92" s="247"/>
      <c r="N92" s="247"/>
      <c r="O92" s="247"/>
      <c r="P92" s="247"/>
      <c r="Q92" s="247"/>
      <c r="R92" s="657"/>
    </row>
    <row r="93" spans="1:18">
      <c r="A93" s="74">
        <f t="shared" si="7"/>
        <v>21</v>
      </c>
      <c r="B93" s="381"/>
      <c r="C93" s="381"/>
      <c r="D93" s="381"/>
      <c r="E93" s="247"/>
      <c r="F93" s="247"/>
      <c r="G93" s="247"/>
      <c r="H93" s="247"/>
      <c r="I93" s="247"/>
      <c r="J93" s="247"/>
      <c r="K93" s="247"/>
      <c r="L93" s="247"/>
      <c r="M93" s="247"/>
      <c r="N93" s="247"/>
      <c r="O93" s="247"/>
      <c r="P93" s="247"/>
      <c r="Q93" s="247"/>
      <c r="R93" s="657"/>
    </row>
    <row r="94" spans="1:18">
      <c r="A94" s="74">
        <f t="shared" si="7"/>
        <v>22</v>
      </c>
      <c r="B94" s="381"/>
      <c r="C94" s="381"/>
      <c r="D94" s="381"/>
      <c r="E94" s="247"/>
      <c r="F94" s="247"/>
      <c r="G94" s="247"/>
      <c r="H94" s="247"/>
      <c r="I94" s="247"/>
      <c r="J94" s="247"/>
      <c r="K94" s="247"/>
      <c r="L94" s="247"/>
      <c r="M94" s="247"/>
      <c r="N94" s="247"/>
      <c r="O94" s="247"/>
      <c r="P94" s="247"/>
      <c r="Q94" s="247"/>
      <c r="R94" s="657"/>
    </row>
    <row r="95" spans="1:18">
      <c r="A95" s="74">
        <f t="shared" si="7"/>
        <v>23</v>
      </c>
      <c r="B95" s="381"/>
      <c r="C95" s="381"/>
      <c r="D95" s="381"/>
      <c r="E95" s="247"/>
      <c r="F95" s="247"/>
      <c r="G95" s="247"/>
      <c r="H95" s="247"/>
      <c r="I95" s="247"/>
      <c r="J95" s="247"/>
      <c r="K95" s="247"/>
      <c r="L95" s="247"/>
      <c r="M95" s="247"/>
      <c r="N95" s="247"/>
      <c r="O95" s="247"/>
      <c r="P95" s="247"/>
      <c r="Q95" s="247"/>
      <c r="R95" s="657"/>
    </row>
    <row r="96" spans="1:18">
      <c r="A96" s="74">
        <f t="shared" si="7"/>
        <v>24</v>
      </c>
      <c r="B96" s="381"/>
      <c r="C96" s="381"/>
      <c r="D96" s="381"/>
      <c r="E96" s="247"/>
      <c r="F96" s="247"/>
      <c r="G96" s="247"/>
      <c r="H96" s="247"/>
      <c r="I96" s="247"/>
      <c r="J96" s="247"/>
      <c r="K96" s="247"/>
      <c r="L96" s="247"/>
      <c r="M96" s="247"/>
      <c r="N96" s="247"/>
      <c r="O96" s="247"/>
      <c r="P96" s="247"/>
      <c r="Q96" s="247"/>
      <c r="R96" s="657"/>
    </row>
    <row r="97" spans="1:18">
      <c r="A97" s="74">
        <f t="shared" si="7"/>
        <v>25</v>
      </c>
      <c r="B97" s="381"/>
      <c r="C97" s="381"/>
      <c r="D97" s="381"/>
      <c r="E97" s="247"/>
      <c r="F97" s="247"/>
      <c r="G97" s="247"/>
      <c r="H97" s="247"/>
      <c r="I97" s="247"/>
      <c r="J97" s="247"/>
      <c r="K97" s="247"/>
      <c r="L97" s="247"/>
      <c r="M97" s="247"/>
      <c r="N97" s="247"/>
      <c r="O97" s="247"/>
      <c r="P97" s="247"/>
      <c r="Q97" s="247"/>
      <c r="R97" s="657"/>
    </row>
    <row r="98" spans="1:18">
      <c r="A98" s="74">
        <f t="shared" si="7"/>
        <v>26</v>
      </c>
      <c r="B98" s="381"/>
      <c r="C98" s="381"/>
      <c r="D98" s="381"/>
      <c r="E98" s="247"/>
      <c r="F98" s="247"/>
      <c r="G98" s="247"/>
      <c r="H98" s="247"/>
      <c r="I98" s="247"/>
      <c r="J98" s="247"/>
      <c r="K98" s="247"/>
      <c r="L98" s="247"/>
      <c r="M98" s="247"/>
      <c r="N98" s="247"/>
      <c r="O98" s="247"/>
      <c r="P98" s="247"/>
      <c r="Q98" s="247"/>
      <c r="R98" s="657"/>
    </row>
    <row r="99" spans="1:18">
      <c r="A99" s="74">
        <f t="shared" si="7"/>
        <v>27</v>
      </c>
      <c r="B99" s="381"/>
      <c r="C99" s="381"/>
      <c r="D99" s="381"/>
      <c r="E99" s="247"/>
      <c r="F99" s="247"/>
      <c r="G99" s="247"/>
      <c r="H99" s="247"/>
      <c r="I99" s="247"/>
      <c r="J99" s="247"/>
      <c r="K99" s="247"/>
      <c r="L99" s="247"/>
      <c r="M99" s="247"/>
      <c r="N99" s="247"/>
      <c r="O99" s="247"/>
      <c r="P99" s="247"/>
      <c r="Q99" s="247"/>
      <c r="R99" s="657"/>
    </row>
    <row r="100" spans="1:18">
      <c r="A100" s="74">
        <f t="shared" si="7"/>
        <v>28</v>
      </c>
      <c r="B100" s="381"/>
      <c r="C100" s="381"/>
      <c r="D100" s="381"/>
      <c r="E100" s="247"/>
      <c r="F100" s="247"/>
      <c r="G100" s="247"/>
      <c r="H100" s="247"/>
      <c r="I100" s="247"/>
      <c r="J100" s="247"/>
      <c r="K100" s="247"/>
      <c r="L100" s="247"/>
      <c r="M100" s="247"/>
      <c r="N100" s="247"/>
      <c r="O100" s="247"/>
      <c r="P100" s="247"/>
      <c r="Q100" s="247"/>
      <c r="R100" s="657"/>
    </row>
    <row r="101" spans="1:18">
      <c r="A101" s="74">
        <f t="shared" si="7"/>
        <v>29</v>
      </c>
      <c r="B101" s="381"/>
      <c r="C101" s="381"/>
      <c r="D101" s="381"/>
      <c r="E101" s="247"/>
      <c r="F101" s="247"/>
      <c r="G101" s="247"/>
      <c r="H101" s="247"/>
      <c r="I101" s="247"/>
      <c r="J101" s="247"/>
      <c r="K101" s="247"/>
      <c r="L101" s="247"/>
      <c r="M101" s="247"/>
      <c r="N101" s="247"/>
      <c r="O101" s="247"/>
      <c r="P101" s="247"/>
      <c r="Q101" s="247"/>
      <c r="R101" s="657"/>
    </row>
    <row r="102" spans="1:18">
      <c r="A102" s="74">
        <f t="shared" si="7"/>
        <v>30</v>
      </c>
      <c r="B102" s="381"/>
      <c r="C102" s="381"/>
      <c r="D102" s="381"/>
      <c r="E102" s="247"/>
      <c r="F102" s="247"/>
      <c r="G102" s="247"/>
      <c r="H102" s="247"/>
      <c r="I102" s="247"/>
      <c r="J102" s="247"/>
      <c r="K102" s="247"/>
      <c r="L102" s="247"/>
      <c r="M102" s="247"/>
      <c r="N102" s="247"/>
      <c r="O102" s="247"/>
      <c r="P102" s="247"/>
      <c r="Q102" s="247"/>
      <c r="R102" s="657"/>
    </row>
    <row r="103" spans="1:18">
      <c r="A103" s="74">
        <f t="shared" si="7"/>
        <v>31</v>
      </c>
      <c r="B103" s="381"/>
      <c r="C103" s="381"/>
      <c r="D103" s="381"/>
      <c r="E103" s="247"/>
      <c r="F103" s="247"/>
      <c r="G103" s="247"/>
      <c r="H103" s="247"/>
      <c r="I103" s="247"/>
      <c r="J103" s="247"/>
      <c r="K103" s="247"/>
      <c r="L103" s="247"/>
      <c r="M103" s="247"/>
      <c r="N103" s="247"/>
      <c r="O103" s="247"/>
      <c r="P103" s="247"/>
      <c r="Q103" s="247"/>
      <c r="R103" s="657"/>
    </row>
    <row r="104" spans="1:18">
      <c r="A104" s="74">
        <f t="shared" si="7"/>
        <v>32</v>
      </c>
      <c r="B104" s="381"/>
      <c r="C104" s="381"/>
      <c r="D104" s="381"/>
      <c r="E104" s="247"/>
      <c r="F104" s="247"/>
      <c r="G104" s="247"/>
      <c r="H104" s="247"/>
      <c r="I104" s="247"/>
      <c r="J104" s="247"/>
      <c r="K104" s="247"/>
      <c r="L104" s="247"/>
      <c r="M104" s="247"/>
      <c r="N104" s="247"/>
      <c r="O104" s="247"/>
      <c r="P104" s="247"/>
      <c r="Q104" s="247"/>
      <c r="R104" s="657"/>
    </row>
    <row r="105" spans="1:18">
      <c r="A105" s="74">
        <f t="shared" si="7"/>
        <v>33</v>
      </c>
      <c r="B105" s="381"/>
      <c r="C105" s="381"/>
      <c r="D105" s="381"/>
      <c r="E105" s="247"/>
      <c r="F105" s="247"/>
      <c r="G105" s="247"/>
      <c r="H105" s="247"/>
      <c r="I105" s="247"/>
      <c r="J105" s="247"/>
      <c r="K105" s="247"/>
      <c r="L105" s="247"/>
      <c r="M105" s="247"/>
      <c r="N105" s="247"/>
      <c r="O105" s="247"/>
      <c r="P105" s="247"/>
      <c r="Q105" s="247"/>
      <c r="R105" s="657"/>
    </row>
    <row r="106" spans="1:18">
      <c r="A106" s="74">
        <f t="shared" si="7"/>
        <v>34</v>
      </c>
      <c r="B106" s="381"/>
      <c r="C106" s="381"/>
      <c r="D106" s="381"/>
      <c r="E106" s="247"/>
      <c r="F106" s="247"/>
      <c r="G106" s="247"/>
      <c r="H106" s="247"/>
      <c r="I106" s="247"/>
      <c r="J106" s="247"/>
      <c r="K106" s="247"/>
      <c r="L106" s="247"/>
      <c r="M106" s="247"/>
      <c r="N106" s="247"/>
      <c r="O106" s="247"/>
      <c r="P106" s="247"/>
      <c r="Q106" s="247"/>
      <c r="R106" s="657"/>
    </row>
    <row r="107" spans="1:18">
      <c r="A107" s="74">
        <f t="shared" si="7"/>
        <v>35</v>
      </c>
      <c r="B107" s="381"/>
      <c r="C107" s="381"/>
      <c r="D107" s="381"/>
      <c r="E107" s="247"/>
      <c r="F107" s="247"/>
      <c r="G107" s="247"/>
      <c r="H107" s="247"/>
      <c r="I107" s="247"/>
      <c r="J107" s="247"/>
      <c r="K107" s="247"/>
      <c r="L107" s="247"/>
      <c r="M107" s="247"/>
      <c r="N107" s="247"/>
      <c r="O107" s="247"/>
      <c r="P107" s="247"/>
      <c r="Q107" s="247"/>
      <c r="R107" s="657"/>
    </row>
    <row r="108" spans="1:18">
      <c r="A108" s="74">
        <f t="shared" si="7"/>
        <v>36</v>
      </c>
      <c r="B108" s="381"/>
      <c r="C108" s="381"/>
      <c r="D108" s="381"/>
      <c r="E108" s="247"/>
      <c r="F108" s="247"/>
      <c r="G108" s="247"/>
      <c r="H108" s="247"/>
      <c r="I108" s="247"/>
      <c r="J108" s="247"/>
      <c r="K108" s="247"/>
      <c r="L108" s="247"/>
      <c r="M108" s="247"/>
      <c r="N108" s="247"/>
      <c r="O108" s="247"/>
      <c r="P108" s="247"/>
      <c r="Q108" s="247"/>
      <c r="R108" s="657"/>
    </row>
    <row r="109" spans="1:18">
      <c r="A109" s="74">
        <f t="shared" si="7"/>
        <v>37</v>
      </c>
      <c r="B109" s="381"/>
      <c r="C109" s="381"/>
      <c r="D109" s="381"/>
      <c r="E109" s="247"/>
      <c r="F109" s="247"/>
      <c r="G109" s="247"/>
      <c r="H109" s="247"/>
      <c r="I109" s="247"/>
      <c r="J109" s="247"/>
      <c r="K109" s="247"/>
      <c r="L109" s="247"/>
      <c r="M109" s="247"/>
      <c r="N109" s="247"/>
      <c r="O109" s="247"/>
      <c r="P109" s="247"/>
      <c r="Q109" s="247"/>
      <c r="R109" s="657"/>
    </row>
    <row r="110" spans="1:18">
      <c r="A110" s="74">
        <f t="shared" si="7"/>
        <v>38</v>
      </c>
      <c r="B110" s="381"/>
      <c r="C110" s="381"/>
      <c r="D110" s="381"/>
      <c r="E110" s="247"/>
      <c r="F110" s="247"/>
      <c r="G110" s="247"/>
      <c r="H110" s="247"/>
      <c r="I110" s="247"/>
      <c r="J110" s="247"/>
      <c r="K110" s="247"/>
      <c r="L110" s="247"/>
      <c r="M110" s="247"/>
      <c r="N110" s="247"/>
      <c r="O110" s="247"/>
      <c r="P110" s="247"/>
      <c r="Q110" s="247"/>
      <c r="R110" s="657"/>
    </row>
    <row r="111" spans="1:18">
      <c r="A111" s="74">
        <f t="shared" si="7"/>
        <v>39</v>
      </c>
      <c r="B111" s="381"/>
      <c r="C111" s="381"/>
      <c r="D111" s="381"/>
      <c r="E111" s="247"/>
      <c r="F111" s="247"/>
      <c r="G111" s="247"/>
      <c r="H111" s="247"/>
      <c r="I111" s="247"/>
      <c r="J111" s="247"/>
      <c r="K111" s="247"/>
      <c r="L111" s="247"/>
      <c r="M111" s="247"/>
      <c r="N111" s="247"/>
      <c r="O111" s="247"/>
      <c r="P111" s="247"/>
      <c r="Q111" s="247"/>
      <c r="R111" s="657"/>
    </row>
    <row r="112" spans="1:18">
      <c r="A112" s="74">
        <f t="shared" si="7"/>
        <v>40</v>
      </c>
      <c r="B112" s="381"/>
      <c r="C112" s="381"/>
      <c r="D112" s="381"/>
      <c r="E112" s="247"/>
      <c r="F112" s="247"/>
      <c r="G112" s="247"/>
      <c r="H112" s="247"/>
      <c r="I112" s="247"/>
      <c r="J112" s="247"/>
      <c r="K112" s="247"/>
      <c r="L112" s="247"/>
      <c r="M112" s="247"/>
      <c r="N112" s="247"/>
      <c r="O112" s="247"/>
      <c r="P112" s="247"/>
      <c r="Q112" s="247"/>
      <c r="R112" s="657"/>
    </row>
    <row r="113" spans="1:21">
      <c r="A113" s="74">
        <f t="shared" si="7"/>
        <v>41</v>
      </c>
      <c r="B113" s="381"/>
      <c r="C113" s="381"/>
      <c r="D113" s="381"/>
      <c r="E113" s="247"/>
      <c r="F113" s="247"/>
      <c r="G113" s="247"/>
      <c r="H113" s="247"/>
      <c r="I113" s="247"/>
      <c r="J113" s="247"/>
      <c r="K113" s="247"/>
      <c r="L113" s="247"/>
      <c r="M113" s="247"/>
      <c r="N113" s="247"/>
      <c r="O113" s="247"/>
      <c r="P113" s="247"/>
      <c r="Q113" s="247"/>
      <c r="R113" s="657"/>
    </row>
    <row r="114" spans="1:21">
      <c r="A114" s="74">
        <f t="shared" si="7"/>
        <v>42</v>
      </c>
      <c r="B114" s="381"/>
      <c r="C114" s="381"/>
      <c r="D114" s="381"/>
      <c r="E114" s="247"/>
      <c r="F114" s="247"/>
      <c r="G114" s="247"/>
      <c r="H114" s="247"/>
      <c r="I114" s="247"/>
      <c r="J114" s="247"/>
      <c r="K114" s="247"/>
      <c r="L114" s="247"/>
      <c r="M114" s="247"/>
      <c r="N114" s="247"/>
      <c r="O114" s="247"/>
      <c r="P114" s="247"/>
      <c r="Q114" s="247"/>
      <c r="R114" s="657"/>
    </row>
    <row r="115" spans="1:21">
      <c r="A115" s="74">
        <f t="shared" si="7"/>
        <v>43</v>
      </c>
      <c r="B115" s="313"/>
      <c r="C115" s="313" t="s">
        <v>1708</v>
      </c>
      <c r="D115" s="313"/>
      <c r="E115" s="500">
        <f t="shared" ref="E115:J115" si="8">SUM(E73:E114)</f>
        <v>0</v>
      </c>
      <c r="F115" s="500">
        <f t="shared" si="8"/>
        <v>0</v>
      </c>
      <c r="G115" s="500">
        <f t="shared" si="8"/>
        <v>0</v>
      </c>
      <c r="H115" s="500">
        <f t="shared" si="8"/>
        <v>0</v>
      </c>
      <c r="I115" s="500">
        <f t="shared" si="8"/>
        <v>0</v>
      </c>
      <c r="J115" s="500">
        <f t="shared" si="8"/>
        <v>0</v>
      </c>
      <c r="K115" s="500"/>
      <c r="L115" s="500"/>
      <c r="M115" s="500">
        <f>SUM(M73:M114)</f>
        <v>0</v>
      </c>
      <c r="N115" s="500">
        <f>SUM(N73:N114)</f>
        <v>0</v>
      </c>
      <c r="O115" s="500"/>
      <c r="P115" s="500"/>
      <c r="Q115" s="500">
        <f>SUM(Q73:Q114)</f>
        <v>0</v>
      </c>
      <c r="R115" s="500">
        <f>SUM(F115:Q115)</f>
        <v>0</v>
      </c>
    </row>
    <row r="116" spans="1:21">
      <c r="A116" s="74">
        <f t="shared" si="7"/>
        <v>44</v>
      </c>
      <c r="B116" s="313"/>
      <c r="C116" s="313"/>
      <c r="D116" s="313"/>
      <c r="E116" s="635"/>
      <c r="F116" s="378"/>
      <c r="G116" s="378"/>
      <c r="H116" s="378"/>
      <c r="I116" s="378"/>
      <c r="J116" s="313"/>
      <c r="K116" s="313"/>
      <c r="L116" s="313"/>
      <c r="M116" s="313"/>
      <c r="N116" s="313"/>
      <c r="O116" s="313"/>
      <c r="P116" s="378"/>
      <c r="Q116" s="378"/>
      <c r="R116" s="378"/>
    </row>
    <row r="117" spans="1:21" ht="13.5" thickBot="1">
      <c r="A117" s="74">
        <f t="shared" si="7"/>
        <v>45</v>
      </c>
      <c r="B117" s="177" t="s">
        <v>757</v>
      </c>
      <c r="C117" s="313"/>
      <c r="D117" s="313"/>
      <c r="E117" s="500"/>
      <c r="F117" s="378"/>
      <c r="G117" s="378"/>
      <c r="H117" s="378"/>
      <c r="I117" s="378"/>
      <c r="J117" s="313"/>
      <c r="K117" s="313"/>
      <c r="L117" s="313"/>
      <c r="M117" s="313"/>
      <c r="N117" s="313"/>
      <c r="O117" s="313"/>
      <c r="P117" s="378"/>
      <c r="Q117" s="378"/>
      <c r="R117" s="378"/>
    </row>
    <row r="118" spans="1:21" ht="13.5" thickBot="1">
      <c r="A118" s="74">
        <f t="shared" si="7"/>
        <v>46</v>
      </c>
      <c r="B118" s="313" t="s">
        <v>513</v>
      </c>
      <c r="C118" s="313"/>
      <c r="D118" s="313"/>
      <c r="E118" s="313"/>
      <c r="F118" s="501">
        <f>SUMIF($B$73:$B$114,$B$118,F73:F114)</f>
        <v>0</v>
      </c>
      <c r="G118" s="501">
        <f t="shared" ref="G118:Q118" si="9">SUMIF($B$73:$B$114,$B$118,G73:G114)</f>
        <v>0</v>
      </c>
      <c r="H118" s="501">
        <f t="shared" si="9"/>
        <v>0</v>
      </c>
      <c r="I118" s="502">
        <f t="shared" si="9"/>
        <v>0</v>
      </c>
      <c r="J118" s="502">
        <f t="shared" si="9"/>
        <v>0</v>
      </c>
      <c r="K118" s="500">
        <f t="shared" si="9"/>
        <v>0</v>
      </c>
      <c r="L118" s="500">
        <f t="shared" si="9"/>
        <v>0</v>
      </c>
      <c r="M118" s="502">
        <f t="shared" si="9"/>
        <v>0</v>
      </c>
      <c r="N118" s="502">
        <f t="shared" si="9"/>
        <v>0</v>
      </c>
      <c r="O118" s="502">
        <f t="shared" si="9"/>
        <v>0</v>
      </c>
      <c r="P118" s="502">
        <f t="shared" si="9"/>
        <v>0</v>
      </c>
      <c r="Q118" s="502">
        <f t="shared" si="9"/>
        <v>0</v>
      </c>
      <c r="R118" s="502">
        <f>SUMIF($B$73:$B$114,$B$118,R73:R114)</f>
        <v>0</v>
      </c>
    </row>
    <row r="119" spans="1:21">
      <c r="A119" s="74">
        <f t="shared" si="7"/>
        <v>47</v>
      </c>
      <c r="B119" s="313" t="s">
        <v>874</v>
      </c>
      <c r="C119" s="313"/>
      <c r="D119" s="313"/>
      <c r="E119" s="313"/>
      <c r="F119" s="500">
        <f>SUMIF($B$73:$B$114,$B$119,F73:F114)</f>
        <v>0</v>
      </c>
      <c r="G119" s="500">
        <f t="shared" ref="G119:Q119" si="10">SUMIF($B$73:$B$114,$B$119,G73:G114)</f>
        <v>0</v>
      </c>
      <c r="H119" s="500">
        <f t="shared" si="10"/>
        <v>0</v>
      </c>
      <c r="I119" s="500">
        <f t="shared" si="10"/>
        <v>0</v>
      </c>
      <c r="J119" s="500">
        <f t="shared" si="10"/>
        <v>0</v>
      </c>
      <c r="K119" s="500">
        <f t="shared" si="10"/>
        <v>0</v>
      </c>
      <c r="L119" s="500">
        <f t="shared" si="10"/>
        <v>0</v>
      </c>
      <c r="M119" s="500">
        <f t="shared" si="10"/>
        <v>0</v>
      </c>
      <c r="N119" s="500">
        <f t="shared" si="10"/>
        <v>0</v>
      </c>
      <c r="O119" s="500">
        <f t="shared" si="10"/>
        <v>0</v>
      </c>
      <c r="P119" s="500">
        <f t="shared" si="10"/>
        <v>0</v>
      </c>
      <c r="Q119" s="500">
        <f t="shared" si="10"/>
        <v>0</v>
      </c>
      <c r="R119" s="502">
        <f>SUM(F119:Q119)</f>
        <v>0</v>
      </c>
    </row>
    <row r="120" spans="1:21">
      <c r="A120" s="74">
        <f t="shared" si="7"/>
        <v>48</v>
      </c>
      <c r="B120" s="313" t="s">
        <v>731</v>
      </c>
      <c r="C120" s="313"/>
      <c r="D120" s="313"/>
      <c r="E120" s="313"/>
      <c r="F120" s="500">
        <f>SUMIF($B$73:$B$114,$B$120,F73:F114)</f>
        <v>0</v>
      </c>
      <c r="G120" s="500">
        <f t="shared" ref="G120:Q120" si="11">SUMIF($B$73:$B$114,$B$120,G73:G114)</f>
        <v>0</v>
      </c>
      <c r="H120" s="500">
        <f t="shared" si="11"/>
        <v>0</v>
      </c>
      <c r="I120" s="500">
        <f t="shared" si="11"/>
        <v>0</v>
      </c>
      <c r="J120" s="500">
        <f t="shared" si="11"/>
        <v>0</v>
      </c>
      <c r="K120" s="500">
        <f t="shared" si="11"/>
        <v>0</v>
      </c>
      <c r="L120" s="500">
        <f t="shared" si="11"/>
        <v>0</v>
      </c>
      <c r="M120" s="500">
        <f t="shared" si="11"/>
        <v>0</v>
      </c>
      <c r="N120" s="500">
        <f t="shared" si="11"/>
        <v>0</v>
      </c>
      <c r="O120" s="500">
        <f t="shared" si="11"/>
        <v>0</v>
      </c>
      <c r="P120" s="500">
        <f t="shared" si="11"/>
        <v>0</v>
      </c>
      <c r="Q120" s="500">
        <f t="shared" si="11"/>
        <v>0</v>
      </c>
      <c r="R120" s="502">
        <f>SUM(F120:Q120)</f>
        <v>0</v>
      </c>
    </row>
    <row r="121" spans="1:21">
      <c r="A121" s="74">
        <f t="shared" si="7"/>
        <v>49</v>
      </c>
      <c r="B121" s="313" t="s">
        <v>84</v>
      </c>
      <c r="C121" s="313"/>
      <c r="D121" s="313"/>
      <c r="E121" s="313"/>
      <c r="F121" s="503">
        <f>SUMIF($B$73:$B$114,$B$121,F73:F114)</f>
        <v>0</v>
      </c>
      <c r="G121" s="503">
        <f t="shared" ref="G121:Q121" si="12">SUMIF($B$73:$B$114,$B$121,G73:G114)</f>
        <v>0</v>
      </c>
      <c r="H121" s="503">
        <f t="shared" si="12"/>
        <v>0</v>
      </c>
      <c r="I121" s="503">
        <f t="shared" si="12"/>
        <v>0</v>
      </c>
      <c r="J121" s="503">
        <f t="shared" si="12"/>
        <v>0</v>
      </c>
      <c r="K121" s="503">
        <f t="shared" si="12"/>
        <v>0</v>
      </c>
      <c r="L121" s="503">
        <f t="shared" si="12"/>
        <v>0</v>
      </c>
      <c r="M121" s="503">
        <f t="shared" si="12"/>
        <v>0</v>
      </c>
      <c r="N121" s="503">
        <f t="shared" si="12"/>
        <v>0</v>
      </c>
      <c r="O121" s="503">
        <f t="shared" si="12"/>
        <v>0</v>
      </c>
      <c r="P121" s="503">
        <f t="shared" si="12"/>
        <v>0</v>
      </c>
      <c r="Q121" s="503">
        <f t="shared" si="12"/>
        <v>0</v>
      </c>
      <c r="R121" s="503">
        <f>SUM(F121:Q121)</f>
        <v>0</v>
      </c>
    </row>
    <row r="122" spans="1:21">
      <c r="A122" s="74">
        <f t="shared" si="7"/>
        <v>50</v>
      </c>
      <c r="B122" s="313" t="s">
        <v>1708</v>
      </c>
      <c r="C122" s="313"/>
      <c r="D122" s="313"/>
      <c r="E122" s="313"/>
      <c r="F122" s="500">
        <f t="shared" ref="F122:Q122" si="13">SUM(F118:F121)</f>
        <v>0</v>
      </c>
      <c r="G122" s="500">
        <f t="shared" si="13"/>
        <v>0</v>
      </c>
      <c r="H122" s="500">
        <f t="shared" si="13"/>
        <v>0</v>
      </c>
      <c r="I122" s="500">
        <f t="shared" si="13"/>
        <v>0</v>
      </c>
      <c r="J122" s="500">
        <f t="shared" si="13"/>
        <v>0</v>
      </c>
      <c r="K122" s="500">
        <f t="shared" si="13"/>
        <v>0</v>
      </c>
      <c r="L122" s="500">
        <f t="shared" si="13"/>
        <v>0</v>
      </c>
      <c r="M122" s="500">
        <f>SUM(M118:M121)</f>
        <v>0</v>
      </c>
      <c r="N122" s="500">
        <f>SUM(N118:N121)</f>
        <v>0</v>
      </c>
      <c r="O122" s="500">
        <f>SUM(O118:O121)</f>
        <v>0</v>
      </c>
      <c r="P122" s="500">
        <f>SUM(P118:P121)</f>
        <v>0</v>
      </c>
      <c r="Q122" s="500">
        <f t="shared" si="13"/>
        <v>0</v>
      </c>
      <c r="R122" s="500">
        <f>SUM(R118:R121)</f>
        <v>0</v>
      </c>
    </row>
    <row r="123" spans="1:21">
      <c r="A123" s="74">
        <f t="shared" si="7"/>
        <v>51</v>
      </c>
      <c r="F123" s="377"/>
      <c r="G123" s="377"/>
      <c r="H123" s="377"/>
      <c r="I123" s="377"/>
      <c r="J123" s="377"/>
      <c r="K123" s="377"/>
      <c r="L123" s="377"/>
      <c r="M123" s="377"/>
      <c r="N123" s="377"/>
      <c r="O123" s="377"/>
      <c r="P123" s="377"/>
      <c r="Q123" s="377"/>
      <c r="R123" s="377"/>
      <c r="S123" s="377"/>
      <c r="T123" s="377"/>
      <c r="U123" s="377"/>
    </row>
    <row r="124" spans="1:21">
      <c r="A124" s="74">
        <f t="shared" si="7"/>
        <v>52</v>
      </c>
      <c r="B124" s="72" t="s">
        <v>741</v>
      </c>
    </row>
    <row r="125" spans="1:21">
      <c r="A125" s="74">
        <f t="shared" si="7"/>
        <v>53</v>
      </c>
      <c r="B125" s="72" t="s">
        <v>731</v>
      </c>
      <c r="C125" s="72" t="s">
        <v>1734</v>
      </c>
    </row>
    <row r="126" spans="1:21">
      <c r="A126" s="74">
        <f t="shared" si="7"/>
        <v>54</v>
      </c>
      <c r="B126" s="72" t="s">
        <v>874</v>
      </c>
      <c r="C126" s="72" t="s">
        <v>742</v>
      </c>
    </row>
    <row r="127" spans="1:21">
      <c r="A127" s="74">
        <f t="shared" si="7"/>
        <v>55</v>
      </c>
      <c r="B127" s="72" t="s">
        <v>513</v>
      </c>
      <c r="C127" s="72" t="s">
        <v>408</v>
      </c>
    </row>
    <row r="128" spans="1:21">
      <c r="A128" s="74"/>
    </row>
    <row r="129" spans="2:2">
      <c r="B129" s="72" t="s">
        <v>1774</v>
      </c>
    </row>
  </sheetData>
  <phoneticPr fontId="0" type="noConversion"/>
  <pageMargins left="0.75" right="0.5" top="0.75" bottom="0.75" header="0.5" footer="0.5"/>
  <pageSetup scale="50" firstPageNumber="7" fitToHeight="2" orientation="landscape" r:id="rId1"/>
  <headerFooter alignWithMargins="0">
    <oddHeader>&amp;RPage &amp;P of &amp;N</oddHeader>
  </headerFooter>
  <rowBreaks count="1" manualBreakCount="1">
    <brk id="63" max="1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dimension ref="A1:S91"/>
  <sheetViews>
    <sheetView topLeftCell="A46" workbookViewId="0">
      <selection activeCell="D26" sqref="D26"/>
    </sheetView>
  </sheetViews>
  <sheetFormatPr defaultRowHeight="12.75"/>
  <cols>
    <col min="2" max="2" width="36" customWidth="1"/>
    <col min="3" max="3" width="16.7109375" customWidth="1"/>
    <col min="4" max="4" width="16.5703125" bestFit="1" customWidth="1"/>
    <col min="5" max="17" width="15.140625" bestFit="1" customWidth="1"/>
    <col min="18" max="18" width="14" customWidth="1"/>
    <col min="19" max="19" width="11.7109375" bestFit="1" customWidth="1"/>
  </cols>
  <sheetData>
    <row r="1" spans="1:19">
      <c r="A1" s="98" t="str">
        <f>'Cover Page'!A5</f>
        <v>Public Service Company of Colorado</v>
      </c>
      <c r="Q1" s="133" t="str">
        <f>'Table of Contents'!A32</f>
        <v>Table 24</v>
      </c>
      <c r="R1" s="133"/>
    </row>
    <row r="2" spans="1:19">
      <c r="A2" s="98" t="str">
        <f>'Cover Page'!A6</f>
        <v>Transmission Formula Rate Template</v>
      </c>
      <c r="Q2" s="133" t="str">
        <f ca="1">MID(CELL("filename",$A$1),FIND("]",CELL("filename",$A$1))+1,LEN(CELL("filename",$A$1))-FIND("]",CELL("filename",$A$1)))</f>
        <v>WP_G-1</v>
      </c>
    </row>
    <row r="3" spans="1:19">
      <c r="A3" s="98" t="str">
        <f>'Cover Page'!A7</f>
        <v>Twelve Months Ended December 31, 2018</v>
      </c>
    </row>
    <row r="4" spans="1:19">
      <c r="A4" s="98" t="s">
        <v>524</v>
      </c>
    </row>
    <row r="5" spans="1:19">
      <c r="A5" s="98"/>
    </row>
    <row r="6" spans="1:19" ht="13.5" thickBot="1"/>
    <row r="7" spans="1:19">
      <c r="A7" s="239" t="s">
        <v>990</v>
      </c>
      <c r="B7" s="282"/>
      <c r="C7" s="282"/>
      <c r="D7" s="282"/>
      <c r="E7" s="282"/>
      <c r="F7" s="282"/>
      <c r="G7" s="282"/>
      <c r="H7" s="282"/>
      <c r="I7" s="282"/>
      <c r="J7" s="282"/>
      <c r="K7" s="282"/>
      <c r="L7" s="282"/>
      <c r="M7" s="282"/>
      <c r="N7" s="282"/>
      <c r="O7" s="282"/>
      <c r="P7" s="282"/>
      <c r="Q7" s="291"/>
      <c r="R7" s="201"/>
    </row>
    <row r="8" spans="1:19">
      <c r="A8" s="263"/>
      <c r="B8" s="201"/>
      <c r="C8" s="284" t="s">
        <v>1313</v>
      </c>
      <c r="D8" s="201"/>
      <c r="E8" s="201"/>
      <c r="F8" s="201"/>
      <c r="G8" s="201"/>
      <c r="H8" s="201"/>
      <c r="I8" s="201"/>
      <c r="J8" s="201"/>
      <c r="K8" s="201"/>
      <c r="L8" s="201"/>
      <c r="M8" s="201"/>
      <c r="N8" s="201"/>
      <c r="O8" s="201"/>
      <c r="P8" s="201"/>
      <c r="Q8" s="292"/>
      <c r="R8" s="201"/>
    </row>
    <row r="9" spans="1:19">
      <c r="A9" s="242" t="s">
        <v>868</v>
      </c>
      <c r="B9" s="1" t="s">
        <v>917</v>
      </c>
      <c r="C9" s="277" t="s">
        <v>870</v>
      </c>
      <c r="D9" s="277" t="s">
        <v>914</v>
      </c>
      <c r="E9" s="277" t="s">
        <v>956</v>
      </c>
      <c r="F9" s="277" t="s">
        <v>904</v>
      </c>
      <c r="G9" s="277" t="s">
        <v>905</v>
      </c>
      <c r="H9" s="277" t="s">
        <v>906</v>
      </c>
      <c r="I9" s="277" t="s">
        <v>907</v>
      </c>
      <c r="J9" s="277" t="s">
        <v>908</v>
      </c>
      <c r="K9" s="277" t="s">
        <v>909</v>
      </c>
      <c r="L9" s="277" t="s">
        <v>910</v>
      </c>
      <c r="M9" s="277" t="s">
        <v>911</v>
      </c>
      <c r="N9" s="277" t="s">
        <v>912</v>
      </c>
      <c r="O9" s="277" t="s">
        <v>913</v>
      </c>
      <c r="P9" s="277" t="s">
        <v>914</v>
      </c>
      <c r="Q9" s="293" t="s">
        <v>658</v>
      </c>
      <c r="R9" s="284"/>
      <c r="S9" s="167"/>
    </row>
    <row r="10" spans="1:19">
      <c r="A10" s="261"/>
      <c r="B10" s="167"/>
      <c r="C10" s="167"/>
      <c r="D10" s="115" t="s">
        <v>363</v>
      </c>
      <c r="E10" s="115" t="s">
        <v>362</v>
      </c>
      <c r="F10" s="115" t="s">
        <v>364</v>
      </c>
      <c r="G10" s="115" t="s">
        <v>365</v>
      </c>
      <c r="H10" s="115" t="s">
        <v>366</v>
      </c>
      <c r="I10" s="115" t="s">
        <v>367</v>
      </c>
      <c r="J10" s="115" t="s">
        <v>368</v>
      </c>
      <c r="K10" s="115" t="s">
        <v>369</v>
      </c>
      <c r="L10" s="115" t="s">
        <v>370</v>
      </c>
      <c r="M10" s="115" t="s">
        <v>371</v>
      </c>
      <c r="N10" s="115" t="s">
        <v>372</v>
      </c>
      <c r="O10" s="115" t="s">
        <v>373</v>
      </c>
      <c r="P10" s="115" t="s">
        <v>374</v>
      </c>
      <c r="Q10" s="692" t="s">
        <v>375</v>
      </c>
      <c r="R10" s="167"/>
      <c r="S10" s="167"/>
    </row>
    <row r="11" spans="1:19">
      <c r="A11" s="263">
        <v>1</v>
      </c>
      <c r="B11" s="143" t="s">
        <v>659</v>
      </c>
      <c r="C11" s="167"/>
      <c r="D11" s="167"/>
      <c r="E11" s="167"/>
      <c r="F11" s="167"/>
      <c r="G11" s="167"/>
      <c r="H11" s="167"/>
      <c r="I11" s="167"/>
      <c r="J11" s="167"/>
      <c r="K11" s="167"/>
      <c r="L11" s="167"/>
      <c r="M11" s="167"/>
      <c r="N11" s="167"/>
      <c r="O11" s="167"/>
      <c r="P11" s="167"/>
      <c r="Q11" s="262"/>
      <c r="R11" s="462"/>
      <c r="S11" s="167"/>
    </row>
    <row r="12" spans="1:19">
      <c r="A12" s="263">
        <f t="shared" ref="A12:A42" si="0">A11+1</f>
        <v>2</v>
      </c>
      <c r="B12" s="181" t="s">
        <v>660</v>
      </c>
      <c r="C12" s="115" t="s">
        <v>661</v>
      </c>
      <c r="D12" s="758">
        <v>4500000000</v>
      </c>
      <c r="E12" s="758">
        <v>4500000000</v>
      </c>
      <c r="F12" s="758">
        <v>4500000000</v>
      </c>
      <c r="G12" s="758">
        <v>4500000000</v>
      </c>
      <c r="H12" s="758">
        <v>4500000000</v>
      </c>
      <c r="I12" s="758">
        <v>4500000000</v>
      </c>
      <c r="J12" s="758">
        <v>5150000000</v>
      </c>
      <c r="K12" s="758">
        <v>5150000000</v>
      </c>
      <c r="L12" s="758">
        <v>4850000000</v>
      </c>
      <c r="M12" s="758">
        <v>4850000000</v>
      </c>
      <c r="N12" s="758">
        <v>4850000000</v>
      </c>
      <c r="O12" s="758">
        <v>4850000000</v>
      </c>
      <c r="P12" s="758">
        <v>4850000000</v>
      </c>
      <c r="Q12" s="268">
        <f>AVERAGE(D12:P12)</f>
        <v>4734615384.6153851</v>
      </c>
      <c r="R12" s="182"/>
      <c r="S12" s="167"/>
    </row>
    <row r="13" spans="1:19">
      <c r="A13" s="263">
        <f t="shared" si="0"/>
        <v>3</v>
      </c>
      <c r="B13" s="181" t="s">
        <v>1034</v>
      </c>
      <c r="C13" s="115" t="s">
        <v>1036</v>
      </c>
      <c r="D13" s="758">
        <v>0</v>
      </c>
      <c r="E13" s="758">
        <v>0</v>
      </c>
      <c r="F13" s="758">
        <v>0</v>
      </c>
      <c r="G13" s="758">
        <v>0</v>
      </c>
      <c r="H13" s="758">
        <v>0</v>
      </c>
      <c r="I13" s="758">
        <v>0</v>
      </c>
      <c r="J13" s="758">
        <v>0</v>
      </c>
      <c r="K13" s="758">
        <v>0</v>
      </c>
      <c r="L13" s="758">
        <v>0</v>
      </c>
      <c r="M13" s="758">
        <v>0</v>
      </c>
      <c r="N13" s="758">
        <v>0</v>
      </c>
      <c r="O13" s="758">
        <v>0</v>
      </c>
      <c r="P13" s="758">
        <v>0</v>
      </c>
      <c r="Q13" s="618">
        <f>AVERAGE(D13:P13)</f>
        <v>0</v>
      </c>
      <c r="R13" s="182"/>
      <c r="S13" s="167"/>
    </row>
    <row r="14" spans="1:19">
      <c r="A14" s="263">
        <f t="shared" si="0"/>
        <v>4</v>
      </c>
      <c r="B14" s="181" t="s">
        <v>662</v>
      </c>
      <c r="C14" s="115" t="s">
        <v>663</v>
      </c>
      <c r="D14" s="759">
        <v>0</v>
      </c>
      <c r="E14" s="759">
        <v>0</v>
      </c>
      <c r="F14" s="759">
        <v>0</v>
      </c>
      <c r="G14" s="759">
        <v>0</v>
      </c>
      <c r="H14" s="759">
        <v>0</v>
      </c>
      <c r="I14" s="759">
        <v>0</v>
      </c>
      <c r="J14" s="759">
        <v>0</v>
      </c>
      <c r="K14" s="759">
        <v>0</v>
      </c>
      <c r="L14" s="759">
        <v>0</v>
      </c>
      <c r="M14" s="759">
        <v>0</v>
      </c>
      <c r="N14" s="759">
        <v>0</v>
      </c>
      <c r="O14" s="759">
        <v>0</v>
      </c>
      <c r="P14" s="759">
        <v>0</v>
      </c>
      <c r="Q14" s="618">
        <f>AVERAGE(D14:P14)</f>
        <v>0</v>
      </c>
      <c r="R14" s="182"/>
      <c r="S14" s="167"/>
    </row>
    <row r="15" spans="1:19" ht="13.5" thickBot="1">
      <c r="A15" s="263">
        <f t="shared" si="0"/>
        <v>5</v>
      </c>
      <c r="B15" s="701" t="s">
        <v>1035</v>
      </c>
      <c r="C15" s="115" t="s">
        <v>1037</v>
      </c>
      <c r="D15" s="138">
        <v>0</v>
      </c>
      <c r="E15" s="138">
        <v>0</v>
      </c>
      <c r="F15" s="138">
        <v>0</v>
      </c>
      <c r="G15" s="138">
        <v>0</v>
      </c>
      <c r="H15" s="138">
        <v>0</v>
      </c>
      <c r="I15" s="138">
        <v>0</v>
      </c>
      <c r="J15" s="138">
        <v>0</v>
      </c>
      <c r="K15" s="138">
        <v>0</v>
      </c>
      <c r="L15" s="138">
        <v>0</v>
      </c>
      <c r="M15" s="138">
        <v>0</v>
      </c>
      <c r="N15" s="138">
        <v>0</v>
      </c>
      <c r="O15" s="138">
        <v>0</v>
      </c>
      <c r="P15" s="138">
        <v>0</v>
      </c>
      <c r="Q15" s="618">
        <f>AVERAGE(D15:P15)</f>
        <v>0</v>
      </c>
      <c r="R15" s="182"/>
      <c r="S15" s="167"/>
    </row>
    <row r="16" spans="1:19" ht="13.5" thickBot="1">
      <c r="A16" s="263">
        <f t="shared" si="0"/>
        <v>6</v>
      </c>
      <c r="B16" s="190" t="s">
        <v>664</v>
      </c>
      <c r="C16" s="693" t="str">
        <f>"Sum Lines "&amp;A11&amp;" - "&amp;A15</f>
        <v>Sum Lines 1 - 5</v>
      </c>
      <c r="D16" s="182">
        <f>SUM(D12:D15)</f>
        <v>4500000000</v>
      </c>
      <c r="E16" s="182">
        <f>SUM(E12:E15)</f>
        <v>4500000000</v>
      </c>
      <c r="F16" s="182">
        <f t="shared" ref="F16:P16" si="1">SUM(F12:F15)</f>
        <v>4500000000</v>
      </c>
      <c r="G16" s="182">
        <f t="shared" si="1"/>
        <v>4500000000</v>
      </c>
      <c r="H16" s="182">
        <f t="shared" si="1"/>
        <v>4500000000</v>
      </c>
      <c r="I16" s="182">
        <f t="shared" si="1"/>
        <v>4500000000</v>
      </c>
      <c r="J16" s="182">
        <f t="shared" si="1"/>
        <v>5150000000</v>
      </c>
      <c r="K16" s="182">
        <f t="shared" si="1"/>
        <v>5150000000</v>
      </c>
      <c r="L16" s="182">
        <f t="shared" si="1"/>
        <v>4850000000</v>
      </c>
      <c r="M16" s="182">
        <f t="shared" si="1"/>
        <v>4850000000</v>
      </c>
      <c r="N16" s="182">
        <f t="shared" si="1"/>
        <v>4850000000</v>
      </c>
      <c r="O16" s="182">
        <f t="shared" si="1"/>
        <v>4850000000</v>
      </c>
      <c r="P16" s="182">
        <f t="shared" si="1"/>
        <v>4850000000</v>
      </c>
      <c r="Q16" s="132">
        <f>SUM(Q12:Q15)</f>
        <v>4734615384.6153851</v>
      </c>
      <c r="R16" s="182"/>
      <c r="S16" s="294"/>
    </row>
    <row r="17" spans="1:19" ht="13.5" thickBot="1">
      <c r="A17" s="263">
        <f t="shared" si="0"/>
        <v>7</v>
      </c>
      <c r="B17" s="143"/>
      <c r="C17" s="143"/>
      <c r="D17" s="167"/>
      <c r="E17" s="167"/>
      <c r="F17" s="167"/>
      <c r="G17" s="167"/>
      <c r="H17" s="167"/>
      <c r="I17" s="167"/>
      <c r="J17" s="167"/>
      <c r="K17" s="167"/>
      <c r="L17" s="167"/>
      <c r="M17" s="167"/>
      <c r="N17" s="167"/>
      <c r="O17" s="167"/>
      <c r="P17" s="167"/>
      <c r="Q17" s="262"/>
      <c r="R17" s="167"/>
      <c r="S17" s="294"/>
    </row>
    <row r="18" spans="1:19" ht="13.5" thickBot="1">
      <c r="A18" s="263">
        <f t="shared" si="0"/>
        <v>8</v>
      </c>
      <c r="B18" s="190" t="s">
        <v>223</v>
      </c>
      <c r="C18" s="115" t="s">
        <v>666</v>
      </c>
      <c r="D18" s="279">
        <v>0</v>
      </c>
      <c r="E18" s="279"/>
      <c r="F18" s="279"/>
      <c r="G18" s="279"/>
      <c r="H18" s="279"/>
      <c r="I18" s="279"/>
      <c r="J18" s="279"/>
      <c r="K18" s="279"/>
      <c r="L18" s="279"/>
      <c r="M18" s="279"/>
      <c r="N18" s="279"/>
      <c r="O18" s="279"/>
      <c r="P18" s="619"/>
      <c r="Q18" s="132">
        <f>AVERAGE(D18:P18)</f>
        <v>0</v>
      </c>
      <c r="R18" s="182"/>
      <c r="S18" s="294"/>
    </row>
    <row r="19" spans="1:19">
      <c r="A19" s="263">
        <f t="shared" si="0"/>
        <v>9</v>
      </c>
      <c r="B19" s="143"/>
      <c r="C19" s="438"/>
      <c r="D19" s="167" t="s">
        <v>1580</v>
      </c>
      <c r="E19" s="167"/>
      <c r="F19" s="167"/>
      <c r="G19" s="167"/>
      <c r="H19" s="167"/>
      <c r="I19" s="167"/>
      <c r="J19" s="167"/>
      <c r="K19" s="167"/>
      <c r="L19" s="167"/>
      <c r="M19" s="167"/>
      <c r="N19" s="167"/>
      <c r="O19" s="167"/>
      <c r="P19" s="167"/>
      <c r="Q19" s="262"/>
      <c r="R19" s="167"/>
      <c r="S19" s="294"/>
    </row>
    <row r="20" spans="1:19">
      <c r="A20" s="263">
        <f t="shared" si="0"/>
        <v>10</v>
      </c>
      <c r="B20" s="143" t="s">
        <v>667</v>
      </c>
      <c r="C20" s="115" t="s">
        <v>668</v>
      </c>
      <c r="D20" s="816">
        <v>5774114474.1358995</v>
      </c>
      <c r="E20" s="816">
        <v>5828166474.1358995</v>
      </c>
      <c r="F20" s="816">
        <v>5819296474.1358995</v>
      </c>
      <c r="G20" s="816">
        <v>5768228199.1358995</v>
      </c>
      <c r="H20" s="816">
        <v>5798622199.1358995</v>
      </c>
      <c r="I20" s="816">
        <v>5826615199.1358995</v>
      </c>
      <c r="J20" s="816">
        <v>5784641924.1358995</v>
      </c>
      <c r="K20" s="816">
        <v>5847618924.1358995</v>
      </c>
      <c r="L20" s="816">
        <v>5911238924.1358995</v>
      </c>
      <c r="M20" s="816">
        <v>5900860649.1358995</v>
      </c>
      <c r="N20" s="816">
        <v>5984191649.1358995</v>
      </c>
      <c r="O20" s="816">
        <v>6018473649.1358995</v>
      </c>
      <c r="P20" s="816">
        <v>5976466374.1358995</v>
      </c>
      <c r="Q20" s="268">
        <f>AVERAGE(D20:P20)</f>
        <v>5864502701.0589771</v>
      </c>
      <c r="R20" s="182"/>
      <c r="S20" s="294"/>
    </row>
    <row r="21" spans="1:19">
      <c r="A21" s="263">
        <f t="shared" si="0"/>
        <v>11</v>
      </c>
      <c r="B21" s="181" t="s">
        <v>669</v>
      </c>
      <c r="C21" s="115" t="s">
        <v>666</v>
      </c>
      <c r="D21" s="816"/>
      <c r="E21" s="760"/>
      <c r="F21" s="760"/>
      <c r="G21" s="760"/>
      <c r="H21" s="760"/>
      <c r="I21" s="760"/>
      <c r="J21" s="760"/>
      <c r="K21" s="760"/>
      <c r="L21" s="760"/>
      <c r="M21" s="760"/>
      <c r="N21" s="760"/>
      <c r="O21" s="760"/>
      <c r="P21" s="760"/>
      <c r="Q21" s="268"/>
      <c r="R21" s="182"/>
      <c r="S21" s="294"/>
    </row>
    <row r="22" spans="1:19" ht="25.5">
      <c r="A22" s="263">
        <f t="shared" si="0"/>
        <v>12</v>
      </c>
      <c r="B22" s="702" t="s">
        <v>670</v>
      </c>
      <c r="C22" s="115" t="s">
        <v>671</v>
      </c>
      <c r="D22" s="816">
        <v>-21782458</v>
      </c>
      <c r="E22" s="816">
        <v>-21697508</v>
      </c>
      <c r="F22" s="816">
        <v>-21620778</v>
      </c>
      <c r="G22" s="816">
        <v>-21535828</v>
      </c>
      <c r="H22" s="816">
        <v>-21453618</v>
      </c>
      <c r="I22" s="816">
        <v>-21368668</v>
      </c>
      <c r="J22" s="816">
        <v>-21286458</v>
      </c>
      <c r="K22" s="816">
        <v>-21201507</v>
      </c>
      <c r="L22" s="816">
        <v>-21116557</v>
      </c>
      <c r="M22" s="816">
        <v>-21034347</v>
      </c>
      <c r="N22" s="816">
        <v>-20949397</v>
      </c>
      <c r="O22" s="816">
        <v>-20867187</v>
      </c>
      <c r="P22" s="816">
        <v>-20782237</v>
      </c>
      <c r="Q22" s="268">
        <f>AVERAGE(D22:P22)</f>
        <v>-21284349.846153848</v>
      </c>
      <c r="R22" s="182"/>
      <c r="S22" s="294"/>
    </row>
    <row r="23" spans="1:19" ht="26.25" thickBot="1">
      <c r="A23" s="538">
        <f t="shared" si="0"/>
        <v>13</v>
      </c>
      <c r="B23" s="702" t="s">
        <v>165</v>
      </c>
      <c r="C23" s="115" t="s">
        <v>190</v>
      </c>
      <c r="D23" s="876">
        <v>-4972626</v>
      </c>
      <c r="E23" s="876">
        <v>-4972626</v>
      </c>
      <c r="F23" s="876">
        <v>-4972626</v>
      </c>
      <c r="G23" s="876">
        <v>-4972626</v>
      </c>
      <c r="H23" s="876">
        <v>-4972626</v>
      </c>
      <c r="I23" s="876">
        <v>-4972626</v>
      </c>
      <c r="J23" s="876">
        <v>-4972626</v>
      </c>
      <c r="K23" s="876">
        <v>-4972626</v>
      </c>
      <c r="L23" s="876">
        <v>-4972626</v>
      </c>
      <c r="M23" s="876">
        <v>-4972626</v>
      </c>
      <c r="N23" s="876">
        <v>-4972626</v>
      </c>
      <c r="O23" s="876">
        <v>-4972626</v>
      </c>
      <c r="P23" s="876">
        <v>-4972626</v>
      </c>
      <c r="Q23" s="327">
        <f>AVERAGE(D23:P23)</f>
        <v>-4972626</v>
      </c>
      <c r="R23" s="457"/>
      <c r="S23" s="294"/>
    </row>
    <row r="24" spans="1:19" ht="13.5" thickBot="1">
      <c r="A24" s="263">
        <f t="shared" si="0"/>
        <v>14</v>
      </c>
      <c r="B24" s="143" t="str">
        <f>"Adjusted Common Equity"</f>
        <v>Adjusted Common Equity</v>
      </c>
      <c r="C24" s="693" t="str">
        <f>"Ln "&amp; A20&amp;" - "&amp;A21&amp;" - "&amp;A22&amp;" - "&amp;A23</f>
        <v>Ln 10 - 11 - 12 - 13</v>
      </c>
      <c r="D24" s="116">
        <f>D20-D21-D22-D23</f>
        <v>5800869558.1358995</v>
      </c>
      <c r="E24" s="116">
        <f t="shared" ref="E24:Q24" si="2">E20-E21-E22-E23</f>
        <v>5854836608.1358995</v>
      </c>
      <c r="F24" s="116">
        <f t="shared" si="2"/>
        <v>5845889878.1358995</v>
      </c>
      <c r="G24" s="116">
        <f t="shared" si="2"/>
        <v>5794736653.1358995</v>
      </c>
      <c r="H24" s="116">
        <f t="shared" si="2"/>
        <v>5825048443.1358995</v>
      </c>
      <c r="I24" s="116">
        <f t="shared" si="2"/>
        <v>5852956493.1358995</v>
      </c>
      <c r="J24" s="116">
        <f t="shared" si="2"/>
        <v>5810901008.1358995</v>
      </c>
      <c r="K24" s="116">
        <f t="shared" si="2"/>
        <v>5873793057.1358995</v>
      </c>
      <c r="L24" s="116">
        <f t="shared" si="2"/>
        <v>5937328107.1358995</v>
      </c>
      <c r="M24" s="116">
        <f t="shared" si="2"/>
        <v>5926867622.1358995</v>
      </c>
      <c r="N24" s="116">
        <f t="shared" si="2"/>
        <v>6010113672.1358995</v>
      </c>
      <c r="O24" s="116">
        <f t="shared" si="2"/>
        <v>6044313462.1358995</v>
      </c>
      <c r="P24" s="116">
        <f t="shared" si="2"/>
        <v>6002221237.1358995</v>
      </c>
      <c r="Q24" s="620">
        <f t="shared" si="2"/>
        <v>5890759676.9051313</v>
      </c>
      <c r="R24" s="116"/>
      <c r="S24" s="187"/>
    </row>
    <row r="25" spans="1:19">
      <c r="A25" s="263">
        <f t="shared" si="0"/>
        <v>15</v>
      </c>
      <c r="B25" s="143"/>
      <c r="C25" s="438"/>
      <c r="D25" s="116"/>
      <c r="E25" s="116"/>
      <c r="F25" s="116"/>
      <c r="G25" s="116"/>
      <c r="H25" s="116"/>
      <c r="I25" s="116"/>
      <c r="J25" s="116"/>
      <c r="K25" s="116"/>
      <c r="L25" s="116"/>
      <c r="M25" s="116"/>
      <c r="N25" s="116"/>
      <c r="O25" s="116"/>
      <c r="P25" s="116"/>
      <c r="Q25" s="298"/>
      <c r="R25" s="116"/>
      <c r="S25" s="167"/>
    </row>
    <row r="26" spans="1:19">
      <c r="A26" s="263">
        <f t="shared" si="0"/>
        <v>16</v>
      </c>
      <c r="B26" s="143" t="str">
        <f>"Total (Line "&amp;A16&amp;" plus Line "&amp;A18&amp;" plus Line "&amp;A24&amp;")"</f>
        <v>Total (Line 6 plus Line 8 plus Line 14)</v>
      </c>
      <c r="C26" s="143"/>
      <c r="D26" s="116">
        <f>D16+D18+D24</f>
        <v>10300869558.135899</v>
      </c>
      <c r="E26" s="116">
        <f t="shared" ref="E26:Q26" si="3">E16+E18+E24</f>
        <v>10354836608.135899</v>
      </c>
      <c r="F26" s="116">
        <f t="shared" si="3"/>
        <v>10345889878.135899</v>
      </c>
      <c r="G26" s="116">
        <f t="shared" si="3"/>
        <v>10294736653.135899</v>
      </c>
      <c r="H26" s="116">
        <f t="shared" si="3"/>
        <v>10325048443.135899</v>
      </c>
      <c r="I26" s="116">
        <f t="shared" si="3"/>
        <v>10352956493.135899</v>
      </c>
      <c r="J26" s="116">
        <f t="shared" si="3"/>
        <v>10960901008.135899</v>
      </c>
      <c r="K26" s="116">
        <f t="shared" si="3"/>
        <v>11023793057.135899</v>
      </c>
      <c r="L26" s="116">
        <f t="shared" si="3"/>
        <v>10787328107.135899</v>
      </c>
      <c r="M26" s="116">
        <f t="shared" si="3"/>
        <v>10776867622.135899</v>
      </c>
      <c r="N26" s="116">
        <f t="shared" si="3"/>
        <v>10860113672.135899</v>
      </c>
      <c r="O26" s="116">
        <f t="shared" si="3"/>
        <v>10894313462.135899</v>
      </c>
      <c r="P26" s="116">
        <f t="shared" si="3"/>
        <v>10852221237.135899</v>
      </c>
      <c r="Q26" s="298">
        <f t="shared" si="3"/>
        <v>10625375061.520515</v>
      </c>
      <c r="R26" s="116"/>
      <c r="S26" s="167"/>
    </row>
    <row r="27" spans="1:19">
      <c r="A27" s="263">
        <f t="shared" si="0"/>
        <v>17</v>
      </c>
      <c r="B27" s="143"/>
      <c r="C27" s="438"/>
      <c r="D27" s="295"/>
      <c r="E27" s="167"/>
      <c r="F27" s="167"/>
      <c r="G27" s="167"/>
      <c r="H27" s="167"/>
      <c r="I27" s="167"/>
      <c r="J27" s="167"/>
      <c r="K27" s="167"/>
      <c r="L27" s="167"/>
      <c r="M27" s="167"/>
      <c r="N27" s="167"/>
      <c r="O27" s="167"/>
      <c r="P27" s="167"/>
      <c r="Q27" s="262"/>
      <c r="R27" s="167"/>
      <c r="S27" s="167"/>
    </row>
    <row r="28" spans="1:19">
      <c r="A28" s="263">
        <f t="shared" si="0"/>
        <v>18</v>
      </c>
      <c r="B28" s="314" t="s">
        <v>673</v>
      </c>
      <c r="C28" s="438"/>
      <c r="D28" s="295"/>
      <c r="E28" s="179"/>
      <c r="F28" s="179"/>
      <c r="G28" s="179"/>
      <c r="H28" s="179"/>
      <c r="I28" s="179"/>
      <c r="J28" s="179"/>
      <c r="K28" s="179"/>
      <c r="L28" s="179"/>
      <c r="M28" s="179"/>
      <c r="N28" s="179"/>
      <c r="O28" s="179"/>
      <c r="P28" s="179"/>
      <c r="Q28" s="299"/>
      <c r="R28" s="179"/>
      <c r="S28" s="167"/>
    </row>
    <row r="29" spans="1:19">
      <c r="A29" s="263">
        <f t="shared" si="0"/>
        <v>19</v>
      </c>
      <c r="B29" s="702" t="s">
        <v>1038</v>
      </c>
      <c r="C29" s="693" t="s">
        <v>675</v>
      </c>
      <c r="D29" s="301"/>
      <c r="E29" s="167"/>
      <c r="F29" s="295"/>
      <c r="G29" s="295"/>
      <c r="H29" s="295"/>
      <c r="I29" s="295"/>
      <c r="J29" s="295"/>
      <c r="K29" s="295"/>
      <c r="L29" s="295"/>
      <c r="M29" s="295"/>
      <c r="N29" s="295"/>
      <c r="O29" s="295"/>
      <c r="P29" s="761">
        <v>203241664.05000001</v>
      </c>
      <c r="Q29" s="262"/>
    </row>
    <row r="30" spans="1:19" ht="25.5">
      <c r="A30" s="263">
        <f t="shared" si="0"/>
        <v>20</v>
      </c>
      <c r="B30" s="702" t="s">
        <v>1039</v>
      </c>
      <c r="C30" s="115" t="s">
        <v>677</v>
      </c>
      <c r="D30" s="201"/>
      <c r="E30" s="167"/>
      <c r="F30" s="295"/>
      <c r="G30" s="295"/>
      <c r="H30" s="295"/>
      <c r="I30" s="295"/>
      <c r="J30" s="295"/>
      <c r="K30" s="295"/>
      <c r="L30" s="295"/>
      <c r="M30" s="295"/>
      <c r="N30" s="295"/>
      <c r="O30" s="295"/>
      <c r="P30" s="613">
        <v>3761693.2199999997</v>
      </c>
      <c r="Q30" s="262"/>
      <c r="R30" s="167"/>
    </row>
    <row r="31" spans="1:19" ht="25.5">
      <c r="A31" s="263">
        <f t="shared" si="0"/>
        <v>21</v>
      </c>
      <c r="B31" s="702" t="s">
        <v>1040</v>
      </c>
      <c r="C31" s="115" t="s">
        <v>679</v>
      </c>
      <c r="D31" s="201"/>
      <c r="E31" s="167"/>
      <c r="F31" s="295"/>
      <c r="G31" s="295"/>
      <c r="H31" s="295"/>
      <c r="I31" s="295"/>
      <c r="J31" s="295"/>
      <c r="K31" s="295"/>
      <c r="L31" s="295"/>
      <c r="M31" s="295"/>
      <c r="N31" s="295"/>
      <c r="O31" s="295"/>
      <c r="P31" s="761">
        <v>1203258.73</v>
      </c>
      <c r="Q31" s="262"/>
      <c r="R31" s="167"/>
    </row>
    <row r="32" spans="1:19" ht="25.5">
      <c r="A32" s="263">
        <f t="shared" si="0"/>
        <v>22</v>
      </c>
      <c r="B32" s="470" t="s">
        <v>1041</v>
      </c>
      <c r="C32" s="693" t="s">
        <v>164</v>
      </c>
      <c r="D32" s="301"/>
      <c r="E32" s="167"/>
      <c r="F32" s="295"/>
      <c r="G32" s="295"/>
      <c r="H32" s="295"/>
      <c r="I32" s="295"/>
      <c r="J32" s="295"/>
      <c r="K32" s="295"/>
      <c r="L32" s="295"/>
      <c r="M32" s="295"/>
      <c r="N32" s="295"/>
      <c r="O32" s="295"/>
      <c r="P32" s="761"/>
      <c r="Q32" s="262"/>
    </row>
    <row r="33" spans="1:18" ht="25.5">
      <c r="A33" s="263">
        <f t="shared" si="0"/>
        <v>23</v>
      </c>
      <c r="B33" s="703" t="s">
        <v>1042</v>
      </c>
      <c r="C33" s="190" t="s">
        <v>1044</v>
      </c>
      <c r="D33" s="201"/>
      <c r="E33" s="167"/>
      <c r="F33" s="295"/>
      <c r="G33" s="295"/>
      <c r="H33" s="295"/>
      <c r="I33" s="295"/>
      <c r="J33" s="295"/>
      <c r="K33" s="295"/>
      <c r="L33" s="295"/>
      <c r="M33" s="295"/>
      <c r="N33" s="295"/>
      <c r="O33" s="295"/>
      <c r="P33" s="720"/>
      <c r="Q33" s="262"/>
      <c r="R33" s="167"/>
    </row>
    <row r="34" spans="1:18" ht="25.5">
      <c r="A34" s="263">
        <f t="shared" si="0"/>
        <v>24</v>
      </c>
      <c r="B34" s="703" t="s">
        <v>1043</v>
      </c>
      <c r="C34" s="190" t="s">
        <v>1045</v>
      </c>
      <c r="D34" s="201"/>
      <c r="E34" s="167"/>
      <c r="F34" s="295"/>
      <c r="G34" s="295"/>
      <c r="H34" s="295"/>
      <c r="I34" s="295"/>
      <c r="J34" s="295"/>
      <c r="K34" s="295"/>
      <c r="L34" s="295"/>
      <c r="M34" s="295"/>
      <c r="N34" s="295"/>
      <c r="O34" s="295"/>
      <c r="P34" s="721"/>
      <c r="Q34" s="262"/>
      <c r="R34" s="167"/>
    </row>
    <row r="35" spans="1:18">
      <c r="A35" s="263">
        <f>A34+1</f>
        <v>25</v>
      </c>
      <c r="B35" s="702" t="s">
        <v>682</v>
      </c>
      <c r="C35" s="693" t="str">
        <f>"Sum Lines "&amp;A29&amp;" - "&amp;A34</f>
        <v>Sum Lines 19 - 24</v>
      </c>
      <c r="D35" s="295"/>
      <c r="E35" s="167"/>
      <c r="F35" s="295"/>
      <c r="G35" s="295"/>
      <c r="H35" s="295"/>
      <c r="I35" s="295"/>
      <c r="J35" s="295"/>
      <c r="K35" s="295"/>
      <c r="L35" s="295"/>
      <c r="M35" s="295"/>
      <c r="N35" s="295"/>
      <c r="O35" s="295"/>
      <c r="P35" s="302">
        <f>SUM(P29:P34)</f>
        <v>208206616</v>
      </c>
      <c r="Q35" s="262"/>
      <c r="R35" s="167"/>
    </row>
    <row r="36" spans="1:18" ht="13.5" thickBot="1">
      <c r="A36" s="263">
        <f t="shared" si="0"/>
        <v>26</v>
      </c>
      <c r="B36" s="704"/>
      <c r="C36" s="438"/>
      <c r="D36" s="295"/>
      <c r="E36" s="295"/>
      <c r="F36" s="295"/>
      <c r="G36" s="295"/>
      <c r="H36" s="295"/>
      <c r="I36" s="295"/>
      <c r="J36" s="295"/>
      <c r="K36" s="295"/>
      <c r="L36" s="295"/>
      <c r="M36" s="295"/>
      <c r="N36" s="295"/>
      <c r="O36" s="295"/>
      <c r="P36" s="295"/>
      <c r="Q36" s="262"/>
      <c r="R36" s="167"/>
    </row>
    <row r="37" spans="1:18" ht="13.5" thickBot="1">
      <c r="A37" s="263">
        <f t="shared" si="0"/>
        <v>27</v>
      </c>
      <c r="B37" s="704" t="str">
        <f>"Average Cost of Debt (Line "&amp;A35&amp;" / Line "&amp;A16&amp;")"</f>
        <v>Average Cost of Debt (Line 25 / Line 6)</v>
      </c>
      <c r="C37" s="143"/>
      <c r="D37" s="167"/>
      <c r="E37" s="167"/>
      <c r="F37" s="167"/>
      <c r="G37" s="167"/>
      <c r="H37" s="167"/>
      <c r="I37" s="167"/>
      <c r="J37" s="167"/>
      <c r="K37" s="167"/>
      <c r="L37" s="167"/>
      <c r="M37" s="167"/>
      <c r="N37" s="167"/>
      <c r="O37" s="167"/>
      <c r="P37" s="621">
        <f>IF(P35=0,0,P35/Q16)</f>
        <v>4.3975402242079603E-2</v>
      </c>
      <c r="Q37" s="262"/>
      <c r="R37" s="167"/>
    </row>
    <row r="38" spans="1:18">
      <c r="A38" s="263">
        <f t="shared" si="0"/>
        <v>28</v>
      </c>
      <c r="B38" s="704"/>
      <c r="C38" s="143"/>
      <c r="D38" s="167"/>
      <c r="E38" s="167"/>
      <c r="F38" s="167"/>
      <c r="G38" s="167"/>
      <c r="H38" s="167"/>
      <c r="I38" s="167"/>
      <c r="J38" s="167"/>
      <c r="K38" s="167"/>
      <c r="L38" s="167"/>
      <c r="M38" s="167"/>
      <c r="N38" s="167"/>
      <c r="O38" s="167"/>
      <c r="P38" s="294"/>
      <c r="Q38" s="262"/>
      <c r="R38" s="167"/>
    </row>
    <row r="39" spans="1:18">
      <c r="A39" s="263">
        <f t="shared" si="0"/>
        <v>29</v>
      </c>
      <c r="B39" s="314" t="s">
        <v>683</v>
      </c>
      <c r="C39" s="143"/>
      <c r="D39" s="167"/>
      <c r="E39" s="167"/>
      <c r="F39" s="167"/>
      <c r="G39" s="167"/>
      <c r="H39" s="167"/>
      <c r="I39" s="167"/>
      <c r="J39" s="167"/>
      <c r="K39" s="167"/>
      <c r="L39" s="167"/>
      <c r="M39" s="167"/>
      <c r="N39" s="167"/>
      <c r="O39" s="167"/>
      <c r="P39" s="294"/>
      <c r="Q39" s="262"/>
      <c r="R39" s="167"/>
    </row>
    <row r="40" spans="1:18">
      <c r="A40" s="263">
        <f t="shared" si="0"/>
        <v>30</v>
      </c>
      <c r="B40" s="300" t="s">
        <v>684</v>
      </c>
      <c r="C40" s="115" t="s">
        <v>685</v>
      </c>
      <c r="D40" s="167"/>
      <c r="E40" s="167"/>
      <c r="F40" s="167"/>
      <c r="G40" s="167"/>
      <c r="H40" s="167"/>
      <c r="I40" s="167"/>
      <c r="J40" s="167"/>
      <c r="K40" s="167"/>
      <c r="L40" s="167"/>
      <c r="M40" s="167"/>
      <c r="N40" s="167"/>
      <c r="O40" s="167"/>
      <c r="P40" s="762">
        <v>0</v>
      </c>
      <c r="Q40" s="262"/>
      <c r="R40" s="167"/>
    </row>
    <row r="41" spans="1:18">
      <c r="A41" s="263">
        <f t="shared" si="0"/>
        <v>31</v>
      </c>
      <c r="B41" s="300"/>
      <c r="C41" s="143"/>
      <c r="D41" s="167"/>
      <c r="E41" s="167"/>
      <c r="F41" s="167"/>
      <c r="G41" s="167"/>
      <c r="H41" s="167"/>
      <c r="I41" s="167"/>
      <c r="J41" s="167"/>
      <c r="K41" s="167"/>
      <c r="L41" s="167"/>
      <c r="M41" s="167"/>
      <c r="N41" s="167"/>
      <c r="O41" s="167"/>
      <c r="P41" s="294"/>
      <c r="Q41" s="262"/>
      <c r="R41" s="167"/>
    </row>
    <row r="42" spans="1:18">
      <c r="A42" s="263">
        <f t="shared" si="0"/>
        <v>32</v>
      </c>
      <c r="B42" s="300" t="str">
        <f>"Average Cost of Preferred Stock (Line "&amp;A40&amp;" / Line "&amp;A18&amp;")"</f>
        <v>Average Cost of Preferred Stock (Line 30 / Line 8)</v>
      </c>
      <c r="C42" s="143"/>
      <c r="D42" s="167"/>
      <c r="E42" s="167"/>
      <c r="F42" s="167"/>
      <c r="G42" s="167"/>
      <c r="H42" s="167"/>
      <c r="I42" s="167"/>
      <c r="J42" s="167"/>
      <c r="K42" s="167"/>
      <c r="L42" s="167"/>
      <c r="M42" s="167"/>
      <c r="N42" s="167"/>
      <c r="O42" s="167"/>
      <c r="P42" s="294">
        <f>IF(P40=0,0,ROUND(P40/Q18,4))</f>
        <v>0</v>
      </c>
      <c r="Q42" s="262"/>
      <c r="R42" s="167"/>
    </row>
    <row r="43" spans="1:18">
      <c r="A43" s="263"/>
      <c r="B43" s="300"/>
      <c r="C43" s="167"/>
      <c r="D43" s="167"/>
      <c r="E43" s="167"/>
      <c r="F43" s="167"/>
      <c r="G43" s="167"/>
      <c r="H43" s="167"/>
      <c r="I43" s="167"/>
      <c r="J43" s="167"/>
      <c r="K43" s="167"/>
      <c r="L43" s="167"/>
      <c r="M43" s="167"/>
      <c r="N43" s="167"/>
      <c r="O43" s="167"/>
      <c r="P43" s="294"/>
      <c r="Q43" s="262"/>
      <c r="R43" s="167"/>
    </row>
    <row r="44" spans="1:18">
      <c r="A44" s="263"/>
      <c r="B44" s="1221" t="s">
        <v>118</v>
      </c>
      <c r="C44" s="1221"/>
      <c r="D44" s="1221"/>
      <c r="E44" s="1221"/>
      <c r="F44" s="1221"/>
      <c r="G44" s="1221"/>
      <c r="H44" s="167"/>
      <c r="I44" s="167"/>
      <c r="J44" s="167"/>
      <c r="K44" s="167"/>
      <c r="L44" s="167"/>
      <c r="M44" s="167"/>
      <c r="N44" s="167"/>
      <c r="O44" s="167"/>
      <c r="P44" s="294"/>
      <c r="Q44" s="262"/>
      <c r="R44" s="167"/>
    </row>
    <row r="45" spans="1:18">
      <c r="A45" s="263"/>
      <c r="B45" s="444" t="s">
        <v>1232</v>
      </c>
      <c r="C45" s="167"/>
      <c r="D45" s="167"/>
      <c r="E45" s="167"/>
      <c r="F45" s="167"/>
      <c r="G45" s="167"/>
      <c r="H45" s="167"/>
      <c r="I45" s="167"/>
      <c r="J45" s="167"/>
      <c r="K45" s="167"/>
      <c r="L45" s="167"/>
      <c r="M45" s="167"/>
      <c r="N45" s="167"/>
      <c r="O45" s="167"/>
      <c r="P45" s="294"/>
      <c r="Q45" s="262"/>
      <c r="R45" s="167"/>
    </row>
    <row r="46" spans="1:18" ht="13.5" thickBot="1">
      <c r="A46" s="274"/>
      <c r="B46" s="275"/>
      <c r="C46" s="275"/>
      <c r="D46" s="275"/>
      <c r="E46" s="275"/>
      <c r="F46" s="275"/>
      <c r="G46" s="275"/>
      <c r="H46" s="275"/>
      <c r="I46" s="275"/>
      <c r="J46" s="275"/>
      <c r="K46" s="275"/>
      <c r="L46" s="275"/>
      <c r="M46" s="275"/>
      <c r="N46" s="275"/>
      <c r="O46" s="275"/>
      <c r="P46" s="275"/>
      <c r="Q46" s="276"/>
      <c r="R46" s="167"/>
    </row>
    <row r="51" spans="1:18" ht="13.5" thickBot="1"/>
    <row r="52" spans="1:18">
      <c r="A52" s="239" t="s">
        <v>1071</v>
      </c>
      <c r="B52" s="282"/>
      <c r="C52" s="282"/>
      <c r="D52" s="282"/>
      <c r="E52" s="282"/>
      <c r="F52" s="282"/>
      <c r="G52" s="282"/>
      <c r="H52" s="282"/>
      <c r="I52" s="282"/>
      <c r="J52" s="282"/>
      <c r="K52" s="282"/>
      <c r="L52" s="282"/>
      <c r="M52" s="282"/>
      <c r="N52" s="282"/>
      <c r="O52" s="282"/>
      <c r="P52" s="282"/>
      <c r="Q52" s="291"/>
      <c r="R52" s="201"/>
    </row>
    <row r="53" spans="1:18">
      <c r="A53" s="263"/>
      <c r="B53" s="201"/>
      <c r="C53" s="284" t="s">
        <v>1313</v>
      </c>
      <c r="D53" s="201"/>
      <c r="E53" s="201"/>
      <c r="F53" s="201"/>
      <c r="G53" s="201"/>
      <c r="H53" s="201"/>
      <c r="I53" s="201"/>
      <c r="J53" s="201"/>
      <c r="K53" s="201"/>
      <c r="L53" s="201"/>
      <c r="M53" s="201"/>
      <c r="N53" s="201"/>
      <c r="O53" s="201"/>
      <c r="P53" s="201"/>
      <c r="Q53" s="292"/>
      <c r="R53" s="201"/>
    </row>
    <row r="54" spans="1:18">
      <c r="A54" s="242" t="s">
        <v>868</v>
      </c>
      <c r="B54" s="1" t="s">
        <v>917</v>
      </c>
      <c r="C54" s="277" t="s">
        <v>870</v>
      </c>
      <c r="D54" s="277" t="s">
        <v>914</v>
      </c>
      <c r="E54" s="277" t="s">
        <v>956</v>
      </c>
      <c r="F54" s="277" t="s">
        <v>904</v>
      </c>
      <c r="G54" s="277" t="s">
        <v>905</v>
      </c>
      <c r="H54" s="277" t="s">
        <v>906</v>
      </c>
      <c r="I54" s="277" t="s">
        <v>907</v>
      </c>
      <c r="J54" s="277" t="s">
        <v>908</v>
      </c>
      <c r="K54" s="277" t="s">
        <v>909</v>
      </c>
      <c r="L54" s="277" t="s">
        <v>910</v>
      </c>
      <c r="M54" s="277" t="s">
        <v>911</v>
      </c>
      <c r="N54" s="277" t="s">
        <v>912</v>
      </c>
      <c r="O54" s="277" t="s">
        <v>913</v>
      </c>
      <c r="P54" s="277" t="s">
        <v>914</v>
      </c>
      <c r="Q54" s="293" t="s">
        <v>658</v>
      </c>
      <c r="R54" s="284"/>
    </row>
    <row r="55" spans="1:18">
      <c r="A55" s="261"/>
      <c r="B55" s="167"/>
      <c r="C55" s="167"/>
      <c r="D55" s="115" t="s">
        <v>363</v>
      </c>
      <c r="E55" s="115" t="s">
        <v>362</v>
      </c>
      <c r="F55" s="115" t="s">
        <v>364</v>
      </c>
      <c r="G55" s="115" t="s">
        <v>365</v>
      </c>
      <c r="H55" s="115" t="s">
        <v>366</v>
      </c>
      <c r="I55" s="115" t="s">
        <v>367</v>
      </c>
      <c r="J55" s="115" t="s">
        <v>368</v>
      </c>
      <c r="K55" s="115" t="s">
        <v>369</v>
      </c>
      <c r="L55" s="115" t="s">
        <v>370</v>
      </c>
      <c r="M55" s="115" t="s">
        <v>371</v>
      </c>
      <c r="N55" s="115" t="s">
        <v>372</v>
      </c>
      <c r="O55" s="115" t="s">
        <v>373</v>
      </c>
      <c r="P55" s="115" t="s">
        <v>374</v>
      </c>
      <c r="Q55" s="692" t="s">
        <v>375</v>
      </c>
      <c r="R55" s="167"/>
    </row>
    <row r="56" spans="1:18">
      <c r="A56" s="263">
        <v>1</v>
      </c>
      <c r="B56" s="143" t="s">
        <v>659</v>
      </c>
      <c r="C56" s="167"/>
      <c r="D56" s="167"/>
      <c r="E56" s="167"/>
      <c r="F56" s="167"/>
      <c r="G56" s="167"/>
      <c r="H56" s="167"/>
      <c r="I56" s="167"/>
      <c r="J56" s="167"/>
      <c r="K56" s="167"/>
      <c r="L56" s="167"/>
      <c r="M56" s="167"/>
      <c r="N56" s="167"/>
      <c r="O56" s="167"/>
      <c r="P56" s="167"/>
      <c r="Q56" s="262"/>
      <c r="R56" s="167"/>
    </row>
    <row r="57" spans="1:18">
      <c r="A57" s="263">
        <f t="shared" ref="A57:A87" si="4">A56+1</f>
        <v>2</v>
      </c>
      <c r="B57" s="181" t="s">
        <v>660</v>
      </c>
      <c r="C57" s="115" t="s">
        <v>661</v>
      </c>
      <c r="D57" s="982"/>
      <c r="E57" s="982"/>
      <c r="F57" s="982"/>
      <c r="G57" s="982"/>
      <c r="H57" s="982"/>
      <c r="I57" s="982"/>
      <c r="J57" s="982"/>
      <c r="K57" s="982"/>
      <c r="L57" s="982"/>
      <c r="M57" s="982"/>
      <c r="N57" s="982"/>
      <c r="O57" s="982"/>
      <c r="P57" s="982"/>
      <c r="Q57" s="268">
        <f>IF(P57=0,0,AVERAGE(D57:P57))</f>
        <v>0</v>
      </c>
      <c r="R57" s="182"/>
    </row>
    <row r="58" spans="1:18">
      <c r="A58" s="263">
        <f t="shared" si="4"/>
        <v>3</v>
      </c>
      <c r="B58" s="181" t="s">
        <v>1034</v>
      </c>
      <c r="C58" s="115" t="s">
        <v>1036</v>
      </c>
      <c r="D58" s="137"/>
      <c r="E58" s="137"/>
      <c r="F58" s="137"/>
      <c r="G58" s="137"/>
      <c r="H58" s="137"/>
      <c r="I58" s="137"/>
      <c r="J58" s="137"/>
      <c r="K58" s="137"/>
      <c r="L58" s="137"/>
      <c r="M58" s="137"/>
      <c r="N58" s="137"/>
      <c r="O58" s="137"/>
      <c r="P58" s="137"/>
      <c r="Q58" s="268"/>
      <c r="R58" s="182"/>
    </row>
    <row r="59" spans="1:18">
      <c r="A59" s="263">
        <f t="shared" si="4"/>
        <v>4</v>
      </c>
      <c r="B59" s="181" t="s">
        <v>662</v>
      </c>
      <c r="C59" s="115" t="s">
        <v>663</v>
      </c>
      <c r="D59" s="137"/>
      <c r="E59" s="137"/>
      <c r="F59" s="137"/>
      <c r="G59" s="137"/>
      <c r="H59" s="137"/>
      <c r="I59" s="137"/>
      <c r="J59" s="137"/>
      <c r="K59" s="137"/>
      <c r="L59" s="137"/>
      <c r="M59" s="137"/>
      <c r="N59" s="137"/>
      <c r="O59" s="137"/>
      <c r="P59" s="137"/>
      <c r="Q59" s="268">
        <f>IF(P59=0,0,AVERAGE(D59:P59))</f>
        <v>0</v>
      </c>
      <c r="R59" s="182"/>
    </row>
    <row r="60" spans="1:18" ht="13.5" thickBot="1">
      <c r="A60" s="263">
        <f t="shared" si="4"/>
        <v>5</v>
      </c>
      <c r="B60" s="701" t="s">
        <v>1035</v>
      </c>
      <c r="C60" s="115" t="s">
        <v>1037</v>
      </c>
      <c r="D60" s="138"/>
      <c r="E60" s="138"/>
      <c r="F60" s="138"/>
      <c r="G60" s="138"/>
      <c r="H60" s="138"/>
      <c r="I60" s="138"/>
      <c r="J60" s="138"/>
      <c r="K60" s="138"/>
      <c r="L60" s="138"/>
      <c r="M60" s="138"/>
      <c r="N60" s="138"/>
      <c r="O60" s="138"/>
      <c r="P60" s="138"/>
      <c r="Q60" s="268"/>
      <c r="R60" s="182"/>
    </row>
    <row r="61" spans="1:18" ht="13.5" thickBot="1">
      <c r="A61" s="263">
        <f t="shared" si="4"/>
        <v>6</v>
      </c>
      <c r="B61" s="190" t="s">
        <v>664</v>
      </c>
      <c r="C61" s="693" t="str">
        <f>"Sum Lines "&amp;A56&amp;" - "&amp;A60</f>
        <v>Sum Lines 1 - 5</v>
      </c>
      <c r="D61" s="182">
        <f>SUM(D57:D60)</f>
        <v>0</v>
      </c>
      <c r="E61" s="182">
        <f t="shared" ref="E61:Q61" si="5">SUM(E57:E59)</f>
        <v>0</v>
      </c>
      <c r="F61" s="182">
        <f t="shared" si="5"/>
        <v>0</v>
      </c>
      <c r="G61" s="182">
        <f t="shared" si="5"/>
        <v>0</v>
      </c>
      <c r="H61" s="182">
        <f t="shared" si="5"/>
        <v>0</v>
      </c>
      <c r="I61" s="182">
        <f t="shared" si="5"/>
        <v>0</v>
      </c>
      <c r="J61" s="182">
        <f t="shared" si="5"/>
        <v>0</v>
      </c>
      <c r="K61" s="182">
        <f t="shared" si="5"/>
        <v>0</v>
      </c>
      <c r="L61" s="182">
        <f t="shared" si="5"/>
        <v>0</v>
      </c>
      <c r="M61" s="182">
        <f t="shared" si="5"/>
        <v>0</v>
      </c>
      <c r="N61" s="182">
        <f t="shared" si="5"/>
        <v>0</v>
      </c>
      <c r="O61" s="182">
        <f t="shared" si="5"/>
        <v>0</v>
      </c>
      <c r="P61" s="182">
        <f t="shared" si="5"/>
        <v>0</v>
      </c>
      <c r="Q61" s="132">
        <f t="shared" si="5"/>
        <v>0</v>
      </c>
      <c r="R61" s="182"/>
    </row>
    <row r="62" spans="1:18" ht="13.5" thickBot="1">
      <c r="A62" s="263">
        <f t="shared" si="4"/>
        <v>7</v>
      </c>
      <c r="B62" s="143"/>
      <c r="C62" s="143"/>
      <c r="D62" s="167"/>
      <c r="E62" s="167"/>
      <c r="F62" s="167"/>
      <c r="G62" s="167"/>
      <c r="H62" s="167"/>
      <c r="I62" s="167"/>
      <c r="J62" s="167"/>
      <c r="K62" s="167"/>
      <c r="L62" s="167"/>
      <c r="M62" s="167"/>
      <c r="N62" s="167"/>
      <c r="O62" s="167"/>
      <c r="P62" s="167"/>
      <c r="Q62" s="262"/>
      <c r="R62" s="167"/>
    </row>
    <row r="63" spans="1:18" ht="13.5" thickBot="1">
      <c r="A63" s="263">
        <f t="shared" si="4"/>
        <v>8</v>
      </c>
      <c r="B63" s="190" t="s">
        <v>223</v>
      </c>
      <c r="C63" s="115" t="s">
        <v>666</v>
      </c>
      <c r="D63" s="279"/>
      <c r="E63" s="279"/>
      <c r="F63" s="279"/>
      <c r="G63" s="279"/>
      <c r="H63" s="279"/>
      <c r="I63" s="279"/>
      <c r="J63" s="279"/>
      <c r="K63" s="279"/>
      <c r="L63" s="279"/>
      <c r="M63" s="279"/>
      <c r="N63" s="279"/>
      <c r="O63" s="279"/>
      <c r="P63" s="619"/>
      <c r="Q63" s="132">
        <f>IF(P63=0,0,AVERAGE(D63:P63))</f>
        <v>0</v>
      </c>
      <c r="R63" s="182"/>
    </row>
    <row r="64" spans="1:18">
      <c r="A64" s="263">
        <f t="shared" si="4"/>
        <v>9</v>
      </c>
      <c r="B64" s="143"/>
      <c r="C64" s="438"/>
      <c r="D64" s="295"/>
      <c r="E64" s="295"/>
      <c r="F64" s="295"/>
      <c r="G64" s="295"/>
      <c r="H64" s="295"/>
      <c r="I64" s="295"/>
      <c r="J64" s="295"/>
      <c r="K64" s="295"/>
      <c r="L64" s="295"/>
      <c r="M64" s="295"/>
      <c r="N64" s="295"/>
      <c r="O64" s="295"/>
      <c r="P64" s="295"/>
      <c r="Q64" s="303"/>
      <c r="R64" s="295"/>
    </row>
    <row r="65" spans="1:18">
      <c r="A65" s="263">
        <f t="shared" si="4"/>
        <v>10</v>
      </c>
      <c r="B65" s="143" t="s">
        <v>667</v>
      </c>
      <c r="C65" s="115" t="s">
        <v>668</v>
      </c>
      <c r="D65" s="137"/>
      <c r="E65" s="296"/>
      <c r="F65" s="296"/>
      <c r="G65" s="296"/>
      <c r="H65" s="296"/>
      <c r="I65" s="296"/>
      <c r="J65" s="296"/>
      <c r="K65" s="296"/>
      <c r="L65" s="296"/>
      <c r="M65" s="296"/>
      <c r="N65" s="296"/>
      <c r="O65" s="296"/>
      <c r="P65" s="296"/>
      <c r="Q65" s="268">
        <f>IF(P65=0,0,AVERAGE(D65:P65))</f>
        <v>0</v>
      </c>
      <c r="R65" s="182"/>
    </row>
    <row r="66" spans="1:18">
      <c r="A66" s="263">
        <f t="shared" si="4"/>
        <v>11</v>
      </c>
      <c r="B66" s="181" t="s">
        <v>669</v>
      </c>
      <c r="C66" s="115" t="s">
        <v>666</v>
      </c>
      <c r="D66" s="137"/>
      <c r="E66" s="296"/>
      <c r="F66" s="296"/>
      <c r="G66" s="296"/>
      <c r="H66" s="296"/>
      <c r="I66" s="296"/>
      <c r="J66" s="296"/>
      <c r="K66" s="296"/>
      <c r="L66" s="296"/>
      <c r="M66" s="296"/>
      <c r="N66" s="296"/>
      <c r="O66" s="296"/>
      <c r="P66" s="296"/>
      <c r="Q66" s="268">
        <f>IF(P66=0,0,AVERAGE(D66:P66))</f>
        <v>0</v>
      </c>
      <c r="R66" s="182"/>
    </row>
    <row r="67" spans="1:18">
      <c r="A67" s="263">
        <f t="shared" si="4"/>
        <v>12</v>
      </c>
      <c r="B67" s="181" t="s">
        <v>670</v>
      </c>
      <c r="C67" s="115" t="s">
        <v>671</v>
      </c>
      <c r="D67" s="137"/>
      <c r="E67" s="296"/>
      <c r="F67" s="296"/>
      <c r="G67" s="296"/>
      <c r="H67" s="296"/>
      <c r="I67" s="296"/>
      <c r="J67" s="296"/>
      <c r="K67" s="296"/>
      <c r="L67" s="296"/>
      <c r="M67" s="296"/>
      <c r="N67" s="296"/>
      <c r="O67" s="296"/>
      <c r="P67" s="296"/>
      <c r="Q67" s="268">
        <f>IF(P67=0,0,AVERAGE(D67:P67))</f>
        <v>0</v>
      </c>
      <c r="R67" s="182"/>
    </row>
    <row r="68" spans="1:18" ht="26.25" thickBot="1">
      <c r="A68" s="538">
        <f t="shared" si="4"/>
        <v>13</v>
      </c>
      <c r="B68" s="470" t="s">
        <v>165</v>
      </c>
      <c r="C68" s="115" t="s">
        <v>190</v>
      </c>
      <c r="D68" s="138"/>
      <c r="E68" s="297"/>
      <c r="F68" s="297"/>
      <c r="G68" s="297"/>
      <c r="H68" s="297"/>
      <c r="I68" s="297"/>
      <c r="J68" s="297"/>
      <c r="K68" s="297"/>
      <c r="L68" s="297"/>
      <c r="M68" s="297"/>
      <c r="N68" s="297"/>
      <c r="O68" s="297"/>
      <c r="P68" s="297"/>
      <c r="Q68" s="618">
        <f>IF(P68=0,0,AVERAGE(D68:P68))</f>
        <v>0</v>
      </c>
      <c r="R68" s="182"/>
    </row>
    <row r="69" spans="1:18" ht="13.5" thickBot="1">
      <c r="A69" s="263">
        <f t="shared" si="4"/>
        <v>14</v>
      </c>
      <c r="B69" s="143" t="s">
        <v>672</v>
      </c>
      <c r="C69" s="693" t="str">
        <f>"Ln "&amp; A65&amp;" - "&amp;A66&amp;" - "&amp;A67&amp;" - "&amp;A68</f>
        <v>Ln 10 - 11 - 12 - 13</v>
      </c>
      <c r="D69" s="304">
        <f>D65-D66-D67-D68</f>
        <v>0</v>
      </c>
      <c r="E69" s="304">
        <f t="shared" ref="E69:Q69" si="6">E65-E66-E67-E68</f>
        <v>0</v>
      </c>
      <c r="F69" s="304">
        <f t="shared" si="6"/>
        <v>0</v>
      </c>
      <c r="G69" s="304">
        <f t="shared" si="6"/>
        <v>0</v>
      </c>
      <c r="H69" s="304">
        <f t="shared" si="6"/>
        <v>0</v>
      </c>
      <c r="I69" s="304">
        <f t="shared" si="6"/>
        <v>0</v>
      </c>
      <c r="J69" s="304">
        <f t="shared" si="6"/>
        <v>0</v>
      </c>
      <c r="K69" s="304">
        <f t="shared" si="6"/>
        <v>0</v>
      </c>
      <c r="L69" s="304">
        <f t="shared" si="6"/>
        <v>0</v>
      </c>
      <c r="M69" s="304">
        <f t="shared" si="6"/>
        <v>0</v>
      </c>
      <c r="N69" s="304">
        <f t="shared" si="6"/>
        <v>0</v>
      </c>
      <c r="O69" s="304">
        <f t="shared" si="6"/>
        <v>0</v>
      </c>
      <c r="P69" s="304">
        <f t="shared" si="6"/>
        <v>0</v>
      </c>
      <c r="Q69" s="132">
        <f t="shared" si="6"/>
        <v>0</v>
      </c>
      <c r="R69" s="182"/>
    </row>
    <row r="70" spans="1:18">
      <c r="A70" s="263">
        <f t="shared" si="4"/>
        <v>15</v>
      </c>
      <c r="B70" s="143"/>
      <c r="C70" s="438"/>
      <c r="D70" s="304"/>
      <c r="E70" s="304"/>
      <c r="F70" s="304"/>
      <c r="G70" s="304"/>
      <c r="H70" s="304"/>
      <c r="I70" s="304"/>
      <c r="J70" s="304"/>
      <c r="K70" s="304"/>
      <c r="L70" s="304"/>
      <c r="M70" s="304"/>
      <c r="N70" s="304"/>
      <c r="O70" s="304"/>
      <c r="P70" s="304"/>
      <c r="Q70" s="268"/>
      <c r="R70" s="182"/>
    </row>
    <row r="71" spans="1:18">
      <c r="A71" s="263">
        <f t="shared" si="4"/>
        <v>16</v>
      </c>
      <c r="B71" s="143" t="str">
        <f>"Total (Line "&amp;A61&amp;" plus Line "&amp;A63&amp;" plus Line "&amp;A69&amp;")"</f>
        <v>Total (Line 6 plus Line 8 plus Line 14)</v>
      </c>
      <c r="C71" s="143"/>
      <c r="D71" s="494">
        <f>D61+D63+D69</f>
        <v>0</v>
      </c>
      <c r="E71" s="494">
        <f t="shared" ref="E71:Q71" si="7">E61+E63+E69</f>
        <v>0</v>
      </c>
      <c r="F71" s="494">
        <f t="shared" si="7"/>
        <v>0</v>
      </c>
      <c r="G71" s="494">
        <f t="shared" si="7"/>
        <v>0</v>
      </c>
      <c r="H71" s="494">
        <f t="shared" si="7"/>
        <v>0</v>
      </c>
      <c r="I71" s="494">
        <f t="shared" si="7"/>
        <v>0</v>
      </c>
      <c r="J71" s="494">
        <f t="shared" si="7"/>
        <v>0</v>
      </c>
      <c r="K71" s="494">
        <f t="shared" si="7"/>
        <v>0</v>
      </c>
      <c r="L71" s="494">
        <f t="shared" si="7"/>
        <v>0</v>
      </c>
      <c r="M71" s="494">
        <f t="shared" si="7"/>
        <v>0</v>
      </c>
      <c r="N71" s="494">
        <f t="shared" si="7"/>
        <v>0</v>
      </c>
      <c r="O71" s="494">
        <f t="shared" si="7"/>
        <v>0</v>
      </c>
      <c r="P71" s="494">
        <f t="shared" si="7"/>
        <v>0</v>
      </c>
      <c r="Q71" s="732">
        <f t="shared" si="7"/>
        <v>0</v>
      </c>
      <c r="R71" s="116"/>
    </row>
    <row r="72" spans="1:18">
      <c r="A72" s="263">
        <f t="shared" si="4"/>
        <v>17</v>
      </c>
      <c r="B72" s="143"/>
      <c r="C72" s="438"/>
      <c r="D72" s="295"/>
      <c r="E72" s="295"/>
      <c r="F72" s="295"/>
      <c r="G72" s="295"/>
      <c r="H72" s="295"/>
      <c r="I72" s="295"/>
      <c r="J72" s="295"/>
      <c r="K72" s="295"/>
      <c r="L72" s="295"/>
      <c r="M72" s="295"/>
      <c r="N72" s="295"/>
      <c r="O72" s="295"/>
      <c r="P72" s="295"/>
      <c r="Q72" s="303"/>
      <c r="R72" s="295"/>
    </row>
    <row r="73" spans="1:18">
      <c r="A73" s="263">
        <f t="shared" si="4"/>
        <v>18</v>
      </c>
      <c r="B73" s="241" t="s">
        <v>673</v>
      </c>
      <c r="C73" s="295"/>
      <c r="D73" s="295"/>
      <c r="E73" s="295"/>
      <c r="F73" s="295"/>
      <c r="G73" s="295"/>
      <c r="H73" s="295"/>
      <c r="I73" s="295"/>
      <c r="J73" s="295"/>
      <c r="K73" s="295"/>
      <c r="L73" s="295"/>
      <c r="M73" s="295"/>
      <c r="N73" s="295"/>
      <c r="O73" s="295"/>
      <c r="P73" s="295"/>
      <c r="Q73" s="303"/>
      <c r="R73" s="295"/>
    </row>
    <row r="74" spans="1:18">
      <c r="A74" s="263">
        <f t="shared" si="4"/>
        <v>19</v>
      </c>
      <c r="B74" s="300" t="s">
        <v>1038</v>
      </c>
      <c r="C74" s="301" t="s">
        <v>675</v>
      </c>
      <c r="D74" s="301"/>
      <c r="E74" s="295"/>
      <c r="F74" s="295"/>
      <c r="G74" s="295"/>
      <c r="H74" s="295"/>
      <c r="I74" s="295"/>
      <c r="J74" s="295"/>
      <c r="K74" s="295"/>
      <c r="L74" s="295"/>
      <c r="M74" s="295"/>
      <c r="N74" s="295"/>
      <c r="O74" s="295"/>
      <c r="P74" s="573"/>
      <c r="Q74" s="262"/>
      <c r="R74" s="167"/>
    </row>
    <row r="75" spans="1:18" ht="25.5">
      <c r="A75" s="538">
        <f t="shared" si="4"/>
        <v>20</v>
      </c>
      <c r="B75" s="470" t="s">
        <v>1039</v>
      </c>
      <c r="C75" s="201" t="s">
        <v>677</v>
      </c>
      <c r="D75" s="301"/>
      <c r="E75" s="295"/>
      <c r="F75" s="295"/>
      <c r="G75" s="295"/>
      <c r="H75" s="295"/>
      <c r="I75" s="295"/>
      <c r="J75" s="295"/>
      <c r="K75" s="295"/>
      <c r="L75" s="295"/>
      <c r="M75" s="295"/>
      <c r="N75" s="295"/>
      <c r="O75" s="295"/>
      <c r="P75" s="573"/>
      <c r="Q75" s="262"/>
      <c r="R75" s="167"/>
    </row>
    <row r="76" spans="1:18" ht="25.5">
      <c r="A76" s="263">
        <f t="shared" si="4"/>
        <v>21</v>
      </c>
      <c r="B76" s="470" t="s">
        <v>1040</v>
      </c>
      <c r="C76" s="201" t="s">
        <v>679</v>
      </c>
      <c r="D76" s="201"/>
      <c r="E76" s="167"/>
      <c r="F76" s="167"/>
      <c r="G76" s="167"/>
      <c r="H76" s="167"/>
      <c r="I76" s="167"/>
      <c r="J76" s="167"/>
      <c r="K76" s="167"/>
      <c r="L76" s="167"/>
      <c r="M76" s="167"/>
      <c r="N76" s="167"/>
      <c r="O76" s="167"/>
      <c r="P76" s="573"/>
      <c r="Q76" s="262"/>
      <c r="R76" s="167"/>
    </row>
    <row r="77" spans="1:18" ht="25.5">
      <c r="A77" s="263">
        <f t="shared" si="4"/>
        <v>22</v>
      </c>
      <c r="B77" s="470" t="s">
        <v>1041</v>
      </c>
      <c r="C77" s="301" t="s">
        <v>164</v>
      </c>
      <c r="D77" s="201"/>
      <c r="E77" s="167"/>
      <c r="F77" s="167"/>
      <c r="G77" s="167"/>
      <c r="H77" s="167"/>
      <c r="I77" s="167"/>
      <c r="J77" s="167"/>
      <c r="K77" s="167"/>
      <c r="L77" s="167"/>
      <c r="M77" s="167"/>
      <c r="N77" s="167"/>
      <c r="O77" s="167"/>
      <c r="P77" s="573"/>
      <c r="Q77" s="262"/>
      <c r="R77" s="167"/>
    </row>
    <row r="78" spans="1:18" ht="25.5">
      <c r="A78" s="263">
        <f t="shared" si="4"/>
        <v>23</v>
      </c>
      <c r="B78" s="470" t="s">
        <v>1042</v>
      </c>
      <c r="C78" s="265" t="s">
        <v>1044</v>
      </c>
      <c r="D78" s="201"/>
      <c r="E78" s="167"/>
      <c r="F78" s="167"/>
      <c r="G78" s="167"/>
      <c r="H78" s="167"/>
      <c r="I78" s="167"/>
      <c r="J78" s="167"/>
      <c r="K78" s="167"/>
      <c r="L78" s="167"/>
      <c r="M78" s="167"/>
      <c r="N78" s="167"/>
      <c r="O78" s="167"/>
      <c r="P78" s="573"/>
      <c r="Q78" s="262"/>
      <c r="R78" s="167"/>
    </row>
    <row r="79" spans="1:18" ht="25.5">
      <c r="A79" s="263">
        <f t="shared" si="4"/>
        <v>24</v>
      </c>
      <c r="B79" s="470" t="s">
        <v>1043</v>
      </c>
      <c r="C79" s="265" t="s">
        <v>1045</v>
      </c>
      <c r="D79" s="201"/>
      <c r="E79" s="167"/>
      <c r="F79" s="167"/>
      <c r="G79" s="167"/>
      <c r="H79" s="167"/>
      <c r="I79" s="167"/>
      <c r="J79" s="167"/>
      <c r="K79" s="167"/>
      <c r="L79" s="167"/>
      <c r="M79" s="167"/>
      <c r="N79" s="167"/>
      <c r="O79" s="167"/>
      <c r="P79" s="574"/>
      <c r="Q79" s="262"/>
      <c r="R79" s="167"/>
    </row>
    <row r="80" spans="1:18">
      <c r="A80" s="263">
        <f t="shared" si="4"/>
        <v>25</v>
      </c>
      <c r="B80" s="300" t="s">
        <v>682</v>
      </c>
      <c r="C80" s="693" t="str">
        <f>"Sum Lines "&amp;A74&amp;" - "&amp;A79</f>
        <v>Sum Lines 19 - 24</v>
      </c>
      <c r="D80" s="167"/>
      <c r="E80" s="167"/>
      <c r="F80" s="167"/>
      <c r="G80" s="167"/>
      <c r="H80" s="167"/>
      <c r="I80" s="167"/>
      <c r="J80" s="167"/>
      <c r="K80" s="167"/>
      <c r="L80" s="167"/>
      <c r="M80" s="167"/>
      <c r="N80" s="167"/>
      <c r="O80" s="167"/>
      <c r="P80" s="182">
        <f>SUM(P74:P79)</f>
        <v>0</v>
      </c>
      <c r="Q80" s="262"/>
      <c r="R80" s="167"/>
    </row>
    <row r="81" spans="1:18" ht="13.5" thickBot="1">
      <c r="A81" s="263">
        <f t="shared" si="4"/>
        <v>26</v>
      </c>
      <c r="B81" s="300"/>
      <c r="C81" s="167"/>
      <c r="D81" s="167"/>
      <c r="E81" s="167"/>
      <c r="F81" s="167"/>
      <c r="G81" s="167"/>
      <c r="H81" s="167"/>
      <c r="I81" s="167"/>
      <c r="J81" s="167"/>
      <c r="K81" s="167"/>
      <c r="L81" s="167"/>
      <c r="M81" s="167"/>
      <c r="N81" s="167"/>
      <c r="O81" s="167"/>
      <c r="P81" s="167"/>
      <c r="Q81" s="262"/>
      <c r="R81" s="167"/>
    </row>
    <row r="82" spans="1:18" ht="13.5" thickBot="1">
      <c r="A82" s="263">
        <f t="shared" si="4"/>
        <v>27</v>
      </c>
      <c r="B82" s="300" t="str">
        <f>"Average Cost of Debt (Line "&amp;A80&amp;" / Line "&amp;A61&amp;")"</f>
        <v>Average Cost of Debt (Line 25 / Line 6)</v>
      </c>
      <c r="C82" s="167"/>
      <c r="D82" s="167"/>
      <c r="E82" s="167"/>
      <c r="F82" s="167"/>
      <c r="G82" s="167"/>
      <c r="H82" s="167"/>
      <c r="I82" s="167"/>
      <c r="J82" s="167"/>
      <c r="K82" s="167"/>
      <c r="L82" s="167"/>
      <c r="M82" s="167"/>
      <c r="N82" s="167"/>
      <c r="O82" s="167"/>
      <c r="P82" s="621">
        <f>IF(P80=0,0,P80/Q61)</f>
        <v>0</v>
      </c>
      <c r="Q82" s="262"/>
      <c r="R82" s="167"/>
    </row>
    <row r="83" spans="1:18">
      <c r="A83" s="263">
        <f t="shared" si="4"/>
        <v>28</v>
      </c>
      <c r="B83" s="300"/>
      <c r="C83" s="167"/>
      <c r="D83" s="167"/>
      <c r="E83" s="167"/>
      <c r="F83" s="167"/>
      <c r="G83" s="167"/>
      <c r="H83" s="167"/>
      <c r="I83" s="167"/>
      <c r="J83" s="167"/>
      <c r="K83" s="167"/>
      <c r="L83" s="167"/>
      <c r="M83" s="167"/>
      <c r="N83" s="167"/>
      <c r="O83" s="167"/>
      <c r="P83" s="294"/>
      <c r="Q83" s="262"/>
      <c r="R83" s="167"/>
    </row>
    <row r="84" spans="1:18">
      <c r="A84" s="263">
        <f t="shared" si="4"/>
        <v>29</v>
      </c>
      <c r="B84" s="241" t="s">
        <v>683</v>
      </c>
      <c r="C84" s="143"/>
      <c r="D84" s="167"/>
      <c r="E84" s="167"/>
      <c r="F84" s="167"/>
      <c r="G84" s="167"/>
      <c r="H84" s="167"/>
      <c r="I84" s="167"/>
      <c r="J84" s="167"/>
      <c r="K84" s="167"/>
      <c r="L84" s="167"/>
      <c r="M84" s="167"/>
      <c r="N84" s="167"/>
      <c r="O84" s="167"/>
      <c r="P84" s="294"/>
      <c r="Q84" s="262"/>
      <c r="R84" s="167"/>
    </row>
    <row r="85" spans="1:18">
      <c r="A85" s="263">
        <f t="shared" si="4"/>
        <v>30</v>
      </c>
      <c r="B85" s="300" t="s">
        <v>684</v>
      </c>
      <c r="C85" s="115" t="s">
        <v>685</v>
      </c>
      <c r="D85" s="167"/>
      <c r="E85" s="167"/>
      <c r="F85" s="167"/>
      <c r="G85" s="167"/>
      <c r="H85" s="167"/>
      <c r="I85" s="167"/>
      <c r="J85" s="167"/>
      <c r="K85" s="167"/>
      <c r="L85" s="167"/>
      <c r="M85" s="167"/>
      <c r="N85" s="167"/>
      <c r="O85" s="167"/>
      <c r="P85" s="762">
        <v>0</v>
      </c>
      <c r="Q85" s="262"/>
      <c r="R85" s="167"/>
    </row>
    <row r="86" spans="1:18">
      <c r="A86" s="263">
        <f t="shared" si="4"/>
        <v>31</v>
      </c>
      <c r="B86" s="300"/>
      <c r="C86" s="143"/>
      <c r="D86" s="167"/>
      <c r="E86" s="167"/>
      <c r="F86" s="167"/>
      <c r="G86" s="167"/>
      <c r="H86" s="167"/>
      <c r="I86" s="167"/>
      <c r="J86" s="167"/>
      <c r="K86" s="167"/>
      <c r="L86" s="167"/>
      <c r="M86" s="167"/>
      <c r="N86" s="167"/>
      <c r="O86" s="167"/>
      <c r="P86" s="294"/>
      <c r="Q86" s="262"/>
      <c r="R86" s="167"/>
    </row>
    <row r="87" spans="1:18">
      <c r="A87" s="263">
        <f t="shared" si="4"/>
        <v>32</v>
      </c>
      <c r="B87" s="300" t="str">
        <f>"Average Cost of Preferred Stock (Line "&amp;A85&amp;" / Line "&amp;A63&amp;")"</f>
        <v>Average Cost of Preferred Stock (Line 30 / Line 8)</v>
      </c>
      <c r="C87" s="143"/>
      <c r="D87" s="167"/>
      <c r="E87" s="167"/>
      <c r="F87" s="167"/>
      <c r="G87" s="167"/>
      <c r="H87" s="167"/>
      <c r="I87" s="167"/>
      <c r="J87" s="167"/>
      <c r="K87" s="167"/>
      <c r="L87" s="167"/>
      <c r="M87" s="167"/>
      <c r="N87" s="167"/>
      <c r="O87" s="167"/>
      <c r="P87" s="294">
        <f>IF(P85=0,0,ROUND(P85/Q63,4))</f>
        <v>0</v>
      </c>
      <c r="Q87" s="262"/>
      <c r="R87" s="167"/>
    </row>
    <row r="88" spans="1:18">
      <c r="A88" s="263"/>
      <c r="B88" s="300"/>
      <c r="C88" s="143"/>
      <c r="D88" s="167"/>
      <c r="E88" s="167"/>
      <c r="F88" s="167"/>
      <c r="G88" s="167"/>
      <c r="H88" s="167"/>
      <c r="I88" s="167"/>
      <c r="J88" s="167"/>
      <c r="K88" s="167"/>
      <c r="L88" s="167"/>
      <c r="M88" s="167"/>
      <c r="N88" s="167"/>
      <c r="O88" s="167"/>
      <c r="P88" s="294"/>
      <c r="Q88" s="262"/>
      <c r="R88" s="167"/>
    </row>
    <row r="89" spans="1:18">
      <c r="A89" s="263"/>
      <c r="B89" s="1221" t="s">
        <v>118</v>
      </c>
      <c r="C89" s="1221"/>
      <c r="D89" s="1221"/>
      <c r="E89" s="1221"/>
      <c r="F89" s="1221"/>
      <c r="G89" s="1221"/>
      <c r="H89" s="167"/>
      <c r="I89" s="167"/>
      <c r="J89" s="167"/>
      <c r="K89" s="167"/>
      <c r="L89" s="167"/>
      <c r="M89" s="167"/>
      <c r="N89" s="167"/>
      <c r="O89" s="167"/>
      <c r="P89" s="294"/>
      <c r="Q89" s="262"/>
      <c r="R89" s="167"/>
    </row>
    <row r="90" spans="1:18">
      <c r="A90" s="261"/>
      <c r="B90" s="444" t="s">
        <v>1232</v>
      </c>
      <c r="C90" s="167"/>
      <c r="D90" s="167"/>
      <c r="E90" s="167"/>
      <c r="F90" s="167"/>
      <c r="G90" s="167"/>
      <c r="H90" s="167"/>
      <c r="I90" s="167"/>
      <c r="J90" s="167"/>
      <c r="K90" s="167"/>
      <c r="L90" s="167"/>
      <c r="M90" s="167"/>
      <c r="N90" s="167"/>
      <c r="O90" s="167"/>
      <c r="P90" s="167"/>
      <c r="Q90" s="262"/>
      <c r="R90" s="167"/>
    </row>
    <row r="91" spans="1:18" ht="13.5" thickBot="1">
      <c r="A91" s="274"/>
      <c r="B91" s="445"/>
      <c r="C91" s="275"/>
      <c r="D91" s="275"/>
      <c r="E91" s="275"/>
      <c r="F91" s="275"/>
      <c r="G91" s="275"/>
      <c r="H91" s="275"/>
      <c r="I91" s="275"/>
      <c r="J91" s="275"/>
      <c r="K91" s="275"/>
      <c r="L91" s="275"/>
      <c r="M91" s="275"/>
      <c r="N91" s="275"/>
      <c r="O91" s="275"/>
      <c r="P91" s="275"/>
      <c r="Q91" s="276"/>
      <c r="R91" s="167"/>
    </row>
  </sheetData>
  <mergeCells count="2">
    <mergeCell ref="B44:G44"/>
    <mergeCell ref="B89:G89"/>
  </mergeCells>
  <phoneticPr fontId="2" type="noConversion"/>
  <printOptions horizontalCentered="1"/>
  <pageMargins left="0.25" right="0.25" top="0.75" bottom="0.75" header="0.5" footer="0.5"/>
  <pageSetup scale="50" fitToHeight="2" orientation="landscape" r:id="rId1"/>
  <headerFooter alignWithMargins="0">
    <oddHeader>&amp;RPage &amp;P of &amp;N</oddHeader>
  </headerFooter>
  <rowBreaks count="1" manualBreakCount="1">
    <brk id="49" max="16"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pageSetUpPr fitToPage="1"/>
  </sheetPr>
  <dimension ref="A1:D460"/>
  <sheetViews>
    <sheetView topLeftCell="A112" workbookViewId="0">
      <selection activeCell="C109" sqref="C109"/>
    </sheetView>
  </sheetViews>
  <sheetFormatPr defaultRowHeight="12.75"/>
  <cols>
    <col min="1" max="1" width="14.28515625" style="455" customWidth="1"/>
    <col min="2" max="2" width="51.5703125" style="453" customWidth="1"/>
    <col min="3" max="3" width="18.7109375" style="453" bestFit="1" customWidth="1"/>
    <col min="4" max="16384" width="9.140625" style="453"/>
  </cols>
  <sheetData>
    <row r="1" spans="1:3">
      <c r="A1" s="763" t="s">
        <v>779</v>
      </c>
      <c r="C1" s="880" t="s">
        <v>158</v>
      </c>
    </row>
    <row r="2" spans="1:3">
      <c r="A2" s="763" t="s">
        <v>383</v>
      </c>
      <c r="C2" s="880" t="str">
        <f ca="1">MID(CELL("filename",A1),FIND("]",CELL("filename",A1))+1,LEN(CELL("filename",A1))-FIND("]",CELL("filename",A1)))</f>
        <v xml:space="preserve">WP_H-1 </v>
      </c>
    </row>
    <row r="3" spans="1:3">
      <c r="A3" s="763" t="s">
        <v>1865</v>
      </c>
    </row>
    <row r="4" spans="1:3">
      <c r="A4" s="782" t="s">
        <v>1599</v>
      </c>
    </row>
    <row r="5" spans="1:3">
      <c r="A5" s="763" t="s">
        <v>1600</v>
      </c>
      <c r="B5" s="458"/>
      <c r="C5" s="881" t="s">
        <v>1601</v>
      </c>
    </row>
    <row r="6" spans="1:3">
      <c r="B6" s="458"/>
      <c r="C6" s="881" t="s">
        <v>626</v>
      </c>
    </row>
    <row r="7" spans="1:3">
      <c r="B7" s="458"/>
      <c r="C7" s="881" t="s">
        <v>903</v>
      </c>
    </row>
    <row r="8" spans="1:3">
      <c r="A8" s="879" t="s">
        <v>1602</v>
      </c>
      <c r="B8" s="882" t="s">
        <v>429</v>
      </c>
      <c r="C8" s="879" t="s">
        <v>1603</v>
      </c>
    </row>
    <row r="9" spans="1:3">
      <c r="C9" s="455"/>
    </row>
    <row r="10" spans="1:3">
      <c r="A10" s="763" t="s">
        <v>931</v>
      </c>
      <c r="C10" s="455"/>
    </row>
    <row r="11" spans="1:3">
      <c r="C11" s="455"/>
    </row>
    <row r="12" spans="1:3" ht="78.75" customHeight="1">
      <c r="A12" s="1247" t="s">
        <v>1604</v>
      </c>
      <c r="B12" s="1247"/>
      <c r="C12" s="455" t="s">
        <v>1605</v>
      </c>
    </row>
    <row r="13" spans="1:3">
      <c r="C13" s="455"/>
    </row>
    <row r="14" spans="1:3" ht="60" customHeight="1">
      <c r="A14" s="1247" t="s">
        <v>1606</v>
      </c>
      <c r="B14" s="1247"/>
      <c r="C14" s="455" t="s">
        <v>1605</v>
      </c>
    </row>
    <row r="15" spans="1:3">
      <c r="C15" s="455"/>
    </row>
    <row r="16" spans="1:3">
      <c r="A16" s="763" t="s">
        <v>1607</v>
      </c>
      <c r="C16" s="455"/>
    </row>
    <row r="17" spans="1:3">
      <c r="C17" s="455"/>
    </row>
    <row r="18" spans="1:3" ht="39.75" customHeight="1">
      <c r="A18" s="1247" t="s">
        <v>1608</v>
      </c>
      <c r="B18" s="1247"/>
      <c r="C18" s="455" t="s">
        <v>1609</v>
      </c>
    </row>
    <row r="19" spans="1:3">
      <c r="C19" s="455"/>
    </row>
    <row r="20" spans="1:3">
      <c r="A20" s="763" t="s">
        <v>1610</v>
      </c>
      <c r="C20" s="455"/>
    </row>
    <row r="21" spans="1:3">
      <c r="A21" s="455">
        <v>114</v>
      </c>
      <c r="B21" s="453" t="s">
        <v>1388</v>
      </c>
      <c r="C21" s="455"/>
    </row>
    <row r="22" spans="1:3" ht="25.5">
      <c r="B22" s="883" t="s">
        <v>1611</v>
      </c>
      <c r="C22" s="467">
        <v>1.8180000000000001</v>
      </c>
    </row>
    <row r="23" spans="1:3">
      <c r="C23" s="467"/>
    </row>
    <row r="24" spans="1:3">
      <c r="A24" s="763" t="s">
        <v>982</v>
      </c>
      <c r="B24" s="455"/>
      <c r="C24" s="468"/>
    </row>
    <row r="25" spans="1:3" ht="14.25">
      <c r="A25" s="455">
        <v>302</v>
      </c>
      <c r="B25" s="453" t="s">
        <v>1208</v>
      </c>
      <c r="C25" s="467" t="s">
        <v>213</v>
      </c>
    </row>
    <row r="26" spans="1:3">
      <c r="A26" s="764" t="s">
        <v>1418</v>
      </c>
      <c r="B26" s="453" t="s">
        <v>1419</v>
      </c>
      <c r="C26" s="467">
        <v>33.33</v>
      </c>
    </row>
    <row r="27" spans="1:3">
      <c r="A27" s="764" t="s">
        <v>1418</v>
      </c>
      <c r="B27" s="453" t="s">
        <v>389</v>
      </c>
      <c r="C27" s="467">
        <v>20</v>
      </c>
    </row>
    <row r="28" spans="1:3">
      <c r="A28" s="764" t="s">
        <v>1418</v>
      </c>
      <c r="B28" s="453" t="s">
        <v>390</v>
      </c>
      <c r="C28" s="467">
        <v>10</v>
      </c>
    </row>
    <row r="29" spans="1:3">
      <c r="A29" s="764" t="s">
        <v>1418</v>
      </c>
      <c r="B29" s="453" t="s">
        <v>1420</v>
      </c>
      <c r="C29" s="467">
        <v>6.67</v>
      </c>
    </row>
    <row r="30" spans="1:3">
      <c r="C30" s="467"/>
    </row>
    <row r="31" spans="1:3">
      <c r="A31" s="765" t="s">
        <v>947</v>
      </c>
      <c r="B31" s="456"/>
      <c r="C31" s="468"/>
    </row>
    <row r="32" spans="1:3">
      <c r="A32" s="455">
        <v>302</v>
      </c>
      <c r="B32" s="456" t="s">
        <v>1208</v>
      </c>
      <c r="C32" s="467">
        <v>3.3330000000000002</v>
      </c>
    </row>
    <row r="33" spans="1:3" ht="14.25">
      <c r="A33" s="455" t="s">
        <v>1113</v>
      </c>
      <c r="B33" s="456" t="s">
        <v>1114</v>
      </c>
      <c r="C33" s="467" t="s">
        <v>1329</v>
      </c>
    </row>
    <row r="34" spans="1:3">
      <c r="A34" s="455">
        <v>310.2</v>
      </c>
      <c r="B34" s="456" t="s">
        <v>1115</v>
      </c>
      <c r="C34" s="467">
        <v>2</v>
      </c>
    </row>
    <row r="35" spans="1:3">
      <c r="A35" s="455">
        <v>310.3</v>
      </c>
      <c r="B35" s="456" t="s">
        <v>1116</v>
      </c>
      <c r="C35" s="467">
        <v>2</v>
      </c>
    </row>
    <row r="36" spans="1:3">
      <c r="A36" s="455">
        <v>311</v>
      </c>
      <c r="B36" s="456" t="s">
        <v>1212</v>
      </c>
      <c r="C36" s="467"/>
    </row>
    <row r="37" spans="1:3">
      <c r="B37" s="705" t="s">
        <v>1612</v>
      </c>
      <c r="C37" s="467">
        <v>14.943577883947121</v>
      </c>
    </row>
    <row r="38" spans="1:3">
      <c r="B38" s="705" t="s">
        <v>1117</v>
      </c>
      <c r="C38" s="467">
        <v>3.4589754920136988</v>
      </c>
    </row>
    <row r="39" spans="1:3">
      <c r="B39" s="705" t="s">
        <v>1118</v>
      </c>
      <c r="C39" s="467">
        <v>8.7211861949033356</v>
      </c>
    </row>
    <row r="40" spans="1:3">
      <c r="B40" s="705" t="s">
        <v>1119</v>
      </c>
      <c r="C40" s="467">
        <v>1.833</v>
      </c>
    </row>
    <row r="41" spans="1:3">
      <c r="B41" s="705" t="s">
        <v>1120</v>
      </c>
      <c r="C41" s="467">
        <v>1.536</v>
      </c>
    </row>
    <row r="42" spans="1:3">
      <c r="B42" s="705" t="s">
        <v>483</v>
      </c>
      <c r="C42" s="467">
        <v>2.0059999999999998</v>
      </c>
    </row>
    <row r="43" spans="1:3">
      <c r="B43" s="705" t="s">
        <v>1121</v>
      </c>
      <c r="C43" s="467">
        <v>1.6779999999999999</v>
      </c>
    </row>
    <row r="44" spans="1:3">
      <c r="B44" s="705" t="s">
        <v>1122</v>
      </c>
      <c r="C44" s="467">
        <v>1.548</v>
      </c>
    </row>
    <row r="45" spans="1:3">
      <c r="B45" s="705" t="s">
        <v>1123</v>
      </c>
      <c r="C45" s="467">
        <v>1.5249999999999999</v>
      </c>
    </row>
    <row r="46" spans="1:3">
      <c r="B46" s="705" t="s">
        <v>1124</v>
      </c>
      <c r="C46" s="467">
        <v>1.5760000000000001</v>
      </c>
    </row>
    <row r="47" spans="1:3">
      <c r="B47" s="705" t="s">
        <v>1125</v>
      </c>
      <c r="C47" s="467">
        <v>1.8720000000000001</v>
      </c>
    </row>
    <row r="48" spans="1:3">
      <c r="B48" s="705" t="s">
        <v>1126</v>
      </c>
      <c r="C48" s="467">
        <v>1.526</v>
      </c>
    </row>
    <row r="49" spans="1:4">
      <c r="B49" s="705" t="s">
        <v>1127</v>
      </c>
      <c r="C49" s="467">
        <v>2.5059999999999998</v>
      </c>
    </row>
    <row r="50" spans="1:4">
      <c r="B50" s="705" t="s">
        <v>1128</v>
      </c>
      <c r="C50" s="467">
        <v>1.5740000000000001</v>
      </c>
    </row>
    <row r="51" spans="1:4">
      <c r="B51" s="705" t="s">
        <v>1129</v>
      </c>
      <c r="C51" s="467">
        <v>2.859</v>
      </c>
    </row>
    <row r="52" spans="1:4">
      <c r="B52" s="705" t="s">
        <v>640</v>
      </c>
      <c r="C52" s="467">
        <v>7.6496360608446885</v>
      </c>
    </row>
    <row r="53" spans="1:4">
      <c r="B53" s="705" t="s">
        <v>1130</v>
      </c>
      <c r="C53" s="467">
        <v>7.1635669604301278</v>
      </c>
    </row>
    <row r="54" spans="1:4">
      <c r="B54" s="705" t="s">
        <v>1613</v>
      </c>
      <c r="C54" s="467">
        <v>3.99344205841509</v>
      </c>
    </row>
    <row r="55" spans="1:4">
      <c r="B55" s="705" t="s">
        <v>1614</v>
      </c>
      <c r="C55" s="467">
        <v>2.74</v>
      </c>
    </row>
    <row r="56" spans="1:4">
      <c r="A56" s="455">
        <v>312</v>
      </c>
      <c r="B56" s="456" t="s">
        <v>1131</v>
      </c>
      <c r="C56" s="467"/>
    </row>
    <row r="57" spans="1:4">
      <c r="A57"/>
      <c r="B57" s="705" t="s">
        <v>1612</v>
      </c>
      <c r="C57" s="467">
        <v>12.752283738993214</v>
      </c>
      <c r="D57" s="884"/>
    </row>
    <row r="58" spans="1:4">
      <c r="A58"/>
      <c r="B58" s="705" t="s">
        <v>1615</v>
      </c>
      <c r="C58" s="467">
        <v>12.152381354020319</v>
      </c>
    </row>
    <row r="59" spans="1:4">
      <c r="A59"/>
      <c r="B59" s="705" t="s">
        <v>1117</v>
      </c>
      <c r="C59" s="467">
        <v>3.7460619617752418</v>
      </c>
    </row>
    <row r="60" spans="1:4">
      <c r="A60"/>
      <c r="B60" s="705" t="s">
        <v>1132</v>
      </c>
      <c r="C60" s="467">
        <v>7.2005988513808488</v>
      </c>
    </row>
    <row r="61" spans="1:4">
      <c r="A61"/>
      <c r="B61" s="705" t="s">
        <v>1118</v>
      </c>
      <c r="C61" s="467">
        <v>8.9692189083813272</v>
      </c>
    </row>
    <row r="62" spans="1:4">
      <c r="A62"/>
      <c r="B62" s="705" t="s">
        <v>1133</v>
      </c>
      <c r="C62" s="467">
        <v>8.6874903040639406</v>
      </c>
    </row>
    <row r="63" spans="1:4">
      <c r="A63"/>
      <c r="B63" s="705" t="s">
        <v>1119</v>
      </c>
      <c r="C63" s="467">
        <v>2.173</v>
      </c>
    </row>
    <row r="64" spans="1:4">
      <c r="A64"/>
      <c r="B64" s="705" t="s">
        <v>1120</v>
      </c>
      <c r="C64" s="467">
        <v>2.012</v>
      </c>
    </row>
    <row r="65" spans="1:3">
      <c r="A65"/>
      <c r="B65" s="705" t="s">
        <v>483</v>
      </c>
      <c r="C65" s="467">
        <v>2.0059999999999998</v>
      </c>
    </row>
    <row r="66" spans="1:3">
      <c r="A66"/>
      <c r="B66" s="705" t="s">
        <v>1121</v>
      </c>
      <c r="C66" s="467">
        <v>1.821</v>
      </c>
    </row>
    <row r="67" spans="1:3">
      <c r="A67"/>
      <c r="B67" s="705" t="s">
        <v>1122</v>
      </c>
      <c r="C67" s="467">
        <v>1.663</v>
      </c>
    </row>
    <row r="68" spans="1:3">
      <c r="A68"/>
      <c r="B68" s="705" t="s">
        <v>1123</v>
      </c>
      <c r="C68" s="467">
        <v>1.653</v>
      </c>
    </row>
    <row r="69" spans="1:3">
      <c r="A69"/>
      <c r="B69" s="705" t="s">
        <v>1124</v>
      </c>
      <c r="C69" s="467">
        <v>2.411</v>
      </c>
    </row>
    <row r="70" spans="1:3">
      <c r="A70"/>
      <c r="B70" s="705" t="s">
        <v>1125</v>
      </c>
      <c r="C70" s="467">
        <v>3.2970000000000002</v>
      </c>
    </row>
    <row r="71" spans="1:3">
      <c r="A71"/>
      <c r="B71" s="705" t="s">
        <v>1126</v>
      </c>
      <c r="C71" s="467">
        <v>1.9670000000000001</v>
      </c>
    </row>
    <row r="72" spans="1:3">
      <c r="A72"/>
      <c r="B72" s="705" t="s">
        <v>1127</v>
      </c>
      <c r="C72" s="467">
        <v>2.8490000000000002</v>
      </c>
    </row>
    <row r="73" spans="1:3">
      <c r="A73"/>
      <c r="B73" s="705" t="s">
        <v>1128</v>
      </c>
      <c r="C73" s="467">
        <v>1.78</v>
      </c>
    </row>
    <row r="74" spans="1:3">
      <c r="A74"/>
      <c r="B74" s="705" t="s">
        <v>1129</v>
      </c>
      <c r="C74" s="467">
        <v>3.0539999999999998</v>
      </c>
    </row>
    <row r="75" spans="1:3">
      <c r="A75"/>
      <c r="B75" s="705" t="s">
        <v>640</v>
      </c>
      <c r="C75" s="467">
        <v>8.4136395147352534</v>
      </c>
    </row>
    <row r="76" spans="1:3">
      <c r="A76"/>
      <c r="B76" s="705" t="s">
        <v>1134</v>
      </c>
      <c r="C76" s="467">
        <v>8.0654151927457498</v>
      </c>
    </row>
    <row r="77" spans="1:3">
      <c r="A77"/>
      <c r="B77" s="705" t="s">
        <v>1130</v>
      </c>
      <c r="C77" s="467">
        <v>9.092368218399189</v>
      </c>
    </row>
    <row r="78" spans="1:3">
      <c r="A78"/>
      <c r="B78" s="705" t="s">
        <v>1613</v>
      </c>
      <c r="C78" s="467">
        <v>9.2864775765882133</v>
      </c>
    </row>
    <row r="79" spans="1:3">
      <c r="B79" s="705" t="s">
        <v>1614</v>
      </c>
      <c r="C79" s="467">
        <v>3.4249999999999998</v>
      </c>
    </row>
    <row r="80" spans="1:3">
      <c r="A80" s="455">
        <v>312.2</v>
      </c>
      <c r="B80" s="456" t="s">
        <v>1135</v>
      </c>
      <c r="C80" s="467">
        <v>3.1667000000000001</v>
      </c>
    </row>
    <row r="81" spans="1:3">
      <c r="A81" s="455">
        <v>314</v>
      </c>
      <c r="B81" s="456" t="s">
        <v>1136</v>
      </c>
      <c r="C81" s="467"/>
    </row>
    <row r="82" spans="1:3">
      <c r="B82" s="705" t="s">
        <v>1421</v>
      </c>
      <c r="C82" s="467">
        <v>2.3079999999999998</v>
      </c>
    </row>
    <row r="83" spans="1:3">
      <c r="B83" s="705" t="s">
        <v>1612</v>
      </c>
      <c r="C83" s="467">
        <v>9.9746086262019329</v>
      </c>
    </row>
    <row r="84" spans="1:3">
      <c r="B84" s="705" t="s">
        <v>1117</v>
      </c>
      <c r="C84" s="467">
        <v>3.3180271083723762</v>
      </c>
    </row>
    <row r="85" spans="1:3">
      <c r="B85" s="705" t="s">
        <v>1118</v>
      </c>
      <c r="C85" s="467">
        <v>3.5917349166022592</v>
      </c>
    </row>
    <row r="86" spans="1:3">
      <c r="B86" s="705" t="s">
        <v>1119</v>
      </c>
      <c r="C86" s="467">
        <v>1.9019999999999999</v>
      </c>
    </row>
    <row r="87" spans="1:3">
      <c r="B87" s="705" t="s">
        <v>1120</v>
      </c>
      <c r="C87" s="467">
        <v>1.827</v>
      </c>
    </row>
    <row r="88" spans="1:3">
      <c r="B88" s="705" t="s">
        <v>1121</v>
      </c>
      <c r="C88" s="467">
        <v>2.5659999999999998</v>
      </c>
    </row>
    <row r="89" spans="1:3">
      <c r="B89" s="705" t="s">
        <v>483</v>
      </c>
      <c r="C89" s="467">
        <v>2.0059999999999998</v>
      </c>
    </row>
    <row r="90" spans="1:3">
      <c r="B90" s="705" t="s">
        <v>1122</v>
      </c>
      <c r="C90" s="467">
        <v>2.8159999999999998</v>
      </c>
    </row>
    <row r="91" spans="1:3">
      <c r="B91" s="705" t="s">
        <v>1123</v>
      </c>
      <c r="C91" s="467">
        <v>1.615</v>
      </c>
    </row>
    <row r="92" spans="1:3">
      <c r="B92" s="705" t="s">
        <v>1124</v>
      </c>
      <c r="C92" s="467">
        <v>1.659</v>
      </c>
    </row>
    <row r="93" spans="1:3">
      <c r="B93" s="705" t="s">
        <v>1125</v>
      </c>
      <c r="C93" s="467">
        <v>2.3039999999999998</v>
      </c>
    </row>
    <row r="94" spans="1:3">
      <c r="B94" s="705" t="s">
        <v>1126</v>
      </c>
      <c r="C94" s="467">
        <v>1.6850000000000001</v>
      </c>
    </row>
    <row r="95" spans="1:3">
      <c r="B95" s="705" t="s">
        <v>1127</v>
      </c>
      <c r="C95" s="467">
        <v>3.036</v>
      </c>
    </row>
    <row r="96" spans="1:3">
      <c r="B96" s="705" t="s">
        <v>1128</v>
      </c>
      <c r="C96" s="467">
        <v>1.7030000000000001</v>
      </c>
    </row>
    <row r="97" spans="1:3">
      <c r="B97" s="705" t="s">
        <v>1129</v>
      </c>
      <c r="C97" s="467">
        <v>2.4169999999999998</v>
      </c>
    </row>
    <row r="98" spans="1:3">
      <c r="B98" s="705" t="s">
        <v>640</v>
      </c>
      <c r="C98" s="467">
        <v>9.2237415583539324</v>
      </c>
    </row>
    <row r="99" spans="1:3">
      <c r="B99" s="705" t="s">
        <v>1130</v>
      </c>
      <c r="C99" s="467">
        <v>9.9288736463895031</v>
      </c>
    </row>
    <row r="100" spans="1:3">
      <c r="B100" s="705" t="s">
        <v>1613</v>
      </c>
      <c r="C100" s="467">
        <v>9.0299254232711874</v>
      </c>
    </row>
    <row r="101" spans="1:3">
      <c r="B101" s="705" t="s">
        <v>1614</v>
      </c>
      <c r="C101" s="467">
        <v>2.0920000000000001</v>
      </c>
    </row>
    <row r="102" spans="1:3">
      <c r="A102" s="455">
        <v>315</v>
      </c>
      <c r="B102" s="456" t="s">
        <v>1137</v>
      </c>
      <c r="C102" s="467"/>
    </row>
    <row r="103" spans="1:3">
      <c r="B103" s="705" t="s">
        <v>1421</v>
      </c>
      <c r="C103" s="467">
        <v>3.32</v>
      </c>
    </row>
    <row r="104" spans="1:3">
      <c r="A104"/>
      <c r="B104" s="705" t="s">
        <v>1612</v>
      </c>
      <c r="C104" s="467">
        <v>13.932319402617086</v>
      </c>
    </row>
    <row r="105" spans="1:3">
      <c r="A105"/>
      <c r="B105" s="705" t="s">
        <v>1117</v>
      </c>
      <c r="C105" s="467">
        <v>3.3531437241061175</v>
      </c>
    </row>
    <row r="106" spans="1:3">
      <c r="A106"/>
      <c r="B106" s="705" t="s">
        <v>1118</v>
      </c>
      <c r="C106" s="467">
        <v>8.0546008361054824</v>
      </c>
    </row>
    <row r="107" spans="1:3">
      <c r="A107"/>
      <c r="B107" s="705" t="s">
        <v>1119</v>
      </c>
      <c r="C107" s="467">
        <v>1.7070000000000001</v>
      </c>
    </row>
    <row r="108" spans="1:3">
      <c r="A108"/>
      <c r="B108" s="705" t="s">
        <v>1120</v>
      </c>
      <c r="C108" s="467">
        <v>1.8080000000000001</v>
      </c>
    </row>
    <row r="109" spans="1:3">
      <c r="A109"/>
      <c r="B109" s="705" t="s">
        <v>1121</v>
      </c>
      <c r="C109" s="467">
        <v>2.0059999999999998</v>
      </c>
    </row>
    <row r="110" spans="1:3">
      <c r="A110"/>
      <c r="B110" s="705" t="s">
        <v>483</v>
      </c>
      <c r="C110" s="467">
        <v>1.847</v>
      </c>
    </row>
    <row r="111" spans="1:3">
      <c r="A111"/>
      <c r="B111" s="705" t="s">
        <v>1122</v>
      </c>
      <c r="C111" s="467">
        <v>1.615</v>
      </c>
    </row>
    <row r="112" spans="1:3">
      <c r="B112" s="705" t="s">
        <v>1123</v>
      </c>
      <c r="C112" s="467">
        <v>1.5840000000000001</v>
      </c>
    </row>
    <row r="113" spans="1:3">
      <c r="B113" s="705" t="s">
        <v>1124</v>
      </c>
      <c r="C113" s="467">
        <v>1.6279999999999999</v>
      </c>
    </row>
    <row r="114" spans="1:3">
      <c r="B114" s="705" t="s">
        <v>1125</v>
      </c>
      <c r="C114" s="467">
        <v>2.1659999999999999</v>
      </c>
    </row>
    <row r="115" spans="1:3">
      <c r="B115" s="705" t="s">
        <v>1126</v>
      </c>
      <c r="C115" s="467">
        <v>1.5620000000000001</v>
      </c>
    </row>
    <row r="116" spans="1:3">
      <c r="B116" s="705" t="s">
        <v>1127</v>
      </c>
      <c r="C116" s="467">
        <v>2.77</v>
      </c>
    </row>
    <row r="117" spans="1:3">
      <c r="B117" s="705" t="s">
        <v>1128</v>
      </c>
      <c r="C117" s="467">
        <v>1.65</v>
      </c>
    </row>
    <row r="118" spans="1:3">
      <c r="B118" s="705" t="s">
        <v>1129</v>
      </c>
      <c r="C118" s="467">
        <v>2.2879999999999998</v>
      </c>
    </row>
    <row r="119" spans="1:3">
      <c r="B119" s="705" t="s">
        <v>640</v>
      </c>
      <c r="C119" s="467">
        <v>7.9288501546156738</v>
      </c>
    </row>
    <row r="120" spans="1:3">
      <c r="B120" s="705" t="s">
        <v>1130</v>
      </c>
      <c r="C120" s="467">
        <v>7.9267656214951732</v>
      </c>
    </row>
    <row r="121" spans="1:3">
      <c r="B121" s="705" t="s">
        <v>1613</v>
      </c>
      <c r="C121" s="467">
        <v>0.34760000000000002</v>
      </c>
    </row>
    <row r="122" spans="1:3">
      <c r="B122" s="705" t="s">
        <v>1614</v>
      </c>
      <c r="C122" s="467">
        <v>2.5590000000000002</v>
      </c>
    </row>
    <row r="123" spans="1:3">
      <c r="A123" s="455">
        <v>315.2</v>
      </c>
      <c r="B123" s="456" t="s">
        <v>1138</v>
      </c>
      <c r="C123" s="467"/>
    </row>
    <row r="124" spans="1:3">
      <c r="B124" s="705" t="s">
        <v>1612</v>
      </c>
      <c r="C124" s="467">
        <v>2.728404897083236</v>
      </c>
    </row>
    <row r="125" spans="1:3">
      <c r="B125" s="705" t="s">
        <v>1117</v>
      </c>
      <c r="C125" s="467">
        <v>6.0369355354665828</v>
      </c>
    </row>
    <row r="126" spans="1:3">
      <c r="B126" s="705" t="s">
        <v>1118</v>
      </c>
      <c r="C126" s="467">
        <v>5.3109576937544141</v>
      </c>
    </row>
    <row r="127" spans="1:3">
      <c r="B127" s="705" t="s">
        <v>1119</v>
      </c>
      <c r="C127" s="467">
        <v>4.0199999999999996</v>
      </c>
    </row>
    <row r="128" spans="1:3">
      <c r="B128" s="705" t="s">
        <v>1121</v>
      </c>
      <c r="C128" s="467">
        <v>3.7759999999999998</v>
      </c>
    </row>
    <row r="129" spans="1:3">
      <c r="B129" s="705" t="s">
        <v>1124</v>
      </c>
      <c r="C129" s="467">
        <v>3.02</v>
      </c>
    </row>
    <row r="130" spans="1:3">
      <c r="B130" s="705" t="s">
        <v>1125</v>
      </c>
      <c r="C130" s="467">
        <v>4.0880000000000001</v>
      </c>
    </row>
    <row r="131" spans="1:3">
      <c r="B131" s="705" t="s">
        <v>1126</v>
      </c>
      <c r="C131" s="467">
        <v>3.8340000000000001</v>
      </c>
    </row>
    <row r="132" spans="1:3">
      <c r="B132" s="705" t="s">
        <v>1128</v>
      </c>
      <c r="C132" s="467">
        <v>3.0870000000000002</v>
      </c>
    </row>
    <row r="133" spans="1:3">
      <c r="B133" s="705" t="s">
        <v>1129</v>
      </c>
      <c r="C133" s="467">
        <v>2.7759999999999998</v>
      </c>
    </row>
    <row r="134" spans="1:3">
      <c r="B134" s="705" t="s">
        <v>1130</v>
      </c>
      <c r="C134" s="467">
        <v>0.25600000000000001</v>
      </c>
    </row>
    <row r="135" spans="1:3">
      <c r="B135" s="705" t="s">
        <v>1614</v>
      </c>
      <c r="C135" s="467">
        <v>7.657</v>
      </c>
    </row>
    <row r="136" spans="1:3">
      <c r="A136" s="455">
        <v>316</v>
      </c>
      <c r="B136" s="456" t="s">
        <v>1139</v>
      </c>
      <c r="C136" s="467"/>
    </row>
    <row r="137" spans="1:3">
      <c r="A137"/>
      <c r="B137" s="705" t="s">
        <v>1612</v>
      </c>
      <c r="C137" s="467">
        <v>14.902155547002078</v>
      </c>
    </row>
    <row r="138" spans="1:3">
      <c r="A138"/>
      <c r="B138" s="705" t="s">
        <v>1117</v>
      </c>
      <c r="C138" s="467">
        <v>4.6658304224654046</v>
      </c>
    </row>
    <row r="139" spans="1:3">
      <c r="A139"/>
      <c r="B139" s="705" t="s">
        <v>1118</v>
      </c>
      <c r="C139" s="467">
        <v>10.376047328485704</v>
      </c>
    </row>
    <row r="140" spans="1:3">
      <c r="A140"/>
      <c r="B140" s="705" t="s">
        <v>1119</v>
      </c>
      <c r="C140" s="467">
        <v>1.5129999999999999</v>
      </c>
    </row>
    <row r="141" spans="1:3">
      <c r="A141"/>
      <c r="B141" s="705" t="s">
        <v>1120</v>
      </c>
      <c r="C141" s="467">
        <v>1.4930000000000001</v>
      </c>
    </row>
    <row r="142" spans="1:3">
      <c r="A142"/>
      <c r="B142" s="705" t="s">
        <v>483</v>
      </c>
      <c r="C142" s="467">
        <v>2.0059999999999998</v>
      </c>
    </row>
    <row r="143" spans="1:3">
      <c r="A143"/>
      <c r="B143" s="705" t="s">
        <v>1121</v>
      </c>
      <c r="C143" s="467">
        <v>1.7609999999999999</v>
      </c>
    </row>
    <row r="144" spans="1:3">
      <c r="A144"/>
      <c r="B144" s="705" t="s">
        <v>1122</v>
      </c>
      <c r="C144" s="467">
        <v>1.581</v>
      </c>
    </row>
    <row r="145" spans="1:3">
      <c r="A145"/>
      <c r="B145" s="705" t="s">
        <v>1123</v>
      </c>
      <c r="C145" s="467">
        <v>1.5469999999999999</v>
      </c>
    </row>
    <row r="146" spans="1:3">
      <c r="A146"/>
      <c r="B146" s="705" t="s">
        <v>1124</v>
      </c>
      <c r="C146" s="467">
        <v>1.714</v>
      </c>
    </row>
    <row r="147" spans="1:3">
      <c r="A147"/>
      <c r="B147" s="705" t="s">
        <v>1125</v>
      </c>
      <c r="C147" s="467">
        <v>1.8879999999999999</v>
      </c>
    </row>
    <row r="148" spans="1:3">
      <c r="B148" s="705" t="s">
        <v>1126</v>
      </c>
      <c r="C148" s="467">
        <v>1.5680000000000001</v>
      </c>
    </row>
    <row r="149" spans="1:3">
      <c r="B149" s="705" t="s">
        <v>1127</v>
      </c>
      <c r="C149" s="467">
        <v>2.5640000000000001</v>
      </c>
    </row>
    <row r="150" spans="1:3">
      <c r="B150" s="705" t="s">
        <v>1128</v>
      </c>
      <c r="C150" s="467">
        <v>1.641</v>
      </c>
    </row>
    <row r="151" spans="1:3">
      <c r="B151" s="705" t="s">
        <v>1129</v>
      </c>
      <c r="C151" s="467">
        <v>2.419</v>
      </c>
    </row>
    <row r="152" spans="1:3">
      <c r="B152" s="705" t="s">
        <v>640</v>
      </c>
      <c r="C152" s="467">
        <v>6.4645414394923426</v>
      </c>
    </row>
    <row r="153" spans="1:3">
      <c r="B153" s="705" t="s">
        <v>1130</v>
      </c>
      <c r="C153" s="467">
        <v>5.1349219566039865</v>
      </c>
    </row>
    <row r="154" spans="1:3">
      <c r="B154" s="705" t="s">
        <v>1613</v>
      </c>
      <c r="C154" s="467">
        <v>0</v>
      </c>
    </row>
    <row r="155" spans="1:3">
      <c r="B155" s="705" t="s">
        <v>1614</v>
      </c>
      <c r="C155" s="467">
        <v>5.5979999999999999</v>
      </c>
    </row>
    <row r="156" spans="1:3" ht="14.25">
      <c r="A156" s="455">
        <v>317</v>
      </c>
      <c r="B156" s="456" t="s">
        <v>1140</v>
      </c>
      <c r="C156" s="467" t="s">
        <v>1330</v>
      </c>
    </row>
    <row r="157" spans="1:3">
      <c r="B157" s="456"/>
      <c r="C157" s="467"/>
    </row>
    <row r="158" spans="1:3">
      <c r="A158" s="765" t="s">
        <v>948</v>
      </c>
      <c r="B158" s="456"/>
      <c r="C158" s="468"/>
    </row>
    <row r="159" spans="1:3" ht="14.25">
      <c r="A159" s="455">
        <v>330</v>
      </c>
      <c r="B159" s="456" t="s">
        <v>1141</v>
      </c>
      <c r="C159" s="467" t="s">
        <v>1331</v>
      </c>
    </row>
    <row r="160" spans="1:3">
      <c r="A160" s="455">
        <v>331</v>
      </c>
      <c r="B160" s="456" t="s">
        <v>1212</v>
      </c>
      <c r="C160" s="467"/>
    </row>
    <row r="161" spans="1:3">
      <c r="B161" s="705" t="s">
        <v>1142</v>
      </c>
      <c r="C161" s="467">
        <v>1.4870000000000001</v>
      </c>
    </row>
    <row r="162" spans="1:3">
      <c r="B162" s="705" t="s">
        <v>453</v>
      </c>
      <c r="C162" s="467">
        <v>1.0620000000000001</v>
      </c>
    </row>
    <row r="163" spans="1:3">
      <c r="B163" s="705" t="s">
        <v>1143</v>
      </c>
      <c r="C163" s="467">
        <v>1.702</v>
      </c>
    </row>
    <row r="164" spans="1:3">
      <c r="B164" s="705" t="s">
        <v>1144</v>
      </c>
      <c r="C164" s="467">
        <v>1.8380000000000001</v>
      </c>
    </row>
    <row r="165" spans="1:3">
      <c r="B165" s="705" t="s">
        <v>1145</v>
      </c>
      <c r="C165" s="467">
        <v>1.677</v>
      </c>
    </row>
    <row r="166" spans="1:3">
      <c r="B166" s="705" t="s">
        <v>1146</v>
      </c>
      <c r="C166" s="467">
        <v>1.4079999999999999</v>
      </c>
    </row>
    <row r="167" spans="1:3">
      <c r="A167" s="455">
        <v>332</v>
      </c>
      <c r="B167" s="456" t="s">
        <v>1147</v>
      </c>
      <c r="C167" s="467"/>
    </row>
    <row r="168" spans="1:3">
      <c r="B168" s="705" t="s">
        <v>1142</v>
      </c>
      <c r="C168" s="467">
        <v>1.5620000000000001</v>
      </c>
    </row>
    <row r="169" spans="1:3">
      <c r="B169" s="705" t="s">
        <v>453</v>
      </c>
      <c r="C169" s="467">
        <v>1.0920000000000001</v>
      </c>
    </row>
    <row r="170" spans="1:3">
      <c r="B170" s="705" t="s">
        <v>1143</v>
      </c>
      <c r="C170" s="467">
        <v>2.3130000000000002</v>
      </c>
    </row>
    <row r="171" spans="1:3">
      <c r="B171" s="705" t="s">
        <v>1144</v>
      </c>
      <c r="C171" s="467">
        <v>1.5940000000000001</v>
      </c>
    </row>
    <row r="172" spans="1:3">
      <c r="B172" s="705" t="s">
        <v>1145</v>
      </c>
      <c r="C172" s="467">
        <v>0.86</v>
      </c>
    </row>
    <row r="173" spans="1:3">
      <c r="B173" s="705" t="s">
        <v>1146</v>
      </c>
      <c r="C173" s="467">
        <v>1.377</v>
      </c>
    </row>
    <row r="174" spans="1:3">
      <c r="A174" s="455">
        <v>333</v>
      </c>
      <c r="B174" s="456" t="s">
        <v>1148</v>
      </c>
      <c r="C174" s="467"/>
    </row>
    <row r="175" spans="1:3">
      <c r="B175" s="705" t="s">
        <v>1142</v>
      </c>
      <c r="C175" s="467">
        <v>0.94199999999999995</v>
      </c>
    </row>
    <row r="176" spans="1:3">
      <c r="B176" s="705" t="s">
        <v>453</v>
      </c>
      <c r="C176" s="467">
        <v>1.2270000000000001</v>
      </c>
    </row>
    <row r="177" spans="1:3">
      <c r="B177" s="705" t="s">
        <v>1143</v>
      </c>
      <c r="C177" s="467">
        <v>1.0309999999999999</v>
      </c>
    </row>
    <row r="178" spans="1:3">
      <c r="B178" s="705" t="s">
        <v>1144</v>
      </c>
      <c r="C178" s="467">
        <v>0.70899999999999996</v>
      </c>
    </row>
    <row r="179" spans="1:3">
      <c r="B179" s="705" t="s">
        <v>1145</v>
      </c>
      <c r="C179" s="467">
        <v>1.778</v>
      </c>
    </row>
    <row r="180" spans="1:3">
      <c r="B180" s="705" t="s">
        <v>1146</v>
      </c>
      <c r="C180" s="467">
        <v>1.851</v>
      </c>
    </row>
    <row r="181" spans="1:3">
      <c r="A181" s="455">
        <v>334</v>
      </c>
      <c r="B181" s="456" t="s">
        <v>1137</v>
      </c>
      <c r="C181" s="467"/>
    </row>
    <row r="182" spans="1:3">
      <c r="B182" s="705" t="s">
        <v>1142</v>
      </c>
      <c r="C182" s="467">
        <v>2.4710000000000001</v>
      </c>
    </row>
    <row r="183" spans="1:3">
      <c r="B183" s="705" t="s">
        <v>453</v>
      </c>
      <c r="C183" s="467">
        <v>1.4330000000000001</v>
      </c>
    </row>
    <row r="184" spans="1:3">
      <c r="B184" s="705" t="s">
        <v>1143</v>
      </c>
      <c r="C184" s="467">
        <v>1.6120000000000001</v>
      </c>
    </row>
    <row r="185" spans="1:3">
      <c r="B185" s="705" t="s">
        <v>1144</v>
      </c>
      <c r="C185" s="467">
        <v>2.0369999999999999</v>
      </c>
    </row>
    <row r="186" spans="1:3">
      <c r="B186" s="705" t="s">
        <v>1145</v>
      </c>
      <c r="C186" s="467">
        <v>2.306</v>
      </c>
    </row>
    <row r="187" spans="1:3">
      <c r="B187" s="705" t="s">
        <v>1146</v>
      </c>
      <c r="C187" s="467">
        <v>1.802</v>
      </c>
    </row>
    <row r="188" spans="1:3">
      <c r="A188" s="455">
        <v>334.2</v>
      </c>
      <c r="B188" s="456" t="s">
        <v>1214</v>
      </c>
      <c r="C188" s="467">
        <v>1.3169999999999999</v>
      </c>
    </row>
    <row r="189" spans="1:3">
      <c r="A189" s="455">
        <v>335</v>
      </c>
      <c r="B189" s="456" t="s">
        <v>1139</v>
      </c>
      <c r="C189" s="467"/>
    </row>
    <row r="190" spans="1:3">
      <c r="B190" s="705" t="s">
        <v>1142</v>
      </c>
      <c r="C190" s="467">
        <v>1.833</v>
      </c>
    </row>
    <row r="191" spans="1:3">
      <c r="B191" s="705" t="s">
        <v>453</v>
      </c>
      <c r="C191" s="467">
        <v>1.706</v>
      </c>
    </row>
    <row r="192" spans="1:3">
      <c r="B192" s="705" t="s">
        <v>1143</v>
      </c>
      <c r="C192" s="467">
        <v>2.8780000000000001</v>
      </c>
    </row>
    <row r="193" spans="1:3">
      <c r="B193" s="705" t="s">
        <v>1144</v>
      </c>
      <c r="C193" s="467">
        <v>3.69</v>
      </c>
    </row>
    <row r="194" spans="1:3">
      <c r="B194" s="705" t="s">
        <v>1145</v>
      </c>
      <c r="C194" s="467">
        <v>2.83</v>
      </c>
    </row>
    <row r="195" spans="1:3">
      <c r="B195" s="705" t="s">
        <v>1146</v>
      </c>
      <c r="C195" s="467">
        <v>1.929</v>
      </c>
    </row>
    <row r="196" spans="1:3">
      <c r="A196" s="455">
        <v>335.2</v>
      </c>
      <c r="B196" s="456" t="s">
        <v>1149</v>
      </c>
      <c r="C196" s="467"/>
    </row>
    <row r="197" spans="1:3">
      <c r="B197" s="705" t="s">
        <v>1142</v>
      </c>
      <c r="C197" s="467">
        <v>2.3559999999999999</v>
      </c>
    </row>
    <row r="198" spans="1:3">
      <c r="B198" s="705" t="s">
        <v>453</v>
      </c>
      <c r="C198" s="467">
        <v>1.5449999999999999</v>
      </c>
    </row>
    <row r="199" spans="1:3">
      <c r="B199" s="705" t="s">
        <v>1143</v>
      </c>
      <c r="C199" s="467">
        <v>2.266</v>
      </c>
    </row>
    <row r="200" spans="1:3">
      <c r="B200" s="705" t="s">
        <v>1144</v>
      </c>
      <c r="C200" s="467">
        <v>3.33</v>
      </c>
    </row>
    <row r="201" spans="1:3">
      <c r="B201" s="705" t="s">
        <v>1146</v>
      </c>
      <c r="C201" s="467">
        <v>1.6619999999999999</v>
      </c>
    </row>
    <row r="202" spans="1:3">
      <c r="A202" s="455">
        <v>336</v>
      </c>
      <c r="B202" s="456" t="s">
        <v>1150</v>
      </c>
      <c r="C202" s="467"/>
    </row>
    <row r="203" spans="1:3">
      <c r="B203" s="705" t="s">
        <v>1142</v>
      </c>
      <c r="C203" s="467">
        <v>2.403</v>
      </c>
    </row>
    <row r="204" spans="1:3">
      <c r="B204" s="705" t="s">
        <v>453</v>
      </c>
      <c r="C204" s="467">
        <v>1.0660000000000001</v>
      </c>
    </row>
    <row r="205" spans="1:3">
      <c r="B205" s="705" t="s">
        <v>1144</v>
      </c>
      <c r="C205" s="467">
        <v>2.6659999999999999</v>
      </c>
    </row>
    <row r="206" spans="1:3">
      <c r="B206" s="705" t="s">
        <v>1145</v>
      </c>
      <c r="C206" s="467">
        <v>1.121</v>
      </c>
    </row>
    <row r="207" spans="1:3">
      <c r="B207" s="705" t="s">
        <v>1146</v>
      </c>
      <c r="C207" s="467">
        <v>1.329</v>
      </c>
    </row>
    <row r="208" spans="1:3">
      <c r="B208" s="456"/>
      <c r="C208" s="706"/>
    </row>
    <row r="209" spans="1:3">
      <c r="A209" s="765" t="s">
        <v>949</v>
      </c>
      <c r="B209" s="456"/>
      <c r="C209" s="468"/>
    </row>
    <row r="210" spans="1:3">
      <c r="A210" s="455">
        <v>340</v>
      </c>
      <c r="B210" s="456" t="s">
        <v>1151</v>
      </c>
      <c r="C210" s="467">
        <v>2</v>
      </c>
    </row>
    <row r="211" spans="1:3">
      <c r="A211" s="455">
        <v>341</v>
      </c>
      <c r="B211" s="456" t="s">
        <v>1212</v>
      </c>
      <c r="C211" s="467"/>
    </row>
    <row r="212" spans="1:3">
      <c r="B212" s="705" t="s">
        <v>449</v>
      </c>
      <c r="C212" s="467">
        <v>4.63</v>
      </c>
    </row>
    <row r="213" spans="1:3">
      <c r="B213" s="705" t="s">
        <v>1152</v>
      </c>
      <c r="C213" s="467">
        <v>2.6890000000000001</v>
      </c>
    </row>
    <row r="214" spans="1:3">
      <c r="B214" s="705" t="s">
        <v>1153</v>
      </c>
      <c r="C214" s="467">
        <v>2.6890000000000001</v>
      </c>
    </row>
    <row r="215" spans="1:3">
      <c r="B215" s="705" t="s">
        <v>1154</v>
      </c>
      <c r="C215" s="467">
        <v>2.6890000000000001</v>
      </c>
    </row>
    <row r="216" spans="1:3" ht="14.25">
      <c r="B216" s="705" t="s">
        <v>1422</v>
      </c>
      <c r="C216" s="469" t="s">
        <v>1616</v>
      </c>
    </row>
    <row r="217" spans="1:3">
      <c r="B217" s="705" t="s">
        <v>1155</v>
      </c>
      <c r="C217" s="467">
        <v>0.88500000000000001</v>
      </c>
    </row>
    <row r="218" spans="1:3">
      <c r="B218" s="705" t="s">
        <v>1156</v>
      </c>
      <c r="C218" s="467">
        <v>1.4350000000000001</v>
      </c>
    </row>
    <row r="219" spans="1:3">
      <c r="B219" s="705" t="s">
        <v>1157</v>
      </c>
      <c r="C219" s="467">
        <v>2.34</v>
      </c>
    </row>
    <row r="220" spans="1:3">
      <c r="B220" s="705" t="s">
        <v>1158</v>
      </c>
      <c r="C220" s="467">
        <v>2.34</v>
      </c>
    </row>
    <row r="221" spans="1:3">
      <c r="B221" s="705" t="s">
        <v>1159</v>
      </c>
      <c r="C221" s="467">
        <v>2.4929999999999999</v>
      </c>
    </row>
    <row r="222" spans="1:3">
      <c r="B222" s="705" t="s">
        <v>1160</v>
      </c>
      <c r="C222" s="467">
        <v>2.5619999999999998</v>
      </c>
    </row>
    <row r="223" spans="1:3">
      <c r="B223" s="705" t="s">
        <v>1161</v>
      </c>
      <c r="C223" s="467">
        <v>2.5619999999999998</v>
      </c>
    </row>
    <row r="224" spans="1:3">
      <c r="B224" s="705" t="s">
        <v>1162</v>
      </c>
      <c r="C224" s="467">
        <v>1.72</v>
      </c>
    </row>
    <row r="225" spans="1:3">
      <c r="B225" s="705" t="s">
        <v>1163</v>
      </c>
      <c r="C225" s="467">
        <v>2.56</v>
      </c>
    </row>
    <row r="226" spans="1:3">
      <c r="B226" s="705" t="s">
        <v>1164</v>
      </c>
      <c r="C226" s="467">
        <v>2.34</v>
      </c>
    </row>
    <row r="227" spans="1:3" ht="14.25">
      <c r="B227" s="705" t="s">
        <v>1617</v>
      </c>
      <c r="C227" s="469" t="s">
        <v>1423</v>
      </c>
    </row>
    <row r="228" spans="1:3">
      <c r="B228" s="705" t="s">
        <v>1165</v>
      </c>
      <c r="C228" s="467">
        <v>2.8490000000000002</v>
      </c>
    </row>
    <row r="229" spans="1:3">
      <c r="B229" s="705" t="s">
        <v>1166</v>
      </c>
      <c r="C229" s="467">
        <v>2.8490000000000002</v>
      </c>
    </row>
    <row r="230" spans="1:3">
      <c r="B230" s="705" t="s">
        <v>1167</v>
      </c>
      <c r="C230" s="467">
        <v>2.8490000000000002</v>
      </c>
    </row>
    <row r="231" spans="1:3">
      <c r="B231" s="705" t="s">
        <v>1168</v>
      </c>
      <c r="C231" s="467">
        <v>2.8490000000000002</v>
      </c>
    </row>
    <row r="232" spans="1:3">
      <c r="B232" s="705" t="s">
        <v>1169</v>
      </c>
      <c r="C232" s="467">
        <v>0.82</v>
      </c>
    </row>
    <row r="233" spans="1:3">
      <c r="A233" s="455">
        <v>342</v>
      </c>
      <c r="B233" s="456" t="s">
        <v>1170</v>
      </c>
      <c r="C233" s="467"/>
    </row>
    <row r="234" spans="1:3">
      <c r="B234" s="705" t="s">
        <v>449</v>
      </c>
      <c r="C234" s="467">
        <v>1.0409999999999999</v>
      </c>
    </row>
    <row r="235" spans="1:3">
      <c r="B235" s="705" t="s">
        <v>1152</v>
      </c>
      <c r="C235" s="467">
        <v>2.6890000000000001</v>
      </c>
    </row>
    <row r="236" spans="1:3">
      <c r="B236" s="705" t="s">
        <v>1153</v>
      </c>
      <c r="C236" s="467">
        <v>2.6890000000000001</v>
      </c>
    </row>
    <row r="237" spans="1:3">
      <c r="B237" s="705" t="s">
        <v>1154</v>
      </c>
      <c r="C237" s="467">
        <v>2.6890000000000001</v>
      </c>
    </row>
    <row r="238" spans="1:3" ht="14.25">
      <c r="B238" s="705" t="s">
        <v>1422</v>
      </c>
      <c r="C238" s="469" t="s">
        <v>1616</v>
      </c>
    </row>
    <row r="239" spans="1:3">
      <c r="B239" s="705" t="s">
        <v>1155</v>
      </c>
      <c r="C239" s="467">
        <v>1.04</v>
      </c>
    </row>
    <row r="240" spans="1:3">
      <c r="B240" s="705" t="s">
        <v>1156</v>
      </c>
      <c r="C240" s="467">
        <v>2.4809999999999999</v>
      </c>
    </row>
    <row r="241" spans="1:3">
      <c r="B241" s="705" t="s">
        <v>1157</v>
      </c>
      <c r="C241" s="467">
        <v>2.8540000000000001</v>
      </c>
    </row>
    <row r="242" spans="1:3">
      <c r="B242" s="705" t="s">
        <v>1158</v>
      </c>
      <c r="C242" s="467">
        <v>2.891</v>
      </c>
    </row>
    <row r="243" spans="1:3">
      <c r="B243" s="705" t="s">
        <v>1159</v>
      </c>
      <c r="C243" s="467">
        <v>2.5270000000000001</v>
      </c>
    </row>
    <row r="244" spans="1:3">
      <c r="B244" s="705" t="s">
        <v>1160</v>
      </c>
      <c r="C244" s="467">
        <v>2.5619999999999998</v>
      </c>
    </row>
    <row r="245" spans="1:3">
      <c r="B245" s="705" t="s">
        <v>1161</v>
      </c>
      <c r="C245" s="467">
        <v>2.5619999999999998</v>
      </c>
    </row>
    <row r="246" spans="1:3">
      <c r="B246" s="705" t="s">
        <v>1162</v>
      </c>
      <c r="C246" s="467">
        <v>1.7030000000000001</v>
      </c>
    </row>
    <row r="247" spans="1:3">
      <c r="B247" s="705" t="s">
        <v>1163</v>
      </c>
      <c r="C247" s="467">
        <v>3.89</v>
      </c>
    </row>
    <row r="248" spans="1:3" ht="14.25">
      <c r="B248" s="705" t="s">
        <v>1617</v>
      </c>
      <c r="C248" s="469" t="s">
        <v>1423</v>
      </c>
    </row>
    <row r="249" spans="1:3">
      <c r="B249" s="705" t="s">
        <v>1165</v>
      </c>
      <c r="C249" s="467">
        <v>2.8490000000000002</v>
      </c>
    </row>
    <row r="250" spans="1:3">
      <c r="B250" s="705" t="s">
        <v>1166</v>
      </c>
      <c r="C250" s="467">
        <v>2.8490000000000002</v>
      </c>
    </row>
    <row r="251" spans="1:3">
      <c r="B251" s="705" t="s">
        <v>1167</v>
      </c>
      <c r="C251" s="467">
        <v>2.8490000000000002</v>
      </c>
    </row>
    <row r="252" spans="1:3">
      <c r="B252" s="705" t="s">
        <v>1168</v>
      </c>
      <c r="C252" s="467">
        <v>2.8490000000000002</v>
      </c>
    </row>
    <row r="253" spans="1:3">
      <c r="B253" s="705" t="s">
        <v>1169</v>
      </c>
      <c r="C253" s="467">
        <v>1.353</v>
      </c>
    </row>
    <row r="254" spans="1:3">
      <c r="A254" s="455">
        <v>343</v>
      </c>
      <c r="B254" s="456" t="s">
        <v>1171</v>
      </c>
      <c r="C254" s="467"/>
    </row>
    <row r="255" spans="1:3">
      <c r="B255" s="705" t="s">
        <v>1152</v>
      </c>
      <c r="C255" s="467">
        <v>2.6890000000000001</v>
      </c>
    </row>
    <row r="256" spans="1:3">
      <c r="B256" s="705" t="s">
        <v>1153</v>
      </c>
      <c r="C256" s="467">
        <v>2.6890000000000001</v>
      </c>
    </row>
    <row r="257" spans="1:3">
      <c r="B257" s="705" t="s">
        <v>1154</v>
      </c>
      <c r="C257" s="467">
        <v>2.6890000000000001</v>
      </c>
    </row>
    <row r="258" spans="1:3" ht="14.25">
      <c r="B258" s="705" t="s">
        <v>1422</v>
      </c>
      <c r="C258" s="469" t="s">
        <v>1616</v>
      </c>
    </row>
    <row r="259" spans="1:3">
      <c r="B259" s="705" t="s">
        <v>1156</v>
      </c>
      <c r="C259" s="467">
        <v>2.2109999999999999</v>
      </c>
    </row>
    <row r="260" spans="1:3">
      <c r="B260" s="705" t="s">
        <v>1157</v>
      </c>
      <c r="C260" s="467">
        <v>2.3149999999999999</v>
      </c>
    </row>
    <row r="261" spans="1:3">
      <c r="B261" s="705" t="s">
        <v>1158</v>
      </c>
      <c r="C261" s="467">
        <v>2.0699999999999998</v>
      </c>
    </row>
    <row r="262" spans="1:3">
      <c r="B262" s="705" t="s">
        <v>1159</v>
      </c>
      <c r="C262" s="467">
        <v>2.0699999999999998</v>
      </c>
    </row>
    <row r="263" spans="1:3">
      <c r="B263" s="705" t="s">
        <v>1160</v>
      </c>
      <c r="C263" s="467">
        <v>2.5619999999999998</v>
      </c>
    </row>
    <row r="264" spans="1:3">
      <c r="B264" s="705" t="s">
        <v>1161</v>
      </c>
      <c r="C264" s="467">
        <v>2.5619999999999998</v>
      </c>
    </row>
    <row r="265" spans="1:3">
      <c r="B265" s="705" t="s">
        <v>1162</v>
      </c>
      <c r="C265" s="467">
        <v>2.7290000000000001</v>
      </c>
    </row>
    <row r="266" spans="1:3" ht="14.25">
      <c r="B266" s="705" t="s">
        <v>1617</v>
      </c>
      <c r="C266" s="469" t="s">
        <v>1423</v>
      </c>
    </row>
    <row r="267" spans="1:3">
      <c r="B267" s="705" t="s">
        <v>1165</v>
      </c>
      <c r="C267" s="467">
        <v>2.8490000000000002</v>
      </c>
    </row>
    <row r="268" spans="1:3">
      <c r="B268" s="705" t="s">
        <v>1166</v>
      </c>
      <c r="C268" s="467">
        <v>2.8490000000000002</v>
      </c>
    </row>
    <row r="269" spans="1:3">
      <c r="B269" s="705" t="s">
        <v>1167</v>
      </c>
      <c r="C269" s="467">
        <v>2.8490000000000002</v>
      </c>
    </row>
    <row r="270" spans="1:3">
      <c r="B270" s="705" t="s">
        <v>1168</v>
      </c>
      <c r="C270" s="467">
        <v>2.8490000000000002</v>
      </c>
    </row>
    <row r="271" spans="1:3">
      <c r="A271" s="455">
        <v>344</v>
      </c>
      <c r="B271" s="456" t="s">
        <v>1172</v>
      </c>
      <c r="C271" s="467"/>
    </row>
    <row r="272" spans="1:3">
      <c r="B272" s="705" t="s">
        <v>449</v>
      </c>
      <c r="C272" s="467">
        <v>1.6180000000000001</v>
      </c>
    </row>
    <row r="273" spans="2:3">
      <c r="B273" s="705" t="s">
        <v>1152</v>
      </c>
      <c r="C273" s="467">
        <v>2.6890000000000001</v>
      </c>
    </row>
    <row r="274" spans="2:3">
      <c r="B274" s="705" t="s">
        <v>1153</v>
      </c>
      <c r="C274" s="467">
        <v>2.6890000000000001</v>
      </c>
    </row>
    <row r="275" spans="2:3" ht="14.25">
      <c r="B275" s="705" t="s">
        <v>1422</v>
      </c>
      <c r="C275" s="469" t="s">
        <v>1616</v>
      </c>
    </row>
    <row r="276" spans="2:3">
      <c r="B276" s="705" t="s">
        <v>1618</v>
      </c>
      <c r="C276" s="467">
        <v>6.67</v>
      </c>
    </row>
    <row r="277" spans="2:3">
      <c r="B277" s="705" t="s">
        <v>1155</v>
      </c>
      <c r="C277" s="467">
        <v>1.0289999999999999</v>
      </c>
    </row>
    <row r="278" spans="2:3">
      <c r="B278" s="705" t="s">
        <v>1156</v>
      </c>
      <c r="C278" s="467">
        <v>1.4239999999999999</v>
      </c>
    </row>
    <row r="279" spans="2:3">
      <c r="B279" s="705" t="s">
        <v>1157</v>
      </c>
      <c r="C279" s="467">
        <v>2.4180000000000001</v>
      </c>
    </row>
    <row r="280" spans="2:3">
      <c r="B280" s="705" t="s">
        <v>1158</v>
      </c>
      <c r="C280" s="467">
        <v>2.726</v>
      </c>
    </row>
    <row r="281" spans="2:3">
      <c r="B281" s="705" t="s">
        <v>1159</v>
      </c>
      <c r="C281" s="467">
        <v>2.6890000000000001</v>
      </c>
    </row>
    <row r="282" spans="2:3">
      <c r="B282" s="705" t="s">
        <v>1160</v>
      </c>
      <c r="C282" s="467">
        <v>2.5619999999999998</v>
      </c>
    </row>
    <row r="283" spans="2:3">
      <c r="B283" s="705" t="s">
        <v>1161</v>
      </c>
      <c r="C283" s="467">
        <v>2.5619999999999998</v>
      </c>
    </row>
    <row r="284" spans="2:3">
      <c r="B284" s="705" t="s">
        <v>1162</v>
      </c>
      <c r="C284" s="467">
        <v>2.6890000000000001</v>
      </c>
    </row>
    <row r="285" spans="2:3">
      <c r="B285" s="705" t="s">
        <v>1163</v>
      </c>
      <c r="C285" s="467">
        <v>4.0259999999999998</v>
      </c>
    </row>
    <row r="286" spans="2:3" ht="14.25">
      <c r="B286" s="705" t="s">
        <v>1617</v>
      </c>
      <c r="C286" s="469" t="s">
        <v>1423</v>
      </c>
    </row>
    <row r="287" spans="2:3">
      <c r="B287" s="705" t="s">
        <v>1165</v>
      </c>
      <c r="C287" s="467">
        <v>2.8490000000000002</v>
      </c>
    </row>
    <row r="288" spans="2:3">
      <c r="B288" s="705" t="s">
        <v>1166</v>
      </c>
      <c r="C288" s="467">
        <v>2.8490000000000002</v>
      </c>
    </row>
    <row r="289" spans="1:3">
      <c r="B289" s="705" t="s">
        <v>1167</v>
      </c>
      <c r="C289" s="467">
        <v>2.8490000000000002</v>
      </c>
    </row>
    <row r="290" spans="1:3">
      <c r="B290" s="705" t="s">
        <v>1169</v>
      </c>
      <c r="C290" s="467">
        <v>1.9019999999999999</v>
      </c>
    </row>
    <row r="291" spans="1:3" ht="14.25">
      <c r="B291" s="705" t="s">
        <v>1424</v>
      </c>
      <c r="C291" s="469" t="s">
        <v>1619</v>
      </c>
    </row>
    <row r="292" spans="1:3">
      <c r="A292" s="455">
        <v>345</v>
      </c>
      <c r="B292" s="456" t="s">
        <v>1137</v>
      </c>
      <c r="C292" s="467"/>
    </row>
    <row r="293" spans="1:3">
      <c r="B293" s="705" t="s">
        <v>449</v>
      </c>
      <c r="C293" s="467">
        <v>3.7450000000000001</v>
      </c>
    </row>
    <row r="294" spans="1:3">
      <c r="B294" s="705" t="s">
        <v>1152</v>
      </c>
      <c r="C294" s="467">
        <v>2.6890000000000001</v>
      </c>
    </row>
    <row r="295" spans="1:3">
      <c r="A295"/>
      <c r="B295" s="705" t="s">
        <v>1153</v>
      </c>
      <c r="C295" s="467">
        <v>2.6890000000000001</v>
      </c>
    </row>
    <row r="296" spans="1:3">
      <c r="A296"/>
      <c r="B296" s="705" t="s">
        <v>1154</v>
      </c>
      <c r="C296" s="467">
        <v>2.6890000000000001</v>
      </c>
    </row>
    <row r="297" spans="1:3" ht="14.25">
      <c r="B297" s="705" t="s">
        <v>1422</v>
      </c>
      <c r="C297" s="469" t="s">
        <v>1616</v>
      </c>
    </row>
    <row r="298" spans="1:3">
      <c r="A298"/>
      <c r="B298" s="705" t="s">
        <v>1155</v>
      </c>
      <c r="C298" s="467">
        <v>4.2030000000000003</v>
      </c>
    </row>
    <row r="299" spans="1:3">
      <c r="A299"/>
      <c r="B299" s="705" t="s">
        <v>1156</v>
      </c>
      <c r="C299" s="467">
        <v>1.4370000000000001</v>
      </c>
    </row>
    <row r="300" spans="1:3">
      <c r="A300"/>
      <c r="B300" s="705" t="s">
        <v>1157</v>
      </c>
      <c r="C300" s="467">
        <v>2.21</v>
      </c>
    </row>
    <row r="301" spans="1:3">
      <c r="A301"/>
      <c r="B301" s="705" t="s">
        <v>1158</v>
      </c>
      <c r="C301" s="467">
        <v>2.21</v>
      </c>
    </row>
    <row r="302" spans="1:3">
      <c r="A302"/>
      <c r="B302" s="705" t="s">
        <v>1159</v>
      </c>
      <c r="C302" s="467">
        <v>2.5409999999999999</v>
      </c>
    </row>
    <row r="303" spans="1:3">
      <c r="A303"/>
      <c r="B303" s="705" t="s">
        <v>1160</v>
      </c>
      <c r="C303" s="467">
        <v>2.5619999999999998</v>
      </c>
    </row>
    <row r="304" spans="1:3">
      <c r="A304"/>
      <c r="B304" s="705" t="s">
        <v>1161</v>
      </c>
      <c r="C304" s="467">
        <v>2.5619999999999998</v>
      </c>
    </row>
    <row r="305" spans="1:3">
      <c r="A305"/>
      <c r="B305" s="705" t="s">
        <v>1162</v>
      </c>
      <c r="C305" s="467">
        <v>2.6970000000000001</v>
      </c>
    </row>
    <row r="306" spans="1:3">
      <c r="A306"/>
      <c r="B306" s="705" t="s">
        <v>1163</v>
      </c>
      <c r="C306" s="467">
        <v>1.3660000000000001</v>
      </c>
    </row>
    <row r="307" spans="1:3" ht="14.25">
      <c r="A307"/>
      <c r="B307" s="705" t="s">
        <v>1617</v>
      </c>
      <c r="C307" s="469" t="s">
        <v>1423</v>
      </c>
    </row>
    <row r="308" spans="1:3">
      <c r="A308"/>
      <c r="B308" s="705" t="s">
        <v>1165</v>
      </c>
      <c r="C308" s="467">
        <v>2.8490000000000002</v>
      </c>
    </row>
    <row r="309" spans="1:3">
      <c r="A309"/>
      <c r="B309" s="705" t="s">
        <v>1166</v>
      </c>
      <c r="C309" s="467">
        <v>2.8490000000000002</v>
      </c>
    </row>
    <row r="310" spans="1:3">
      <c r="A310"/>
      <c r="B310" s="705" t="s">
        <v>1167</v>
      </c>
      <c r="C310" s="467">
        <v>2.8490000000000002</v>
      </c>
    </row>
    <row r="311" spans="1:3">
      <c r="A311"/>
      <c r="B311" s="705" t="s">
        <v>1168</v>
      </c>
      <c r="C311" s="467">
        <v>2.8490000000000002</v>
      </c>
    </row>
    <row r="312" spans="1:3">
      <c r="A312"/>
      <c r="B312" s="705" t="s">
        <v>1169</v>
      </c>
      <c r="C312" s="467">
        <v>4.5529999999999999</v>
      </c>
    </row>
    <row r="313" spans="1:3">
      <c r="A313" s="455">
        <v>345.2</v>
      </c>
      <c r="B313" s="456" t="s">
        <v>1214</v>
      </c>
      <c r="C313" s="467"/>
    </row>
    <row r="314" spans="1:3">
      <c r="B314" s="705" t="s">
        <v>1156</v>
      </c>
      <c r="C314" s="467">
        <v>1.7130000000000001</v>
      </c>
    </row>
    <row r="315" spans="1:3">
      <c r="B315" s="705" t="s">
        <v>1157</v>
      </c>
      <c r="C315" s="467">
        <v>2.21</v>
      </c>
    </row>
    <row r="316" spans="1:3">
      <c r="B316" s="705" t="s">
        <v>1158</v>
      </c>
      <c r="C316" s="467">
        <v>2.21</v>
      </c>
    </row>
    <row r="317" spans="1:3">
      <c r="B317" s="705" t="s">
        <v>1162</v>
      </c>
      <c r="C317" s="467">
        <v>2.202</v>
      </c>
    </row>
    <row r="318" spans="1:3">
      <c r="A318" s="455">
        <v>346</v>
      </c>
      <c r="B318" s="456" t="s">
        <v>1139</v>
      </c>
      <c r="C318" s="467"/>
    </row>
    <row r="319" spans="1:3">
      <c r="B319" s="705" t="s">
        <v>449</v>
      </c>
      <c r="C319" s="467">
        <v>0.97599999999999998</v>
      </c>
    </row>
    <row r="320" spans="1:3">
      <c r="B320" s="705" t="s">
        <v>1152</v>
      </c>
      <c r="C320" s="467">
        <v>2.6890000000000001</v>
      </c>
    </row>
    <row r="321" spans="2:3">
      <c r="B321" s="705" t="s">
        <v>1153</v>
      </c>
      <c r="C321" s="467">
        <v>2.6890000000000001</v>
      </c>
    </row>
    <row r="322" spans="2:3">
      <c r="B322" s="705" t="s">
        <v>1154</v>
      </c>
      <c r="C322" s="467">
        <v>2.6890000000000001</v>
      </c>
    </row>
    <row r="323" spans="2:3" ht="14.25">
      <c r="B323" s="705" t="s">
        <v>1422</v>
      </c>
      <c r="C323" s="469" t="s">
        <v>1616</v>
      </c>
    </row>
    <row r="324" spans="2:3">
      <c r="B324" s="705" t="s">
        <v>1155</v>
      </c>
      <c r="C324" s="467">
        <v>1.131</v>
      </c>
    </row>
    <row r="325" spans="2:3">
      <c r="B325" s="705" t="s">
        <v>1156</v>
      </c>
      <c r="C325" s="467">
        <v>1.494</v>
      </c>
    </row>
    <row r="326" spans="2:3">
      <c r="B326" s="705" t="s">
        <v>1157</v>
      </c>
      <c r="C326" s="467">
        <v>1.88</v>
      </c>
    </row>
    <row r="327" spans="2:3">
      <c r="B327" s="705" t="s">
        <v>1158</v>
      </c>
      <c r="C327" s="467">
        <v>1.88</v>
      </c>
    </row>
    <row r="328" spans="2:3">
      <c r="B328" s="705" t="s">
        <v>1159</v>
      </c>
      <c r="C328" s="467">
        <v>2.5230000000000001</v>
      </c>
    </row>
    <row r="329" spans="2:3">
      <c r="B329" s="705" t="s">
        <v>1160</v>
      </c>
      <c r="C329" s="467">
        <v>2.5619999999999998</v>
      </c>
    </row>
    <row r="330" spans="2:3">
      <c r="B330" s="705" t="s">
        <v>1161</v>
      </c>
      <c r="C330" s="467">
        <v>2.5619999999999998</v>
      </c>
    </row>
    <row r="331" spans="2:3">
      <c r="B331" s="705" t="s">
        <v>1162</v>
      </c>
      <c r="C331" s="467">
        <v>2.629</v>
      </c>
    </row>
    <row r="332" spans="2:3">
      <c r="B332" s="705" t="s">
        <v>1173</v>
      </c>
      <c r="C332" s="467">
        <v>1.4550000000000001</v>
      </c>
    </row>
    <row r="333" spans="2:3" ht="14.25">
      <c r="B333" s="705" t="s">
        <v>1617</v>
      </c>
      <c r="C333" s="469" t="s">
        <v>1423</v>
      </c>
    </row>
    <row r="334" spans="2:3">
      <c r="B334" s="705" t="s">
        <v>1165</v>
      </c>
      <c r="C334" s="467">
        <v>2.8490000000000002</v>
      </c>
    </row>
    <row r="335" spans="2:3">
      <c r="B335" s="705" t="s">
        <v>1166</v>
      </c>
      <c r="C335" s="467">
        <v>2.8490000000000002</v>
      </c>
    </row>
    <row r="336" spans="2:3">
      <c r="B336" s="705" t="s">
        <v>1167</v>
      </c>
      <c r="C336" s="467">
        <v>2.8490000000000002</v>
      </c>
    </row>
    <row r="337" spans="1:3">
      <c r="B337" s="705" t="s">
        <v>1168</v>
      </c>
      <c r="C337" s="467">
        <v>2.8490000000000002</v>
      </c>
    </row>
    <row r="338" spans="1:3">
      <c r="B338" s="705" t="s">
        <v>1169</v>
      </c>
      <c r="C338" s="467">
        <v>4.835</v>
      </c>
    </row>
    <row r="339" spans="1:3" ht="14.25">
      <c r="A339" s="455">
        <v>347</v>
      </c>
      <c r="B339" s="456" t="s">
        <v>1174</v>
      </c>
      <c r="C339" s="467" t="s">
        <v>1330</v>
      </c>
    </row>
    <row r="340" spans="1:3">
      <c r="B340" s="456"/>
      <c r="C340" s="467"/>
    </row>
    <row r="341" spans="1:3" ht="14.25">
      <c r="A341" s="455" t="s">
        <v>1620</v>
      </c>
      <c r="B341" s="705" t="s">
        <v>1621</v>
      </c>
      <c r="C341" s="467" t="s">
        <v>1425</v>
      </c>
    </row>
    <row r="342" spans="1:3">
      <c r="B342" s="456"/>
      <c r="C342" s="467"/>
    </row>
    <row r="343" spans="1:3">
      <c r="A343" s="763" t="s">
        <v>997</v>
      </c>
      <c r="B343" s="455"/>
      <c r="C343" s="468"/>
    </row>
    <row r="344" spans="1:3">
      <c r="A344" s="455">
        <v>350.2</v>
      </c>
      <c r="B344" s="453" t="s">
        <v>732</v>
      </c>
      <c r="C344" s="467">
        <v>1.03</v>
      </c>
    </row>
    <row r="345" spans="1:3">
      <c r="A345" s="455">
        <v>352</v>
      </c>
      <c r="B345" s="453" t="s">
        <v>733</v>
      </c>
      <c r="C345" s="467">
        <v>1.44</v>
      </c>
    </row>
    <row r="346" spans="1:3">
      <c r="A346" s="455">
        <v>353</v>
      </c>
      <c r="B346" s="453" t="s">
        <v>20</v>
      </c>
      <c r="C346" s="467">
        <v>1.78</v>
      </c>
    </row>
    <row r="347" spans="1:3">
      <c r="A347" s="455">
        <v>354</v>
      </c>
      <c r="B347" s="453" t="s">
        <v>734</v>
      </c>
      <c r="C347" s="467">
        <v>1.18</v>
      </c>
    </row>
    <row r="348" spans="1:3">
      <c r="A348" s="455">
        <v>355</v>
      </c>
      <c r="B348" s="453" t="s">
        <v>735</v>
      </c>
      <c r="C348" s="467">
        <v>1.64</v>
      </c>
    </row>
    <row r="349" spans="1:3">
      <c r="A349" s="455">
        <v>356</v>
      </c>
      <c r="B349" s="453" t="s">
        <v>736</v>
      </c>
      <c r="C349" s="467">
        <v>1.79</v>
      </c>
    </row>
    <row r="350" spans="1:3">
      <c r="A350" s="455">
        <v>357</v>
      </c>
      <c r="B350" s="453" t="s">
        <v>737</v>
      </c>
      <c r="C350" s="467">
        <v>1.94</v>
      </c>
    </row>
    <row r="351" spans="1:3">
      <c r="A351" s="455">
        <v>358</v>
      </c>
      <c r="B351" s="453" t="s">
        <v>738</v>
      </c>
      <c r="C351" s="467">
        <v>1.88</v>
      </c>
    </row>
    <row r="352" spans="1:3">
      <c r="A352" s="455">
        <v>359</v>
      </c>
      <c r="B352" s="456" t="s">
        <v>739</v>
      </c>
      <c r="C352" s="469">
        <v>0.97</v>
      </c>
    </row>
    <row r="353" spans="1:3">
      <c r="B353" s="456"/>
      <c r="C353" s="469"/>
    </row>
    <row r="354" spans="1:3">
      <c r="A354" s="763" t="s">
        <v>996</v>
      </c>
      <c r="B354" s="456"/>
      <c r="C354" s="469"/>
    </row>
    <row r="355" spans="1:3">
      <c r="A355" s="455">
        <v>360.1</v>
      </c>
      <c r="B355" s="456" t="s">
        <v>1175</v>
      </c>
      <c r="C355" s="469"/>
    </row>
    <row r="356" spans="1:3">
      <c r="A356" s="455">
        <v>360.2</v>
      </c>
      <c r="B356" s="456" t="s">
        <v>732</v>
      </c>
      <c r="C356" s="469">
        <v>1.0900000000000001</v>
      </c>
    </row>
    <row r="357" spans="1:3">
      <c r="A357" s="455">
        <v>361</v>
      </c>
      <c r="B357" s="456" t="s">
        <v>733</v>
      </c>
      <c r="C357" s="469">
        <v>1.71</v>
      </c>
    </row>
    <row r="358" spans="1:3">
      <c r="A358" s="455">
        <v>361.1</v>
      </c>
      <c r="B358" s="456" t="s">
        <v>1176</v>
      </c>
      <c r="C358" s="469">
        <v>1.71</v>
      </c>
    </row>
    <row r="359" spans="1:3">
      <c r="A359" s="455">
        <v>362</v>
      </c>
      <c r="B359" s="456" t="s">
        <v>20</v>
      </c>
      <c r="C359" s="469">
        <v>2.0499999999999998</v>
      </c>
    </row>
    <row r="360" spans="1:3">
      <c r="A360" s="455">
        <v>362.1</v>
      </c>
      <c r="B360" s="456" t="s">
        <v>1177</v>
      </c>
      <c r="C360" s="469">
        <v>2.0499999999999998</v>
      </c>
    </row>
    <row r="361" spans="1:3">
      <c r="A361" s="455">
        <v>364</v>
      </c>
      <c r="B361" s="456" t="s">
        <v>1178</v>
      </c>
      <c r="C361" s="469">
        <v>3.65</v>
      </c>
    </row>
    <row r="362" spans="1:3">
      <c r="A362" s="455">
        <v>365</v>
      </c>
      <c r="B362" s="456" t="s">
        <v>736</v>
      </c>
      <c r="C362" s="469">
        <v>3.31</v>
      </c>
    </row>
    <row r="363" spans="1:3">
      <c r="A363" s="455">
        <v>366</v>
      </c>
      <c r="B363" s="456" t="s">
        <v>737</v>
      </c>
      <c r="C363" s="469">
        <v>1.99</v>
      </c>
    </row>
    <row r="364" spans="1:3">
      <c r="A364" s="455">
        <v>367</v>
      </c>
      <c r="B364" s="456" t="s">
        <v>738</v>
      </c>
      <c r="C364" s="469">
        <v>2.0499999999999998</v>
      </c>
    </row>
    <row r="365" spans="1:3">
      <c r="A365" s="455">
        <v>368</v>
      </c>
      <c r="B365" s="456" t="s">
        <v>1179</v>
      </c>
      <c r="C365" s="469">
        <v>2.21</v>
      </c>
    </row>
    <row r="366" spans="1:3">
      <c r="A366" s="455">
        <v>369</v>
      </c>
      <c r="B366" s="456" t="s">
        <v>1180</v>
      </c>
      <c r="C366" s="469">
        <v>2.33</v>
      </c>
    </row>
    <row r="367" spans="1:3">
      <c r="A367" s="455">
        <v>369.1</v>
      </c>
      <c r="B367" s="456" t="s">
        <v>1181</v>
      </c>
      <c r="C367" s="469">
        <v>2.33</v>
      </c>
    </row>
    <row r="368" spans="1:3">
      <c r="A368" s="455">
        <v>369.2</v>
      </c>
      <c r="B368" s="456" t="s">
        <v>1182</v>
      </c>
      <c r="C368" s="469">
        <v>2.33</v>
      </c>
    </row>
    <row r="369" spans="1:4">
      <c r="A369" s="455">
        <v>370</v>
      </c>
      <c r="B369" s="456" t="s">
        <v>1183</v>
      </c>
      <c r="C369" s="469">
        <v>3.97</v>
      </c>
    </row>
    <row r="370" spans="1:4" ht="14.25">
      <c r="A370" s="455">
        <v>370.2</v>
      </c>
      <c r="B370" s="456" t="s">
        <v>1184</v>
      </c>
      <c r="C370" s="469" t="s">
        <v>1426</v>
      </c>
    </row>
    <row r="371" spans="1:4">
      <c r="A371" s="455">
        <v>371</v>
      </c>
      <c r="B371" s="456" t="s">
        <v>1185</v>
      </c>
      <c r="C371" s="469">
        <v>1</v>
      </c>
    </row>
    <row r="372" spans="1:4">
      <c r="A372" s="455">
        <v>373</v>
      </c>
      <c r="B372" s="456" t="s">
        <v>1186</v>
      </c>
      <c r="C372" s="469">
        <v>2.95</v>
      </c>
    </row>
    <row r="373" spans="1:4">
      <c r="A373" s="763"/>
      <c r="B373" s="456"/>
      <c r="C373" s="469"/>
    </row>
    <row r="374" spans="1:4">
      <c r="A374" s="763" t="s">
        <v>1009</v>
      </c>
      <c r="C374" s="467"/>
    </row>
    <row r="375" spans="1:4" ht="14.25">
      <c r="A375" s="455">
        <v>389</v>
      </c>
      <c r="B375" s="453" t="s">
        <v>1211</v>
      </c>
      <c r="C375" s="467" t="s">
        <v>212</v>
      </c>
    </row>
    <row r="376" spans="1:4">
      <c r="A376" s="455">
        <v>390</v>
      </c>
      <c r="B376" s="453" t="s">
        <v>1212</v>
      </c>
      <c r="C376" s="467">
        <v>4.88</v>
      </c>
    </row>
    <row r="377" spans="1:4">
      <c r="A377" s="455">
        <v>391</v>
      </c>
      <c r="B377" s="453" t="s">
        <v>1213</v>
      </c>
      <c r="C377" s="467">
        <v>4.75</v>
      </c>
    </row>
    <row r="378" spans="1:4">
      <c r="A378" s="455">
        <v>391.2</v>
      </c>
      <c r="B378" s="453" t="s">
        <v>16</v>
      </c>
      <c r="C378" s="467">
        <v>20</v>
      </c>
    </row>
    <row r="379" spans="1:4">
      <c r="A379" s="455">
        <v>392.1</v>
      </c>
      <c r="B379" s="453" t="s">
        <v>1427</v>
      </c>
      <c r="C379" s="467">
        <v>9</v>
      </c>
      <c r="D379" s="884"/>
    </row>
    <row r="380" spans="1:4">
      <c r="A380" s="455">
        <v>392.2</v>
      </c>
      <c r="B380" s="453" t="s">
        <v>1428</v>
      </c>
      <c r="C380" s="467">
        <v>9</v>
      </c>
    </row>
    <row r="381" spans="1:4">
      <c r="A381" s="455">
        <v>392.3</v>
      </c>
      <c r="B381" s="453" t="s">
        <v>1429</v>
      </c>
      <c r="C381" s="467">
        <v>9</v>
      </c>
    </row>
    <row r="382" spans="1:4">
      <c r="A382" s="455">
        <v>392.4</v>
      </c>
      <c r="B382" s="453" t="s">
        <v>1430</v>
      </c>
      <c r="C382" s="467">
        <v>9</v>
      </c>
    </row>
    <row r="383" spans="1:4">
      <c r="A383" s="455">
        <v>393</v>
      </c>
      <c r="B383" s="453" t="s">
        <v>1215</v>
      </c>
      <c r="C383" s="467">
        <v>3.17</v>
      </c>
    </row>
    <row r="384" spans="1:4">
      <c r="A384" s="455">
        <v>394</v>
      </c>
      <c r="B384" s="453" t="s">
        <v>1216</v>
      </c>
      <c r="C384" s="467">
        <v>3.8</v>
      </c>
    </row>
    <row r="385" spans="1:3">
      <c r="A385" s="455">
        <v>395</v>
      </c>
      <c r="B385" s="453" t="s">
        <v>1217</v>
      </c>
      <c r="C385" s="467">
        <v>9.5</v>
      </c>
    </row>
    <row r="386" spans="1:3">
      <c r="A386" s="455">
        <v>396</v>
      </c>
      <c r="B386" s="453" t="s">
        <v>1218</v>
      </c>
      <c r="C386" s="467">
        <v>9</v>
      </c>
    </row>
    <row r="387" spans="1:3">
      <c r="A387" s="455">
        <v>397</v>
      </c>
      <c r="B387" s="453" t="s">
        <v>1219</v>
      </c>
      <c r="C387" s="467">
        <v>6.67</v>
      </c>
    </row>
    <row r="388" spans="1:3">
      <c r="A388" s="455">
        <v>397.3</v>
      </c>
      <c r="B388" s="453" t="s">
        <v>1431</v>
      </c>
      <c r="C388" s="467">
        <v>6.67</v>
      </c>
    </row>
    <row r="389" spans="1:3">
      <c r="A389" s="455">
        <v>398</v>
      </c>
      <c r="B389" s="453" t="s">
        <v>1220</v>
      </c>
      <c r="C389" s="467">
        <v>5</v>
      </c>
    </row>
    <row r="390" spans="1:3">
      <c r="C390" s="467"/>
    </row>
    <row r="391" spans="1:3">
      <c r="A391" s="763" t="s">
        <v>954</v>
      </c>
      <c r="B391" s="455"/>
      <c r="C391" s="468"/>
    </row>
    <row r="392" spans="1:3">
      <c r="A392" s="455">
        <v>302</v>
      </c>
      <c r="B392" s="453" t="s">
        <v>1221</v>
      </c>
      <c r="C392" s="467">
        <v>3.3330000000000002</v>
      </c>
    </row>
    <row r="393" spans="1:3" ht="14.25">
      <c r="A393" s="455">
        <v>302</v>
      </c>
      <c r="B393" s="453" t="s">
        <v>1208</v>
      </c>
      <c r="C393" s="467" t="s">
        <v>214</v>
      </c>
    </row>
    <row r="394" spans="1:3">
      <c r="A394" s="764" t="s">
        <v>1432</v>
      </c>
      <c r="B394" s="453" t="s">
        <v>1419</v>
      </c>
      <c r="C394" s="467">
        <v>33.33</v>
      </c>
    </row>
    <row r="395" spans="1:3">
      <c r="A395" s="764" t="s">
        <v>1433</v>
      </c>
      <c r="B395" s="453" t="s">
        <v>389</v>
      </c>
      <c r="C395" s="467">
        <v>20</v>
      </c>
    </row>
    <row r="396" spans="1:3">
      <c r="A396" s="764" t="s">
        <v>1433</v>
      </c>
      <c r="B396" s="453" t="s">
        <v>390</v>
      </c>
      <c r="C396" s="467">
        <v>10</v>
      </c>
    </row>
    <row r="397" spans="1:3">
      <c r="A397" s="764" t="s">
        <v>1433</v>
      </c>
      <c r="B397" s="453" t="s">
        <v>1420</v>
      </c>
      <c r="C397" s="467">
        <v>6.67</v>
      </c>
    </row>
    <row r="398" spans="1:3">
      <c r="A398" s="764" t="s">
        <v>1434</v>
      </c>
      <c r="B398" s="453" t="s">
        <v>1435</v>
      </c>
      <c r="C398" s="467">
        <v>10</v>
      </c>
    </row>
    <row r="399" spans="1:3">
      <c r="C399" s="467"/>
    </row>
    <row r="400" spans="1:3">
      <c r="A400" s="763" t="s">
        <v>955</v>
      </c>
      <c r="C400" s="467"/>
    </row>
    <row r="401" spans="1:3" ht="14.25">
      <c r="A401" s="455">
        <v>389</v>
      </c>
      <c r="B401" s="453" t="s">
        <v>1211</v>
      </c>
      <c r="C401" s="467" t="s">
        <v>740</v>
      </c>
    </row>
    <row r="402" spans="1:3">
      <c r="A402" s="764" t="s">
        <v>1436</v>
      </c>
      <c r="B402" s="453" t="s">
        <v>1437</v>
      </c>
      <c r="C402" s="467">
        <v>3.14</v>
      </c>
    </row>
    <row r="403" spans="1:3">
      <c r="A403" s="764" t="s">
        <v>1438</v>
      </c>
      <c r="B403" s="453" t="s">
        <v>1439</v>
      </c>
      <c r="C403" s="467">
        <v>3.8</v>
      </c>
    </row>
    <row r="404" spans="1:3" ht="14.25">
      <c r="A404" s="764" t="s">
        <v>1440</v>
      </c>
      <c r="B404" s="453" t="s">
        <v>1441</v>
      </c>
      <c r="C404" s="467" t="s">
        <v>1442</v>
      </c>
    </row>
    <row r="405" spans="1:3" ht="14.25">
      <c r="A405" s="764" t="s">
        <v>1443</v>
      </c>
      <c r="B405" s="453" t="s">
        <v>1444</v>
      </c>
      <c r="C405" s="467" t="s">
        <v>1445</v>
      </c>
    </row>
    <row r="406" spans="1:3">
      <c r="A406" s="764" t="s">
        <v>1446</v>
      </c>
      <c r="B406" s="453" t="s">
        <v>1213</v>
      </c>
      <c r="C406" s="467">
        <v>4.75</v>
      </c>
    </row>
    <row r="407" spans="1:3">
      <c r="A407" s="764" t="s">
        <v>1447</v>
      </c>
      <c r="B407" s="453" t="s">
        <v>1448</v>
      </c>
      <c r="C407" s="467">
        <v>20</v>
      </c>
    </row>
    <row r="408" spans="1:3">
      <c r="A408" s="764" t="s">
        <v>1449</v>
      </c>
      <c r="B408" s="453" t="s">
        <v>1450</v>
      </c>
      <c r="C408" s="467">
        <v>33.33</v>
      </c>
    </row>
    <row r="409" spans="1:3">
      <c r="A409" s="455">
        <v>392.1</v>
      </c>
      <c r="B409" s="453" t="s">
        <v>1427</v>
      </c>
      <c r="C409" s="467">
        <v>9</v>
      </c>
    </row>
    <row r="410" spans="1:3">
      <c r="A410" s="455">
        <v>392.2</v>
      </c>
      <c r="B410" s="453" t="s">
        <v>1428</v>
      </c>
      <c r="C410" s="467">
        <v>9</v>
      </c>
    </row>
    <row r="411" spans="1:3">
      <c r="A411" s="455">
        <v>392.3</v>
      </c>
      <c r="B411" s="453" t="s">
        <v>1429</v>
      </c>
      <c r="C411" s="467">
        <v>9</v>
      </c>
    </row>
    <row r="412" spans="1:3">
      <c r="A412" s="455">
        <v>392.4</v>
      </c>
      <c r="B412" s="453" t="s">
        <v>1430</v>
      </c>
      <c r="C412" s="467">
        <v>9</v>
      </c>
    </row>
    <row r="413" spans="1:3">
      <c r="A413" s="455">
        <v>393</v>
      </c>
      <c r="B413" s="453" t="s">
        <v>1215</v>
      </c>
      <c r="C413" s="467">
        <v>3.17</v>
      </c>
    </row>
    <row r="414" spans="1:3">
      <c r="A414" s="455">
        <v>394</v>
      </c>
      <c r="B414" s="453" t="s">
        <v>1216</v>
      </c>
      <c r="C414" s="467">
        <v>3.8</v>
      </c>
    </row>
    <row r="415" spans="1:3">
      <c r="A415" s="455">
        <v>395</v>
      </c>
      <c r="B415" s="453" t="s">
        <v>1217</v>
      </c>
      <c r="C415" s="467">
        <v>9.5</v>
      </c>
    </row>
    <row r="416" spans="1:3">
      <c r="A416" s="455">
        <v>396</v>
      </c>
      <c r="B416" s="453" t="s">
        <v>1218</v>
      </c>
      <c r="C416" s="467">
        <v>9</v>
      </c>
    </row>
    <row r="417" spans="1:3">
      <c r="A417" s="455">
        <v>397</v>
      </c>
      <c r="B417" s="453" t="s">
        <v>1219</v>
      </c>
      <c r="C417" s="467">
        <v>6.67</v>
      </c>
    </row>
    <row r="418" spans="1:3">
      <c r="A418" s="455">
        <v>398</v>
      </c>
      <c r="B418" s="453" t="s">
        <v>1220</v>
      </c>
      <c r="C418" s="467">
        <v>5</v>
      </c>
    </row>
    <row r="419" spans="1:3">
      <c r="A419"/>
      <c r="B419"/>
      <c r="C419"/>
    </row>
    <row r="420" spans="1:3">
      <c r="A420"/>
      <c r="B420"/>
      <c r="C420"/>
    </row>
    <row r="421" spans="1:3">
      <c r="A421" s="455" t="s">
        <v>89</v>
      </c>
    </row>
    <row r="422" spans="1:3" ht="38.25">
      <c r="A422" s="453"/>
      <c r="B422" s="885" t="s">
        <v>557</v>
      </c>
    </row>
    <row r="423" spans="1:3" ht="25.5">
      <c r="A423" s="637">
        <v>1</v>
      </c>
      <c r="B423" s="766" t="s">
        <v>555</v>
      </c>
    </row>
    <row r="424" spans="1:3" ht="38.25">
      <c r="A424" s="637">
        <v>2</v>
      </c>
      <c r="B424" s="766" t="s">
        <v>1622</v>
      </c>
    </row>
    <row r="425" spans="1:3" ht="25.5">
      <c r="A425" s="637">
        <v>3</v>
      </c>
      <c r="B425" s="766" t="s">
        <v>556</v>
      </c>
      <c r="C425" s="458"/>
    </row>
    <row r="426" spans="1:3" ht="51">
      <c r="A426" s="637">
        <v>4</v>
      </c>
      <c r="B426" s="766" t="s">
        <v>1623</v>
      </c>
    </row>
    <row r="427" spans="1:3">
      <c r="A427" s="455">
        <v>5</v>
      </c>
      <c r="B427" s="767" t="s">
        <v>1328</v>
      </c>
    </row>
    <row r="428" spans="1:3" ht="25.5">
      <c r="A428" s="637">
        <v>6</v>
      </c>
      <c r="B428" s="766" t="s">
        <v>1451</v>
      </c>
    </row>
    <row r="429" spans="1:3" ht="51">
      <c r="A429" s="637">
        <v>7</v>
      </c>
      <c r="B429" s="766" t="s">
        <v>1624</v>
      </c>
    </row>
    <row r="430" spans="1:3">
      <c r="A430" s="637">
        <v>8</v>
      </c>
      <c r="B430" s="766" t="s">
        <v>1452</v>
      </c>
      <c r="C430"/>
    </row>
    <row r="431" spans="1:3" ht="25.5">
      <c r="A431" s="637">
        <v>9</v>
      </c>
      <c r="B431" s="766" t="s">
        <v>1453</v>
      </c>
      <c r="C431"/>
    </row>
    <row r="432" spans="1:3" ht="25.5">
      <c r="A432" s="637">
        <v>10</v>
      </c>
      <c r="B432" s="766" t="s">
        <v>1625</v>
      </c>
      <c r="C432"/>
    </row>
    <row r="433" spans="1:3" ht="51">
      <c r="A433" s="637">
        <v>11</v>
      </c>
      <c r="B433" s="766" t="s">
        <v>1626</v>
      </c>
      <c r="C433"/>
    </row>
    <row r="434" spans="1:3" ht="38.25">
      <c r="A434" s="637">
        <v>12</v>
      </c>
      <c r="B434" s="766" t="s">
        <v>1627</v>
      </c>
      <c r="C434"/>
    </row>
    <row r="435" spans="1:3" ht="25.5">
      <c r="A435" s="637">
        <v>13</v>
      </c>
      <c r="B435" s="766" t="s">
        <v>1628</v>
      </c>
      <c r="C435"/>
    </row>
    <row r="436" spans="1:3">
      <c r="A436" s="455">
        <v>390</v>
      </c>
      <c r="B436" s="453" t="s">
        <v>1629</v>
      </c>
      <c r="C436" s="467">
        <v>6.0609999999999999</v>
      </c>
    </row>
    <row r="437" spans="1:3">
      <c r="A437" s="455">
        <v>390</v>
      </c>
      <c r="B437" s="453" t="s">
        <v>1630</v>
      </c>
      <c r="C437" s="467">
        <v>6.0609999999999999</v>
      </c>
    </row>
    <row r="438" spans="1:3">
      <c r="A438" s="455">
        <v>390</v>
      </c>
      <c r="B438" s="453" t="s">
        <v>1631</v>
      </c>
      <c r="C438" s="467">
        <v>6.6669999999999998</v>
      </c>
    </row>
    <row r="439" spans="1:3">
      <c r="A439" s="455">
        <v>390.2</v>
      </c>
      <c r="B439" s="453" t="s">
        <v>1632</v>
      </c>
      <c r="C439" s="467">
        <v>3.8</v>
      </c>
    </row>
    <row r="440" spans="1:3">
      <c r="A440" s="455">
        <v>391</v>
      </c>
      <c r="B440" s="453" t="s">
        <v>1213</v>
      </c>
      <c r="C440" s="467">
        <v>4.75</v>
      </c>
    </row>
    <row r="441" spans="1:3">
      <c r="A441" s="455">
        <v>391</v>
      </c>
      <c r="B441" s="453" t="s">
        <v>1633</v>
      </c>
      <c r="C441" s="467">
        <v>5</v>
      </c>
    </row>
    <row r="442" spans="1:3">
      <c r="A442" s="455">
        <v>391</v>
      </c>
      <c r="B442" s="453" t="s">
        <v>1634</v>
      </c>
      <c r="C442" s="467">
        <v>33.35</v>
      </c>
    </row>
    <row r="443" spans="1:3">
      <c r="A443" s="455">
        <v>391</v>
      </c>
      <c r="B443" s="453" t="s">
        <v>1635</v>
      </c>
      <c r="C443" s="467">
        <v>20</v>
      </c>
    </row>
    <row r="444" spans="1:3">
      <c r="A444" s="455">
        <v>392</v>
      </c>
      <c r="B444" s="453" t="s">
        <v>1636</v>
      </c>
      <c r="C444" s="467">
        <v>9</v>
      </c>
    </row>
    <row r="445" spans="1:3">
      <c r="A445" s="455">
        <v>393</v>
      </c>
      <c r="B445" s="453" t="s">
        <v>1215</v>
      </c>
      <c r="C445" s="467">
        <v>3.17</v>
      </c>
    </row>
    <row r="446" spans="1:3">
      <c r="A446" s="455">
        <v>394</v>
      </c>
      <c r="B446" s="453" t="s">
        <v>1216</v>
      </c>
      <c r="C446" s="467">
        <v>3.8</v>
      </c>
    </row>
    <row r="447" spans="1:3">
      <c r="A447" s="455">
        <v>395</v>
      </c>
      <c r="B447" s="453" t="s">
        <v>1217</v>
      </c>
      <c r="C447" s="467">
        <v>9.5</v>
      </c>
    </row>
    <row r="448" spans="1:3">
      <c r="A448" s="455">
        <v>396</v>
      </c>
      <c r="B448" s="453" t="s">
        <v>1218</v>
      </c>
      <c r="C448" s="467">
        <v>9</v>
      </c>
    </row>
    <row r="449" spans="1:3">
      <c r="A449" s="455">
        <v>397</v>
      </c>
      <c r="B449" s="453" t="s">
        <v>1219</v>
      </c>
      <c r="C449" s="467">
        <v>6.67</v>
      </c>
    </row>
    <row r="450" spans="1:3">
      <c r="A450" s="455">
        <v>398</v>
      </c>
      <c r="B450" s="453" t="s">
        <v>1220</v>
      </c>
      <c r="C450" s="467">
        <v>5</v>
      </c>
    </row>
    <row r="452" spans="1:3">
      <c r="A452" s="455" t="s">
        <v>89</v>
      </c>
    </row>
    <row r="453" spans="1:3" ht="38.25">
      <c r="A453" s="453"/>
      <c r="B453" s="707" t="s">
        <v>557</v>
      </c>
      <c r="C453" s="458"/>
    </row>
    <row r="454" spans="1:3" ht="25.5">
      <c r="A454" s="637">
        <v>1</v>
      </c>
      <c r="B454" s="661" t="s">
        <v>555</v>
      </c>
      <c r="C454" s="458"/>
    </row>
    <row r="455" spans="1:3" ht="38.25">
      <c r="A455" s="637">
        <v>2</v>
      </c>
      <c r="B455" s="707" t="s">
        <v>1637</v>
      </c>
      <c r="C455" s="886"/>
    </row>
    <row r="456" spans="1:3" ht="25.5">
      <c r="A456" s="637">
        <v>3</v>
      </c>
      <c r="B456" s="661" t="s">
        <v>556</v>
      </c>
      <c r="C456" s="458"/>
    </row>
    <row r="457" spans="1:3" ht="38.25">
      <c r="A457" s="637">
        <v>4</v>
      </c>
      <c r="B457" s="707" t="s">
        <v>1638</v>
      </c>
    </row>
    <row r="458" spans="1:3">
      <c r="A458" s="455">
        <v>5</v>
      </c>
      <c r="B458" s="453" t="s">
        <v>1328</v>
      </c>
    </row>
    <row r="459" spans="1:3" ht="25.5">
      <c r="A459" s="637">
        <v>6</v>
      </c>
      <c r="B459" s="707" t="s">
        <v>1639</v>
      </c>
    </row>
    <row r="460" spans="1:3" ht="51">
      <c r="A460" s="637">
        <v>7</v>
      </c>
      <c r="B460" s="707" t="s">
        <v>1640</v>
      </c>
    </row>
  </sheetData>
  <mergeCells count="3">
    <mergeCell ref="A12:B12"/>
    <mergeCell ref="A14:B14"/>
    <mergeCell ref="A18:B18"/>
  </mergeCells>
  <phoneticPr fontId="2" type="noConversion"/>
  <printOptions horizontalCentered="1"/>
  <pageMargins left="0.75" right="0.75" top="1" bottom="0.75" header="0.5" footer="0.5"/>
  <pageSetup scale="92" fitToHeight="17" orientation="portrait" r:id="rId1"/>
  <headerFooter alignWithMargins="0">
    <oddHeader>&amp;RPage &amp;P of &amp;N</oddHeader>
  </headerFooter>
  <rowBreaks count="1" manualBreakCount="1">
    <brk id="400" max="2"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pageSetUpPr fitToPage="1"/>
  </sheetPr>
  <dimension ref="A1:T65"/>
  <sheetViews>
    <sheetView topLeftCell="A22" workbookViewId="0">
      <selection activeCell="O30" sqref="O30"/>
    </sheetView>
  </sheetViews>
  <sheetFormatPr defaultRowHeight="12.75"/>
  <cols>
    <col min="1" max="1" width="4.7109375" customWidth="1"/>
    <col min="2" max="2" width="1.7109375" customWidth="1"/>
    <col min="3" max="3" width="8.5703125" customWidth="1"/>
    <col min="4" max="4" width="4.7109375" customWidth="1"/>
    <col min="5" max="5" width="7.7109375" customWidth="1"/>
    <col min="6" max="6" width="0.85546875" customWidth="1"/>
    <col min="7" max="7" width="12.28515625" customWidth="1"/>
    <col min="8" max="8" width="0.85546875" customWidth="1"/>
    <col min="9" max="9" width="11.7109375" customWidth="1"/>
    <col min="10" max="10" width="0.85546875" customWidth="1"/>
    <col min="11" max="11" width="12.7109375" bestFit="1" customWidth="1"/>
    <col min="12" max="12" width="0.85546875" customWidth="1"/>
    <col min="13" max="13" width="11.7109375" customWidth="1"/>
    <col min="14" max="14" width="0.85546875" customWidth="1"/>
    <col min="15" max="15" width="11.7109375" customWidth="1"/>
    <col min="16" max="16" width="0.85546875" customWidth="1"/>
    <col min="17" max="17" width="12.5703125" customWidth="1"/>
    <col min="18" max="18" width="0.85546875" customWidth="1"/>
    <col min="19" max="19" width="12.28515625" customWidth="1"/>
  </cols>
  <sheetData>
    <row r="1" spans="1:19">
      <c r="A1" s="98" t="str">
        <f>'Cover Page'!A5</f>
        <v>Public Service Company of Colorado</v>
      </c>
      <c r="S1" s="133" t="str">
        <f>'Table of Contents'!A34</f>
        <v>Table 26</v>
      </c>
    </row>
    <row r="2" spans="1:19">
      <c r="A2" s="98" t="str">
        <f>'Cover Page'!A6</f>
        <v>Transmission Formula Rate Template</v>
      </c>
      <c r="S2" s="133" t="str">
        <f ca="1">MID(CELL("filename",$A$1),FIND("]",CELL("filename",$A$1))+1,LEN(CELL("filename",$A$1))-FIND("]",CELL("filename",$A$1)))</f>
        <v>WP_I-1</v>
      </c>
    </row>
    <row r="3" spans="1:19">
      <c r="A3" s="98" t="str">
        <f>'Cover Page'!A7</f>
        <v>Twelve Months Ended December 31, 2018</v>
      </c>
    </row>
    <row r="4" spans="1:19">
      <c r="A4" s="98" t="s">
        <v>193</v>
      </c>
    </row>
    <row r="6" spans="1:19">
      <c r="C6" s="99"/>
    </row>
    <row r="7" spans="1:19" ht="13.5" thickBot="1">
      <c r="G7" s="1248" t="s">
        <v>497</v>
      </c>
      <c r="H7" s="1248"/>
      <c r="I7" s="1248"/>
      <c r="J7" s="1248"/>
      <c r="K7" s="1248"/>
      <c r="L7" s="1248"/>
      <c r="M7" s="1248"/>
      <c r="N7" s="1248"/>
      <c r="O7" s="1248"/>
      <c r="P7" s="1248"/>
      <c r="Q7" s="1248"/>
      <c r="R7" s="1248"/>
      <c r="S7" s="1248"/>
    </row>
    <row r="8" spans="1:19">
      <c r="M8" s="109"/>
      <c r="O8" s="109"/>
      <c r="P8" s="72"/>
      <c r="Q8" s="109"/>
    </row>
    <row r="9" spans="1:19">
      <c r="A9" t="s">
        <v>793</v>
      </c>
      <c r="G9" s="420"/>
      <c r="H9" s="421"/>
      <c r="I9" s="105" t="s">
        <v>480</v>
      </c>
      <c r="J9" s="421"/>
      <c r="K9" s="421" t="s">
        <v>480</v>
      </c>
      <c r="L9" s="421"/>
      <c r="M9" s="110" t="s">
        <v>481</v>
      </c>
      <c r="N9" s="421"/>
      <c r="O9" s="115" t="s">
        <v>481</v>
      </c>
      <c r="P9" s="422"/>
      <c r="Q9" s="115" t="s">
        <v>481</v>
      </c>
      <c r="R9" s="407"/>
      <c r="S9" s="420"/>
    </row>
    <row r="10" spans="1:19">
      <c r="G10" s="420"/>
      <c r="H10" s="421"/>
      <c r="I10" s="105" t="s">
        <v>482</v>
      </c>
      <c r="J10" s="421"/>
      <c r="K10" s="421" t="s">
        <v>743</v>
      </c>
      <c r="L10" s="421"/>
      <c r="M10" s="110" t="s">
        <v>483</v>
      </c>
      <c r="N10" s="421"/>
      <c r="O10" s="115" t="s">
        <v>484</v>
      </c>
      <c r="P10" s="422"/>
      <c r="Q10" s="110" t="s">
        <v>794</v>
      </c>
      <c r="R10" s="407"/>
      <c r="S10" s="420"/>
    </row>
    <row r="11" spans="1:19">
      <c r="G11" s="420" t="s">
        <v>485</v>
      </c>
      <c r="H11" s="421"/>
      <c r="I11" s="105" t="s">
        <v>486</v>
      </c>
      <c r="J11" s="421"/>
      <c r="K11" s="421" t="s">
        <v>744</v>
      </c>
      <c r="L11" s="421"/>
      <c r="M11" s="110" t="s">
        <v>487</v>
      </c>
      <c r="N11" s="421"/>
      <c r="O11" s="110" t="s">
        <v>794</v>
      </c>
      <c r="P11" s="423"/>
      <c r="Q11" s="110" t="s">
        <v>488</v>
      </c>
      <c r="R11" s="421"/>
      <c r="S11" s="420" t="s">
        <v>794</v>
      </c>
    </row>
    <row r="12" spans="1:19">
      <c r="A12" s="105" t="s">
        <v>86</v>
      </c>
      <c r="B12" s="105"/>
      <c r="C12" s="424"/>
      <c r="D12" s="201" t="s">
        <v>489</v>
      </c>
      <c r="E12" s="424"/>
      <c r="F12" s="424"/>
      <c r="G12" s="420" t="s">
        <v>873</v>
      </c>
      <c r="H12" s="421"/>
      <c r="I12" s="105" t="s">
        <v>490</v>
      </c>
      <c r="J12" s="421"/>
      <c r="K12" s="421" t="s">
        <v>745</v>
      </c>
      <c r="L12" s="421"/>
      <c r="M12" s="110" t="s">
        <v>490</v>
      </c>
      <c r="N12" s="421"/>
      <c r="O12" s="110" t="s">
        <v>493</v>
      </c>
      <c r="P12" s="423"/>
      <c r="Q12" s="110" t="s">
        <v>494</v>
      </c>
      <c r="R12" s="421"/>
      <c r="S12" s="420" t="s">
        <v>873</v>
      </c>
    </row>
    <row r="13" spans="1:19">
      <c r="A13" s="425" t="s">
        <v>87</v>
      </c>
      <c r="B13" s="201"/>
      <c r="C13" s="376"/>
      <c r="D13" s="426" t="s">
        <v>495</v>
      </c>
      <c r="E13" s="376"/>
      <c r="F13" s="427"/>
      <c r="G13" s="428" t="s">
        <v>879</v>
      </c>
      <c r="H13" s="429"/>
      <c r="I13" s="426" t="s">
        <v>879</v>
      </c>
      <c r="J13" s="429"/>
      <c r="K13" s="463" t="s">
        <v>879</v>
      </c>
      <c r="L13" s="429"/>
      <c r="M13" s="428" t="s">
        <v>879</v>
      </c>
      <c r="N13" s="429"/>
      <c r="O13" s="428" t="s">
        <v>879</v>
      </c>
      <c r="P13" s="429"/>
      <c r="Q13" s="428" t="s">
        <v>879</v>
      </c>
      <c r="R13" s="429"/>
      <c r="S13" s="428" t="s">
        <v>879</v>
      </c>
    </row>
    <row r="14" spans="1:19">
      <c r="A14" s="201"/>
      <c r="B14" s="201"/>
      <c r="C14" s="430"/>
      <c r="D14" s="240"/>
      <c r="E14" s="430"/>
      <c r="F14" s="427"/>
      <c r="G14" s="316" t="s">
        <v>363</v>
      </c>
      <c r="H14" s="636"/>
      <c r="I14" s="316" t="s">
        <v>362</v>
      </c>
      <c r="J14" s="636"/>
      <c r="K14" s="316" t="s">
        <v>364</v>
      </c>
      <c r="L14" s="636"/>
      <c r="M14" s="316" t="s">
        <v>365</v>
      </c>
      <c r="N14" s="636"/>
      <c r="O14" s="316" t="s">
        <v>366</v>
      </c>
      <c r="P14" s="636"/>
      <c r="Q14" s="316" t="s">
        <v>367</v>
      </c>
      <c r="R14" s="109"/>
      <c r="S14" s="316" t="s">
        <v>368</v>
      </c>
    </row>
    <row r="16" spans="1:19">
      <c r="A16">
        <v>1</v>
      </c>
      <c r="C16" s="432">
        <v>43101</v>
      </c>
      <c r="D16" s="278"/>
      <c r="E16" s="278"/>
      <c r="G16" s="433">
        <v>5062960.3661394799</v>
      </c>
      <c r="I16" s="433">
        <v>-6620</v>
      </c>
      <c r="K16" s="433">
        <v>-202074.478064</v>
      </c>
      <c r="M16" s="433">
        <v>194053</v>
      </c>
      <c r="O16" s="433">
        <v>276707.03216286714</v>
      </c>
      <c r="Q16" s="433">
        <v>253510</v>
      </c>
      <c r="S16" s="135">
        <f>SUM(G16:Q16)</f>
        <v>5578535.9202383477</v>
      </c>
    </row>
    <row r="17" spans="1:20">
      <c r="A17">
        <v>2</v>
      </c>
      <c r="C17" s="432">
        <v>43132</v>
      </c>
      <c r="D17" s="278"/>
      <c r="E17" s="278"/>
      <c r="G17" s="433">
        <v>5006000.0972347464</v>
      </c>
      <c r="I17" s="433">
        <v>-7400</v>
      </c>
      <c r="K17" s="433">
        <v>-200820.60859399999</v>
      </c>
      <c r="M17" s="433">
        <v>194053</v>
      </c>
      <c r="O17" s="433">
        <v>271769.04512622632</v>
      </c>
      <c r="Q17" s="433">
        <v>253510</v>
      </c>
      <c r="S17" s="135">
        <f t="shared" ref="S17:S27" si="0">SUM(G17:Q17)</f>
        <v>5517111.5337669728</v>
      </c>
      <c r="T17" s="99"/>
    </row>
    <row r="18" spans="1:20">
      <c r="A18">
        <v>3</v>
      </c>
      <c r="C18" s="432">
        <v>43160</v>
      </c>
      <c r="D18" s="278"/>
      <c r="E18" s="278"/>
      <c r="G18" s="433">
        <v>4616991.302296658</v>
      </c>
      <c r="I18" s="433">
        <v>-6650</v>
      </c>
      <c r="K18" s="433">
        <v>-188470.98944899999</v>
      </c>
      <c r="M18" s="433">
        <v>194053</v>
      </c>
      <c r="O18" s="433">
        <v>270285.29713803437</v>
      </c>
      <c r="Q18" s="433">
        <v>228510</v>
      </c>
      <c r="S18" s="135">
        <f t="shared" si="0"/>
        <v>5114718.6099856924</v>
      </c>
    </row>
    <row r="19" spans="1:20">
      <c r="A19">
        <v>4</v>
      </c>
      <c r="C19" s="432">
        <v>43191</v>
      </c>
      <c r="D19" s="278"/>
      <c r="E19" s="278"/>
      <c r="G19" s="433">
        <v>4257155.6762558976</v>
      </c>
      <c r="I19" s="433">
        <v>-3780</v>
      </c>
      <c r="K19" s="433">
        <v>-141466.63500850002</v>
      </c>
      <c r="M19" s="433">
        <v>190000</v>
      </c>
      <c r="O19" s="433">
        <v>245158.38185991981</v>
      </c>
      <c r="Q19" s="433">
        <v>228510</v>
      </c>
      <c r="S19" s="135">
        <f t="shared" si="0"/>
        <v>4775577.4231073176</v>
      </c>
    </row>
    <row r="20" spans="1:20">
      <c r="A20">
        <v>5</v>
      </c>
      <c r="C20" s="432">
        <v>43221</v>
      </c>
      <c r="D20" s="278"/>
      <c r="E20" s="278"/>
      <c r="G20" s="433">
        <v>4816972.8172352444</v>
      </c>
      <c r="I20" s="433">
        <v>-5620</v>
      </c>
      <c r="K20" s="433">
        <v>-99124.657167999991</v>
      </c>
      <c r="M20" s="433">
        <v>190000</v>
      </c>
      <c r="O20" s="433">
        <v>271602.32455586683</v>
      </c>
      <c r="Q20" s="433">
        <v>228510</v>
      </c>
      <c r="S20" s="135">
        <f t="shared" si="0"/>
        <v>5402340.4846231109</v>
      </c>
    </row>
    <row r="21" spans="1:20">
      <c r="A21">
        <v>6</v>
      </c>
      <c r="C21" s="432">
        <v>43252</v>
      </c>
      <c r="D21" s="278"/>
      <c r="E21" s="278"/>
      <c r="G21" s="433">
        <v>6158851.579852283</v>
      </c>
      <c r="I21" s="433">
        <v>-6580</v>
      </c>
      <c r="K21" s="433">
        <v>-116513.94742099999</v>
      </c>
      <c r="M21" s="433">
        <v>190000</v>
      </c>
      <c r="O21" s="433">
        <v>356128.15968305181</v>
      </c>
      <c r="Q21" s="433">
        <v>228510</v>
      </c>
      <c r="S21" s="135">
        <f t="shared" si="0"/>
        <v>6810395.7921143342</v>
      </c>
    </row>
    <row r="22" spans="1:20">
      <c r="A22">
        <v>7</v>
      </c>
      <c r="C22" s="432">
        <v>43282</v>
      </c>
      <c r="D22" s="278"/>
      <c r="E22" s="278"/>
      <c r="G22" s="433">
        <v>6462241.2750266986</v>
      </c>
      <c r="I22" s="433">
        <v>-7070</v>
      </c>
      <c r="K22" s="433">
        <v>-116091.70039300001</v>
      </c>
      <c r="M22" s="433">
        <v>190000</v>
      </c>
      <c r="O22" s="433">
        <v>365151.95610000001</v>
      </c>
      <c r="Q22" s="433">
        <v>228510</v>
      </c>
      <c r="S22" s="135">
        <f t="shared" si="0"/>
        <v>7122741.530733699</v>
      </c>
    </row>
    <row r="23" spans="1:20">
      <c r="A23">
        <v>8</v>
      </c>
      <c r="C23" s="432">
        <v>43313</v>
      </c>
      <c r="D23" s="278"/>
      <c r="E23" s="278"/>
      <c r="G23" s="433">
        <v>6267334.8325830959</v>
      </c>
      <c r="I23" s="433">
        <v>-7670</v>
      </c>
      <c r="K23" s="433">
        <v>-117530.66488</v>
      </c>
      <c r="M23" s="433">
        <v>190000</v>
      </c>
      <c r="O23" s="433">
        <v>364112.67203223956</v>
      </c>
      <c r="Q23" s="433">
        <v>228510</v>
      </c>
      <c r="S23" s="135">
        <f t="shared" si="0"/>
        <v>6924756.8397353357</v>
      </c>
    </row>
    <row r="24" spans="1:20">
      <c r="A24">
        <v>9</v>
      </c>
      <c r="C24" s="432">
        <v>43344</v>
      </c>
      <c r="D24" s="278"/>
      <c r="E24" s="278"/>
      <c r="G24" s="433">
        <v>5543066.8781338651</v>
      </c>
      <c r="I24" s="433">
        <v>-8090</v>
      </c>
      <c r="K24" s="433">
        <v>-103998.82594900001</v>
      </c>
      <c r="M24" s="433">
        <v>190000</v>
      </c>
      <c r="O24" s="433">
        <v>335342.42561146384</v>
      </c>
      <c r="Q24" s="433">
        <v>228510</v>
      </c>
      <c r="S24" s="135">
        <f t="shared" si="0"/>
        <v>6184830.4777963292</v>
      </c>
    </row>
    <row r="25" spans="1:20">
      <c r="A25">
        <v>10</v>
      </c>
      <c r="C25" s="432">
        <v>43374</v>
      </c>
      <c r="D25" s="278"/>
      <c r="E25" s="278"/>
      <c r="G25" s="433">
        <v>4466572.2667457489</v>
      </c>
      <c r="I25" s="433">
        <v>-4860</v>
      </c>
      <c r="K25" s="433">
        <v>-117393.382122</v>
      </c>
      <c r="M25" s="433">
        <v>194053</v>
      </c>
      <c r="O25" s="433">
        <v>251750.56683652362</v>
      </c>
      <c r="Q25" s="433">
        <v>228510</v>
      </c>
      <c r="S25" s="135">
        <f t="shared" si="0"/>
        <v>5018632.451460273</v>
      </c>
    </row>
    <row r="26" spans="1:20">
      <c r="A26">
        <v>11</v>
      </c>
      <c r="C26" s="432">
        <v>43405</v>
      </c>
      <c r="D26" s="278"/>
      <c r="E26" s="278"/>
      <c r="G26" s="433">
        <v>4943770.4813611181</v>
      </c>
      <c r="I26" s="433">
        <v>-5590</v>
      </c>
      <c r="K26" s="433">
        <v>-187734.58991899999</v>
      </c>
      <c r="M26" s="433">
        <v>194053</v>
      </c>
      <c r="O26" s="433">
        <v>286894.98421621363</v>
      </c>
      <c r="Q26" s="433">
        <v>228510</v>
      </c>
      <c r="S26" s="135">
        <f t="shared" si="0"/>
        <v>5459903.8756583314</v>
      </c>
    </row>
    <row r="27" spans="1:20">
      <c r="A27">
        <v>12</v>
      </c>
      <c r="C27" s="432">
        <v>43435</v>
      </c>
      <c r="D27" s="278"/>
      <c r="E27" s="278"/>
      <c r="G27" s="434">
        <v>5345670.0967847249</v>
      </c>
      <c r="I27" s="434">
        <v>-5650</v>
      </c>
      <c r="K27" s="434">
        <v>-231968.318444</v>
      </c>
      <c r="M27" s="434">
        <v>194053</v>
      </c>
      <c r="O27" s="434">
        <v>305718.23339631245</v>
      </c>
      <c r="Q27" s="434">
        <v>228510</v>
      </c>
      <c r="S27" s="185">
        <f t="shared" si="0"/>
        <v>5836333.0117370375</v>
      </c>
    </row>
    <row r="28" spans="1:20">
      <c r="A28">
        <v>13</v>
      </c>
      <c r="C28" t="s">
        <v>70</v>
      </c>
      <c r="G28" s="135">
        <f>SUM(G16:G27)</f>
        <v>62947587.669649556</v>
      </c>
      <c r="I28" s="135">
        <f>SUM(I16:I27)</f>
        <v>-75580</v>
      </c>
      <c r="K28" s="135">
        <f>SUM(K16:K27)</f>
        <v>-1823188.7974115</v>
      </c>
      <c r="M28" s="135">
        <f>SUM(M16:M27)</f>
        <v>2304318</v>
      </c>
      <c r="O28" s="135">
        <f>SUM(O16:O27)</f>
        <v>3600621.07871872</v>
      </c>
      <c r="Q28" s="135">
        <f>SUM(Q16:Q27)</f>
        <v>2792120</v>
      </c>
      <c r="S28" s="135">
        <f>SUM(S16:S27)</f>
        <v>69745877.950956777</v>
      </c>
    </row>
    <row r="29" spans="1:20" ht="13.5" thickBot="1">
      <c r="A29">
        <v>14</v>
      </c>
    </row>
    <row r="30" spans="1:20" ht="13.5" thickBot="1">
      <c r="A30">
        <v>15</v>
      </c>
      <c r="C30" t="s">
        <v>496</v>
      </c>
      <c r="G30" s="431">
        <f>ROUND(G28/12,0)</f>
        <v>5245632</v>
      </c>
      <c r="H30" s="281"/>
      <c r="I30" s="431">
        <f>ROUND(I28/12,0)</f>
        <v>-6298</v>
      </c>
      <c r="J30" s="281"/>
      <c r="K30" s="431">
        <f>ROUND(K28/12,0)</f>
        <v>-151932</v>
      </c>
      <c r="L30" s="281"/>
      <c r="M30" s="431">
        <f>ROUND(M28/12,0)</f>
        <v>192027</v>
      </c>
      <c r="N30" s="281"/>
      <c r="O30" s="431">
        <f>ROUND(O28/12,0)</f>
        <v>300052</v>
      </c>
      <c r="P30" s="281"/>
      <c r="Q30" s="431">
        <f>ROUND(Q28/12,0)</f>
        <v>232677</v>
      </c>
      <c r="S30" s="186">
        <f>SUM(G30:Q30)</f>
        <v>5812158</v>
      </c>
    </row>
    <row r="31" spans="1:20" ht="13.5" thickTop="1"/>
    <row r="33" spans="1:20" ht="13.5" thickBot="1">
      <c r="G33" s="1248" t="s">
        <v>498</v>
      </c>
      <c r="H33" s="1248"/>
      <c r="I33" s="1248"/>
      <c r="J33" s="1248"/>
      <c r="K33" s="1248"/>
      <c r="L33" s="1248"/>
      <c r="M33" s="1248"/>
      <c r="N33" s="275"/>
      <c r="P33" s="241"/>
      <c r="Q33" s="143"/>
      <c r="R33" s="167"/>
      <c r="S33" s="167"/>
      <c r="T33" s="99"/>
    </row>
    <row r="34" spans="1:20">
      <c r="M34" s="109"/>
      <c r="O34" s="109"/>
      <c r="P34" s="72"/>
      <c r="Q34" s="109"/>
    </row>
    <row r="35" spans="1:20">
      <c r="A35" t="s">
        <v>793</v>
      </c>
      <c r="G35" s="420"/>
      <c r="H35" s="421"/>
      <c r="I35" s="421" t="s">
        <v>480</v>
      </c>
      <c r="J35" s="474"/>
      <c r="K35" s="110"/>
      <c r="L35" s="421"/>
      <c r="M35" s="420"/>
      <c r="P35" s="422"/>
      <c r="Q35" s="115"/>
      <c r="R35" s="407"/>
    </row>
    <row r="36" spans="1:20">
      <c r="G36" s="420"/>
      <c r="H36" s="421"/>
      <c r="I36" s="421" t="s">
        <v>743</v>
      </c>
      <c r="J36" s="474"/>
      <c r="K36" s="110"/>
      <c r="L36" s="421"/>
      <c r="M36" s="420"/>
      <c r="P36" s="422"/>
      <c r="Q36" s="110"/>
      <c r="R36" s="407"/>
      <c r="T36" s="99"/>
    </row>
    <row r="37" spans="1:20">
      <c r="G37" s="420" t="s">
        <v>794</v>
      </c>
      <c r="H37" s="421"/>
      <c r="I37" s="421" t="s">
        <v>744</v>
      </c>
      <c r="J37" s="474"/>
      <c r="K37" s="110" t="s">
        <v>480</v>
      </c>
      <c r="L37" s="421"/>
      <c r="M37" s="420" t="s">
        <v>794</v>
      </c>
      <c r="P37" s="423"/>
      <c r="Q37" s="110"/>
      <c r="R37" s="421"/>
    </row>
    <row r="38" spans="1:20">
      <c r="A38" s="105" t="s">
        <v>86</v>
      </c>
      <c r="B38" s="105"/>
      <c r="C38" s="424"/>
      <c r="D38" s="201" t="s">
        <v>489</v>
      </c>
      <c r="E38" s="424"/>
      <c r="F38" s="424"/>
      <c r="G38" s="420" t="s">
        <v>873</v>
      </c>
      <c r="H38" s="421"/>
      <c r="I38" s="421" t="s">
        <v>745</v>
      </c>
      <c r="J38" s="474"/>
      <c r="K38" s="110" t="s">
        <v>163</v>
      </c>
      <c r="L38" s="421"/>
      <c r="M38" s="420" t="s">
        <v>873</v>
      </c>
      <c r="P38" s="423"/>
      <c r="Q38" s="110"/>
      <c r="R38" s="421"/>
    </row>
    <row r="39" spans="1:20">
      <c r="A39" s="425" t="s">
        <v>87</v>
      </c>
      <c r="B39" s="201"/>
      <c r="C39" s="376"/>
      <c r="D39" s="426" t="s">
        <v>495</v>
      </c>
      <c r="E39" s="376"/>
      <c r="F39" s="427"/>
      <c r="G39" s="428" t="s">
        <v>930</v>
      </c>
      <c r="H39" s="429"/>
      <c r="I39" s="426" t="s">
        <v>879</v>
      </c>
      <c r="J39" s="429"/>
      <c r="K39" s="428" t="s">
        <v>879</v>
      </c>
      <c r="L39" s="429"/>
      <c r="M39" s="428" t="s">
        <v>879</v>
      </c>
      <c r="P39" s="429"/>
      <c r="Q39" s="316"/>
      <c r="R39" s="429"/>
      <c r="T39" s="99"/>
    </row>
    <row r="40" spans="1:20">
      <c r="A40" s="201"/>
      <c r="B40" s="201"/>
      <c r="C40" s="430"/>
      <c r="D40" s="240"/>
      <c r="E40" s="430"/>
      <c r="F40" s="427"/>
      <c r="G40" s="316" t="s">
        <v>363</v>
      </c>
      <c r="H40" s="636"/>
      <c r="I40" s="316" t="s">
        <v>362</v>
      </c>
      <c r="J40" s="636"/>
      <c r="K40" s="316" t="s">
        <v>364</v>
      </c>
      <c r="L40" s="636"/>
      <c r="M40" s="316" t="s">
        <v>365</v>
      </c>
      <c r="N40" s="636"/>
      <c r="O40" s="316"/>
      <c r="P40" s="636"/>
      <c r="Q40" s="316"/>
      <c r="R40" s="109"/>
      <c r="S40" s="316"/>
    </row>
    <row r="41" spans="1:20">
      <c r="Q41" s="143"/>
    </row>
    <row r="42" spans="1:20">
      <c r="A42">
        <v>1</v>
      </c>
      <c r="C42" s="432">
        <v>43101</v>
      </c>
      <c r="D42" s="278"/>
      <c r="E42" s="278"/>
      <c r="G42" s="433"/>
      <c r="I42" s="433"/>
      <c r="K42" s="433"/>
      <c r="M42" s="135">
        <f t="shared" ref="M42:M53" si="1">SUM(G42:K42)</f>
        <v>0</v>
      </c>
      <c r="Q42" s="448"/>
    </row>
    <row r="43" spans="1:20">
      <c r="A43">
        <v>2</v>
      </c>
      <c r="C43" s="432">
        <v>43132</v>
      </c>
      <c r="D43" s="278"/>
      <c r="E43" s="278"/>
      <c r="G43" s="433"/>
      <c r="I43" s="433"/>
      <c r="K43" s="433"/>
      <c r="M43" s="135">
        <f t="shared" si="1"/>
        <v>0</v>
      </c>
      <c r="Q43" s="448"/>
    </row>
    <row r="44" spans="1:20">
      <c r="A44">
        <v>3</v>
      </c>
      <c r="C44" s="432">
        <v>43160</v>
      </c>
      <c r="D44" s="278"/>
      <c r="E44" s="278"/>
      <c r="G44" s="433"/>
      <c r="I44" s="433"/>
      <c r="K44" s="433"/>
      <c r="M44" s="135">
        <f t="shared" si="1"/>
        <v>0</v>
      </c>
      <c r="Q44" s="448"/>
    </row>
    <row r="45" spans="1:20">
      <c r="A45">
        <v>4</v>
      </c>
      <c r="C45" s="432">
        <v>43191</v>
      </c>
      <c r="D45" s="278"/>
      <c r="E45" s="278"/>
      <c r="G45" s="433"/>
      <c r="I45" s="433"/>
      <c r="K45" s="433"/>
      <c r="M45" s="135">
        <f t="shared" si="1"/>
        <v>0</v>
      </c>
      <c r="Q45" s="448"/>
    </row>
    <row r="46" spans="1:20">
      <c r="A46">
        <v>5</v>
      </c>
      <c r="C46" s="432">
        <v>43221</v>
      </c>
      <c r="D46" s="278"/>
      <c r="E46" s="278"/>
      <c r="G46" s="433"/>
      <c r="I46" s="433"/>
      <c r="K46" s="433"/>
      <c r="M46" s="135">
        <f t="shared" si="1"/>
        <v>0</v>
      </c>
      <c r="Q46" s="448"/>
    </row>
    <row r="47" spans="1:20">
      <c r="A47">
        <v>6</v>
      </c>
      <c r="C47" s="432">
        <v>43252</v>
      </c>
      <c r="D47" s="278"/>
      <c r="E47" s="278"/>
      <c r="G47" s="433"/>
      <c r="I47" s="433"/>
      <c r="K47" s="433"/>
      <c r="M47" s="135">
        <f t="shared" si="1"/>
        <v>0</v>
      </c>
      <c r="Q47" s="448"/>
    </row>
    <row r="48" spans="1:20">
      <c r="A48">
        <v>7</v>
      </c>
      <c r="C48" s="432">
        <v>43282</v>
      </c>
      <c r="D48" s="278"/>
      <c r="E48" s="278"/>
      <c r="G48" s="433"/>
      <c r="I48" s="433"/>
      <c r="K48" s="433"/>
      <c r="M48" s="135">
        <f t="shared" si="1"/>
        <v>0</v>
      </c>
      <c r="Q48" s="448"/>
    </row>
    <row r="49" spans="1:17">
      <c r="A49">
        <v>8</v>
      </c>
      <c r="C49" s="432">
        <v>43313</v>
      </c>
      <c r="D49" s="278"/>
      <c r="E49" s="278"/>
      <c r="G49" s="433"/>
      <c r="I49" s="433"/>
      <c r="K49" s="433"/>
      <c r="M49" s="135">
        <f t="shared" si="1"/>
        <v>0</v>
      </c>
      <c r="Q49" s="448"/>
    </row>
    <row r="50" spans="1:17">
      <c r="A50">
        <v>9</v>
      </c>
      <c r="C50" s="432">
        <v>43344</v>
      </c>
      <c r="D50" s="278"/>
      <c r="E50" s="278"/>
      <c r="G50" s="433"/>
      <c r="I50" s="433"/>
      <c r="K50" s="433"/>
      <c r="M50" s="135">
        <f t="shared" si="1"/>
        <v>0</v>
      </c>
      <c r="Q50" s="448"/>
    </row>
    <row r="51" spans="1:17">
      <c r="A51">
        <v>10</v>
      </c>
      <c r="C51" s="432">
        <v>43374</v>
      </c>
      <c r="D51" s="278"/>
      <c r="E51" s="278"/>
      <c r="G51" s="433"/>
      <c r="I51" s="433"/>
      <c r="K51" s="433"/>
      <c r="M51" s="135">
        <f t="shared" si="1"/>
        <v>0</v>
      </c>
      <c r="Q51" s="448"/>
    </row>
    <row r="52" spans="1:17">
      <c r="A52">
        <v>11</v>
      </c>
      <c r="C52" s="432">
        <v>43405</v>
      </c>
      <c r="D52" s="278"/>
      <c r="E52" s="278"/>
      <c r="G52" s="433"/>
      <c r="I52" s="433"/>
      <c r="K52" s="433"/>
      <c r="M52" s="135">
        <f t="shared" si="1"/>
        <v>0</v>
      </c>
      <c r="Q52" s="448"/>
    </row>
    <row r="53" spans="1:17">
      <c r="A53">
        <v>12</v>
      </c>
      <c r="C53" s="432">
        <v>43435</v>
      </c>
      <c r="D53" s="278"/>
      <c r="E53" s="278"/>
      <c r="G53" s="434"/>
      <c r="I53" s="434"/>
      <c r="K53" s="434"/>
      <c r="M53" s="185">
        <f t="shared" si="1"/>
        <v>0</v>
      </c>
      <c r="Q53" s="448"/>
    </row>
    <row r="54" spans="1:17">
      <c r="A54">
        <v>13</v>
      </c>
      <c r="C54" t="s">
        <v>70</v>
      </c>
      <c r="G54" s="135">
        <f>SUM(G42:G53)</f>
        <v>0</v>
      </c>
      <c r="I54" s="135">
        <f>SUM(I42:I53)</f>
        <v>0</v>
      </c>
      <c r="K54" s="135">
        <f>SUM(K42:K53)</f>
        <v>0</v>
      </c>
      <c r="M54" s="135">
        <f>SUM(M42:M53)</f>
        <v>0</v>
      </c>
      <c r="Q54" s="449"/>
    </row>
    <row r="55" spans="1:17" ht="13.5" thickBot="1">
      <c r="A55">
        <v>14</v>
      </c>
      <c r="Q55" s="143"/>
    </row>
    <row r="56" spans="1:17" ht="13.5" thickBot="1">
      <c r="A56">
        <v>15</v>
      </c>
      <c r="C56" t="s">
        <v>496</v>
      </c>
      <c r="G56" s="431">
        <f>ROUND(G54/12,0)</f>
        <v>0</v>
      </c>
      <c r="H56" s="281"/>
      <c r="I56" s="431">
        <f>ROUND(I54/12,0)</f>
        <v>0</v>
      </c>
      <c r="J56" s="281"/>
      <c r="K56" s="431">
        <f>ROUND(K54/12,0)</f>
        <v>0</v>
      </c>
      <c r="L56" s="281"/>
      <c r="M56" s="186">
        <f>SUM(G56:K56)</f>
        <v>0</v>
      </c>
      <c r="P56" s="281"/>
      <c r="Q56" s="448"/>
    </row>
    <row r="57" spans="1:17" ht="13.5" thickTop="1">
      <c r="M57" s="107"/>
    </row>
    <row r="58" spans="1:17">
      <c r="M58" s="987"/>
    </row>
    <row r="59" spans="1:17">
      <c r="C59" s="78" t="s">
        <v>1209</v>
      </c>
    </row>
    <row r="63" spans="1:17">
      <c r="I63" s="281"/>
    </row>
    <row r="65" spans="9:9">
      <c r="I65" s="515"/>
    </row>
  </sheetData>
  <mergeCells count="2">
    <mergeCell ref="G7:S7"/>
    <mergeCell ref="G33:M33"/>
  </mergeCells>
  <phoneticPr fontId="2" type="noConversion"/>
  <pageMargins left="0.75" right="0.75" top="1" bottom="1" header="0.5" footer="0.5"/>
  <pageSetup scale="77" orientation="portrait" r:id="rId1"/>
  <headerFooter alignWithMargins="0">
    <oddHeader>&amp;RPage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E136"/>
  <sheetViews>
    <sheetView topLeftCell="A22" workbookViewId="0">
      <selection activeCell="D52" sqref="D52"/>
    </sheetView>
  </sheetViews>
  <sheetFormatPr defaultRowHeight="12.75"/>
  <cols>
    <col min="2" max="2" width="79.85546875" bestFit="1" customWidth="1"/>
    <col min="3" max="3" width="30.85546875" style="105" customWidth="1"/>
    <col min="4" max="4" width="12.5703125" style="107" bestFit="1" customWidth="1"/>
    <col min="5" max="5" width="7.5703125" bestFit="1" customWidth="1"/>
  </cols>
  <sheetData>
    <row r="1" spans="1:5">
      <c r="A1" s="98" t="str">
        <f>'Cover Page'!A5</f>
        <v>Public Service Company of Colorado</v>
      </c>
      <c r="D1" s="375" t="str">
        <f>'Table of Contents'!A35</f>
        <v>Table 27</v>
      </c>
    </row>
    <row r="2" spans="1:5">
      <c r="A2" s="98" t="str">
        <f>'Cover Page'!A6</f>
        <v>Transmission Formula Rate Template</v>
      </c>
      <c r="D2" s="133" t="str">
        <f ca="1">MID(CELL("filename",$A$1),FIND("]",CELL("filename",$A$1))+1,LEN(CELL("filename",$A$1))-FIND("]",CELL("filename",$A$1)))</f>
        <v>Schedule 1</v>
      </c>
    </row>
    <row r="3" spans="1:5">
      <c r="A3" s="98" t="s">
        <v>199</v>
      </c>
      <c r="D3" s="133"/>
    </row>
    <row r="4" spans="1:5">
      <c r="A4" s="98" t="s">
        <v>200</v>
      </c>
    </row>
    <row r="5" spans="1:5" ht="12.75" customHeight="1">
      <c r="A5" s="466"/>
      <c r="C5" s="119"/>
      <c r="D5" s="106"/>
      <c r="E5" s="106"/>
    </row>
    <row r="7" spans="1:5">
      <c r="A7" s="1" t="s">
        <v>868</v>
      </c>
      <c r="B7" s="1" t="s">
        <v>917</v>
      </c>
      <c r="C7" s="1" t="s">
        <v>870</v>
      </c>
      <c r="D7" s="122" t="s">
        <v>918</v>
      </c>
    </row>
    <row r="9" spans="1:5">
      <c r="A9" s="105">
        <v>1</v>
      </c>
      <c r="B9" s="492" t="s">
        <v>1787</v>
      </c>
    </row>
    <row r="10" spans="1:5">
      <c r="A10" s="105">
        <f>A9+1</f>
        <v>2</v>
      </c>
      <c r="B10" s="104" t="s">
        <v>877</v>
      </c>
      <c r="C10" s="110" t="str">
        <f ca="1">'WP_C-1'!M2&amp;" Lines "&amp;'WP_C-1'!A12&amp;" through "&amp;'WP_C-1'!A19</f>
        <v>WP_C-1 Lines 2 through 9</v>
      </c>
      <c r="D10" s="108">
        <f>SUM('WP_C-1'!H12:H19)</f>
        <v>8651451.8117643408</v>
      </c>
    </row>
    <row r="11" spans="1:5">
      <c r="A11" s="105">
        <f t="shared" ref="A11:A38" si="0">A10+1</f>
        <v>3</v>
      </c>
      <c r="B11" s="510" t="s">
        <v>1210</v>
      </c>
      <c r="C11" s="110" t="str">
        <f ca="1">'WP_C-1'!M2&amp;" Line "&amp;'WP_C-1'!A15</f>
        <v>WP_C-1 Line 5</v>
      </c>
      <c r="D11" s="108">
        <f>-'WP_C-1'!H15</f>
        <v>0</v>
      </c>
    </row>
    <row r="12" spans="1:5">
      <c r="A12" s="105">
        <f t="shared" si="0"/>
        <v>4</v>
      </c>
      <c r="B12" s="588" t="s">
        <v>600</v>
      </c>
      <c r="C12" s="110" t="str">
        <f ca="1">'WP_C-1'!M2&amp;" Line "&amp;'WP_C-1'!A16</f>
        <v>WP_C-1 Line 6</v>
      </c>
      <c r="D12" s="108">
        <f>-'WP_C-1'!H16</f>
        <v>-11836.390791938042</v>
      </c>
    </row>
    <row r="13" spans="1:5">
      <c r="A13" s="105">
        <f t="shared" si="0"/>
        <v>5</v>
      </c>
      <c r="B13" s="588" t="s">
        <v>601</v>
      </c>
      <c r="C13" s="110" t="str">
        <f ca="1">'WP_C-1'!M2&amp;" Line "&amp;'WP_C-1'!A17</f>
        <v>WP_C-1 Line 7</v>
      </c>
      <c r="D13" s="108">
        <f>-'WP_C-1'!H17</f>
        <v>0</v>
      </c>
    </row>
    <row r="14" spans="1:5">
      <c r="A14" s="105">
        <f t="shared" si="0"/>
        <v>6</v>
      </c>
      <c r="B14" s="588" t="s">
        <v>602</v>
      </c>
      <c r="C14" s="110" t="str">
        <f ca="1">'WP_C-1'!M2&amp;" Line "&amp;'WP_C-1'!A18</f>
        <v>WP_C-1 Line 8</v>
      </c>
      <c r="D14" s="108">
        <f>-'WP_C-1'!H18</f>
        <v>51570.914323087476</v>
      </c>
    </row>
    <row r="15" spans="1:5">
      <c r="A15" s="105">
        <f t="shared" si="0"/>
        <v>7</v>
      </c>
      <c r="B15" s="588" t="s">
        <v>603</v>
      </c>
      <c r="C15" s="110" t="str">
        <f ca="1">'WP_C-1'!M2&amp;" Line "&amp;'WP_C-1'!A19</f>
        <v>WP_C-1 Line 9</v>
      </c>
      <c r="D15" s="111">
        <f>-'WP_C-1'!H19</f>
        <v>-3619233.7309533488</v>
      </c>
    </row>
    <row r="16" spans="1:5">
      <c r="A16" s="105">
        <f t="shared" si="0"/>
        <v>8</v>
      </c>
      <c r="B16" s="118" t="s">
        <v>878</v>
      </c>
      <c r="C16" s="110" t="str">
        <f>"Sum Lines "&amp;A10&amp;" through "&amp;A15</f>
        <v>Sum Lines 2 through 7</v>
      </c>
      <c r="D16" s="108">
        <f>SUM(D10:D15)</f>
        <v>5071952.6043421421</v>
      </c>
    </row>
    <row r="17" spans="1:5">
      <c r="A17" s="105">
        <f t="shared" si="0"/>
        <v>9</v>
      </c>
      <c r="B17" s="104"/>
      <c r="C17" s="110"/>
      <c r="D17" s="108"/>
    </row>
    <row r="18" spans="1:5">
      <c r="A18" s="105">
        <f t="shared" si="0"/>
        <v>10</v>
      </c>
      <c r="B18" s="104" t="s">
        <v>861</v>
      </c>
      <c r="C18" s="110" t="str">
        <f ca="1">'WP_F-1'!R2&amp;" Line "&amp;'WP_F-1'!A54</f>
        <v>WP_F-1 Line 42</v>
      </c>
      <c r="D18" s="108">
        <f>'WP_F-1'!H54</f>
        <v>753734</v>
      </c>
    </row>
    <row r="19" spans="1:5">
      <c r="A19" s="105">
        <f t="shared" si="0"/>
        <v>11</v>
      </c>
      <c r="B19" s="104"/>
      <c r="C19" s="110"/>
      <c r="D19" s="108"/>
    </row>
    <row r="20" spans="1:5">
      <c r="A20" s="105">
        <f t="shared" si="0"/>
        <v>12</v>
      </c>
      <c r="B20" s="118" t="s">
        <v>856</v>
      </c>
      <c r="C20" s="105" t="str">
        <f>"(Ln "&amp;A16&amp;" - Ln "&amp;A18&amp;")"</f>
        <v>(Ln 8 - Ln 10)</v>
      </c>
      <c r="D20" s="108">
        <f>D16-D18</f>
        <v>4318218.6043421421</v>
      </c>
    </row>
    <row r="21" spans="1:5">
      <c r="A21" s="105">
        <f t="shared" si="0"/>
        <v>13</v>
      </c>
      <c r="B21" s="104"/>
      <c r="D21" s="108"/>
    </row>
    <row r="22" spans="1:5">
      <c r="A22" s="105">
        <f t="shared" si="0"/>
        <v>14</v>
      </c>
      <c r="D22" s="112"/>
    </row>
    <row r="23" spans="1:5">
      <c r="A23" s="105">
        <f t="shared" si="0"/>
        <v>15</v>
      </c>
      <c r="B23" s="708" t="s">
        <v>859</v>
      </c>
    </row>
    <row r="24" spans="1:5">
      <c r="A24" s="105">
        <f t="shared" si="0"/>
        <v>16</v>
      </c>
      <c r="B24" s="118" t="s">
        <v>858</v>
      </c>
      <c r="C24" s="110" t="str">
        <f ca="1">'WP_I-1'!S2&amp;" Line "&amp;'WP_I-1'!A30</f>
        <v>WP_I-1 Line 15</v>
      </c>
      <c r="D24" s="114">
        <f>'WP_I-1'!S30</f>
        <v>5812158</v>
      </c>
      <c r="E24" t="s">
        <v>879</v>
      </c>
    </row>
    <row r="25" spans="1:5">
      <c r="A25" s="105">
        <f t="shared" si="0"/>
        <v>17</v>
      </c>
      <c r="B25" s="120"/>
      <c r="C25" s="110"/>
    </row>
    <row r="26" spans="1:5">
      <c r="A26" s="105">
        <f t="shared" si="0"/>
        <v>18</v>
      </c>
      <c r="B26" s="120" t="s">
        <v>880</v>
      </c>
      <c r="C26" s="110" t="str">
        <f>"((Line "&amp;A20&amp;" /Line "&amp;A24&amp;") /12)"</f>
        <v>((Line 12 /Line 16) /12)</v>
      </c>
      <c r="D26" s="660">
        <f>IF(D24=0,0,(ROUND(((D20/D24)/12),3)))</f>
        <v>6.2E-2</v>
      </c>
      <c r="E26" t="s">
        <v>879</v>
      </c>
    </row>
    <row r="27" spans="1:5">
      <c r="A27" s="105">
        <f t="shared" si="0"/>
        <v>19</v>
      </c>
      <c r="B27" s="120" t="s">
        <v>881</v>
      </c>
      <c r="C27" s="110" t="str">
        <f>"((Line "&amp;A20&amp;" /Line "&amp;A24&amp;") /52)"</f>
        <v>((Line 12 /Line 16) /52)</v>
      </c>
      <c r="D27" s="660">
        <f>IF(D24=0,0,(ROUND(((D20/D24)/52),3)))</f>
        <v>1.4E-2</v>
      </c>
      <c r="E27" t="s">
        <v>879</v>
      </c>
    </row>
    <row r="28" spans="1:5">
      <c r="A28" s="105">
        <f t="shared" si="0"/>
        <v>20</v>
      </c>
      <c r="B28" s="120" t="s">
        <v>882</v>
      </c>
      <c r="C28" s="110" t="str">
        <f>"((Line "&amp;A20&amp;" /Line "&amp;A24&amp;") /365)"</f>
        <v>((Line 12 /Line 16) /365)</v>
      </c>
      <c r="D28" s="660">
        <f>IF(D24=0,0,(ROUND(((D20/D24)/365),3)))</f>
        <v>2E-3</v>
      </c>
      <c r="E28" t="s">
        <v>879</v>
      </c>
    </row>
    <row r="29" spans="1:5">
      <c r="A29" s="105">
        <f t="shared" si="0"/>
        <v>21</v>
      </c>
      <c r="B29" s="120" t="s">
        <v>886</v>
      </c>
      <c r="C29" s="110" t="str">
        <f>"((Line "&amp;A20&amp;" /Line "&amp;A24&amp;") /8760 * 1000)"</f>
        <v>((Line 12 /Line 16) /8760 * 1000)</v>
      </c>
      <c r="D29" s="660">
        <f>IF(D24=0,0,(ROUND((((D20/D24)/8760)*1000),3)))</f>
        <v>8.5000000000000006E-2</v>
      </c>
      <c r="E29" t="s">
        <v>887</v>
      </c>
    </row>
    <row r="30" spans="1:5">
      <c r="A30" s="105">
        <f t="shared" si="0"/>
        <v>22</v>
      </c>
      <c r="C30" s="110"/>
      <c r="D30" s="112"/>
    </row>
    <row r="31" spans="1:5">
      <c r="A31" s="105">
        <f t="shared" si="0"/>
        <v>23</v>
      </c>
      <c r="B31" s="98"/>
      <c r="D31" s="112"/>
    </row>
    <row r="32" spans="1:5">
      <c r="A32" s="105">
        <f t="shared" si="0"/>
        <v>24</v>
      </c>
      <c r="D32" s="112"/>
    </row>
    <row r="33" spans="1:5">
      <c r="A33" s="105">
        <f t="shared" si="0"/>
        <v>25</v>
      </c>
      <c r="B33" s="492" t="s">
        <v>1788</v>
      </c>
      <c r="D33" s="112"/>
    </row>
    <row r="34" spans="1:5">
      <c r="A34" s="105">
        <f t="shared" si="0"/>
        <v>26</v>
      </c>
      <c r="B34" s="104" t="s">
        <v>877</v>
      </c>
      <c r="C34" s="110" t="str">
        <f ca="1">'WP_C-1'!M2&amp;" Lines "&amp;'WP_C-1'!A12&amp;" through "&amp;'WP_C-1'!A19</f>
        <v>WP_C-1 Lines 2 through 9</v>
      </c>
      <c r="D34" s="108">
        <f>SUM('WP_C-1'!M12:M19)</f>
        <v>0</v>
      </c>
    </row>
    <row r="35" spans="1:5">
      <c r="A35" s="105">
        <f t="shared" si="0"/>
        <v>27</v>
      </c>
      <c r="B35" s="510" t="s">
        <v>1210</v>
      </c>
      <c r="C35" s="110" t="str">
        <f ca="1">'WP_C-1'!M2&amp;" Line "&amp;'WP_C-1'!A15</f>
        <v>WP_C-1 Line 5</v>
      </c>
      <c r="D35" s="108">
        <f>-'WP_C-1'!M15</f>
        <v>0</v>
      </c>
    </row>
    <row r="36" spans="1:5">
      <c r="A36" s="105">
        <f t="shared" si="0"/>
        <v>28</v>
      </c>
      <c r="B36" s="588" t="s">
        <v>600</v>
      </c>
      <c r="C36" s="110" t="str">
        <f ca="1">'WP_C-1'!M2&amp;" Line "&amp;'WP_C-1'!A16</f>
        <v>WP_C-1 Line 6</v>
      </c>
      <c r="D36" s="108">
        <f>-'WP_C-1'!M16</f>
        <v>0</v>
      </c>
    </row>
    <row r="37" spans="1:5">
      <c r="A37" s="105">
        <f t="shared" si="0"/>
        <v>29</v>
      </c>
      <c r="B37" s="588" t="s">
        <v>601</v>
      </c>
      <c r="C37" s="110" t="str">
        <f ca="1">'WP_C-1'!M2&amp;" Line "&amp;'WP_C-1'!A17</f>
        <v>WP_C-1 Line 7</v>
      </c>
      <c r="D37" s="108">
        <f>-'WP_C-1'!M17</f>
        <v>0</v>
      </c>
    </row>
    <row r="38" spans="1:5">
      <c r="A38" s="105">
        <f t="shared" si="0"/>
        <v>30</v>
      </c>
      <c r="B38" s="588" t="s">
        <v>602</v>
      </c>
      <c r="C38" s="110" t="str">
        <f ca="1">'WP_C-1'!M2&amp;" Line "&amp;'WP_C-1'!A18</f>
        <v>WP_C-1 Line 8</v>
      </c>
      <c r="D38" s="108">
        <f>-'WP_C-1'!M18</f>
        <v>0</v>
      </c>
    </row>
    <row r="39" spans="1:5">
      <c r="A39" s="105">
        <f t="shared" ref="A39:A52" si="1">A38+1</f>
        <v>31</v>
      </c>
      <c r="B39" s="588" t="s">
        <v>603</v>
      </c>
      <c r="C39" s="110" t="str">
        <f ca="1">'WP_C-1'!M2&amp;" Line "&amp;'WP_C-1'!A19</f>
        <v>WP_C-1 Line 9</v>
      </c>
      <c r="D39" s="111">
        <f>-'WP_C-1'!M19</f>
        <v>0</v>
      </c>
    </row>
    <row r="40" spans="1:5">
      <c r="A40" s="105">
        <f t="shared" si="1"/>
        <v>32</v>
      </c>
      <c r="B40" s="118" t="s">
        <v>888</v>
      </c>
      <c r="C40" s="110" t="str">
        <f>"Sum Lines "&amp;A34&amp;" through "&amp;A39</f>
        <v>Sum Lines 26 through 31</v>
      </c>
      <c r="D40" s="108">
        <f>SUM(D34:D39)</f>
        <v>0</v>
      </c>
    </row>
    <row r="41" spans="1:5">
      <c r="A41" s="105">
        <f t="shared" si="1"/>
        <v>33</v>
      </c>
      <c r="B41" s="104"/>
      <c r="D41" s="108"/>
    </row>
    <row r="42" spans="1:5">
      <c r="A42" s="105">
        <f t="shared" si="1"/>
        <v>34</v>
      </c>
      <c r="B42" s="104" t="s">
        <v>889</v>
      </c>
      <c r="C42" s="110" t="str">
        <f ca="1">'WP_F-1'!R2&amp;" Line "&amp;'WP_F-1'!A118</f>
        <v>WP_F-1 Line 46</v>
      </c>
      <c r="D42" s="108">
        <f>'WP_F-1'!H118</f>
        <v>0</v>
      </c>
    </row>
    <row r="43" spans="1:5">
      <c r="A43" s="105">
        <f t="shared" si="1"/>
        <v>35</v>
      </c>
      <c r="B43" s="104"/>
      <c r="D43" s="112"/>
    </row>
    <row r="44" spans="1:5">
      <c r="A44" s="105">
        <f t="shared" si="1"/>
        <v>36</v>
      </c>
      <c r="B44" s="104" t="s">
        <v>890</v>
      </c>
      <c r="C44" s="105" t="str">
        <f>"(Ln "&amp;A40&amp;" - Ln "&amp;A42&amp;")"</f>
        <v>(Ln 32 - Ln 34)</v>
      </c>
      <c r="D44" s="112">
        <f>D40-D42</f>
        <v>0</v>
      </c>
    </row>
    <row r="45" spans="1:5">
      <c r="A45" s="105">
        <f t="shared" si="1"/>
        <v>37</v>
      </c>
      <c r="B45" s="104"/>
      <c r="D45" s="112"/>
    </row>
    <row r="46" spans="1:5">
      <c r="A46" s="110">
        <f t="shared" si="1"/>
        <v>38</v>
      </c>
      <c r="B46" s="708" t="s">
        <v>860</v>
      </c>
      <c r="C46" s="110"/>
      <c r="D46" s="108"/>
      <c r="E46" s="109"/>
    </row>
    <row r="47" spans="1:5">
      <c r="A47" s="110">
        <f t="shared" si="1"/>
        <v>39</v>
      </c>
      <c r="B47" s="118" t="s">
        <v>857</v>
      </c>
      <c r="C47" s="110" t="str">
        <f ca="1">'WP_I-1'!S2&amp;" Line "&amp;'WP_I-1'!A56</f>
        <v>WP_I-1 Line 15</v>
      </c>
      <c r="D47" s="114">
        <f>'WP_I-1'!M56</f>
        <v>0</v>
      </c>
      <c r="E47" s="109" t="s">
        <v>879</v>
      </c>
    </row>
    <row r="48" spans="1:5">
      <c r="A48" s="110">
        <f t="shared" si="1"/>
        <v>40</v>
      </c>
      <c r="B48" s="684"/>
      <c r="C48" s="110"/>
      <c r="D48" s="114"/>
      <c r="E48" s="109"/>
    </row>
    <row r="49" spans="1:5">
      <c r="A49" s="110">
        <f t="shared" si="1"/>
        <v>41</v>
      </c>
      <c r="B49" s="684" t="s">
        <v>880</v>
      </c>
      <c r="C49" s="110" t="str">
        <f>"((Line "&amp;A44&amp;" /Line "&amp;A47&amp;") /12)"</f>
        <v>((Line 36 /Line 39) /12)</v>
      </c>
      <c r="D49" s="709">
        <f>IF(D47=0,0,(ROUND(((D44/D47)/12),3)))</f>
        <v>0</v>
      </c>
      <c r="E49" s="109" t="s">
        <v>879</v>
      </c>
    </row>
    <row r="50" spans="1:5">
      <c r="A50" s="110">
        <f t="shared" si="1"/>
        <v>42</v>
      </c>
      <c r="B50" s="684" t="s">
        <v>881</v>
      </c>
      <c r="C50" s="110" t="str">
        <f>"((Line "&amp;A44&amp;" /Line "&amp;A47&amp;") /52)"</f>
        <v>((Line 36 /Line 39) /52)</v>
      </c>
      <c r="D50" s="709">
        <f>IF(D47=0,0,(ROUND(((D44/D47)/52),3)))</f>
        <v>0</v>
      </c>
      <c r="E50" s="109" t="s">
        <v>879</v>
      </c>
    </row>
    <row r="51" spans="1:5">
      <c r="A51" s="110">
        <f t="shared" si="1"/>
        <v>43</v>
      </c>
      <c r="B51" s="684" t="s">
        <v>882</v>
      </c>
      <c r="C51" s="110" t="str">
        <f>"((Line "&amp;A44&amp;" /Line "&amp;A47&amp;") /365)"</f>
        <v>((Line 36 /Line 39) /365)</v>
      </c>
      <c r="D51" s="709">
        <f>IF(D47=0,0,(ROUND(((D44/D47)/365),3)))</f>
        <v>0</v>
      </c>
      <c r="E51" s="109" t="s">
        <v>879</v>
      </c>
    </row>
    <row r="52" spans="1:5">
      <c r="A52" s="110">
        <f t="shared" si="1"/>
        <v>44</v>
      </c>
      <c r="B52" s="684" t="s">
        <v>886</v>
      </c>
      <c r="C52" s="110" t="str">
        <f>"((Line "&amp;A44&amp;" /Line "&amp;A47&amp;") /8760 * 1000)"</f>
        <v>((Line 36 /Line 39) /8760 * 1000)</v>
      </c>
      <c r="D52" s="709">
        <f>IF(D47=0,0,(ROUND((((D44/D47)/8760)*1000),3)))</f>
        <v>0</v>
      </c>
      <c r="E52" s="109" t="s">
        <v>887</v>
      </c>
    </row>
    <row r="53" spans="1:5">
      <c r="A53" s="105"/>
      <c r="B53" s="104"/>
      <c r="D53" s="112"/>
    </row>
    <row r="54" spans="1:5">
      <c r="A54" s="105"/>
      <c r="B54" s="104"/>
      <c r="D54" s="112"/>
    </row>
    <row r="55" spans="1:5">
      <c r="A55" s="105"/>
      <c r="B55" s="104"/>
      <c r="D55" s="112"/>
    </row>
    <row r="136" spans="1:2">
      <c r="A136" s="109"/>
      <c r="B136" s="109"/>
    </row>
  </sheetData>
  <phoneticPr fontId="2" type="noConversion"/>
  <printOptions horizontalCentered="1"/>
  <pageMargins left="0.75" right="0.5" top="0.75" bottom="0.75" header="0.5" footer="0.5"/>
  <pageSetup scale="67" firstPageNumber="7" orientation="portrait" cellComments="atEnd" r:id="rId1"/>
  <headerFooter alignWithMargins="0">
    <oddHeader>&amp;RPage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47"/>
  <sheetViews>
    <sheetView workbookViewId="0"/>
  </sheetViews>
  <sheetFormatPr defaultRowHeight="12.75"/>
  <cols>
    <col min="1" max="1" width="12.5703125" customWidth="1"/>
    <col min="2" max="2" width="20.42578125" bestFit="1" customWidth="1"/>
    <col min="3" max="3" width="53.7109375" customWidth="1"/>
    <col min="4" max="4" width="19.5703125" customWidth="1"/>
  </cols>
  <sheetData>
    <row r="1" spans="1:4">
      <c r="A1" s="11" t="str">
        <f>'Cover Page'!A5</f>
        <v>Public Service Company of Colorado</v>
      </c>
      <c r="B1" s="11"/>
      <c r="C1" s="11"/>
      <c r="D1" s="133" t="s">
        <v>111</v>
      </c>
    </row>
    <row r="2" spans="1:4">
      <c r="A2" s="11" t="str">
        <f>'Cover Page'!A6</f>
        <v>Transmission Formula Rate Template</v>
      </c>
      <c r="B2" s="11"/>
      <c r="C2" s="11"/>
      <c r="D2" s="133" t="s">
        <v>112</v>
      </c>
    </row>
    <row r="3" spans="1:4">
      <c r="A3" s="11" t="str">
        <f>'Cover Page'!A7</f>
        <v>Twelve Months Ended December 31, 2018</v>
      </c>
      <c r="B3" s="11"/>
      <c r="C3" s="11"/>
    </row>
    <row r="4" spans="1:4">
      <c r="A4" s="11"/>
      <c r="B4" s="11"/>
      <c r="C4" s="11"/>
    </row>
    <row r="8" spans="1:4">
      <c r="A8" s="1" t="s">
        <v>133</v>
      </c>
      <c r="B8" s="1" t="s">
        <v>134</v>
      </c>
      <c r="C8" s="1" t="s">
        <v>917</v>
      </c>
      <c r="D8" s="215"/>
    </row>
    <row r="10" spans="1:4">
      <c r="A10" s="110" t="s">
        <v>135</v>
      </c>
      <c r="B10" s="418" t="s">
        <v>1840</v>
      </c>
      <c r="C10" s="109" t="s">
        <v>855</v>
      </c>
    </row>
    <row r="11" spans="1:4">
      <c r="A11" s="110" t="s">
        <v>136</v>
      </c>
      <c r="B11" s="418" t="s">
        <v>1841</v>
      </c>
      <c r="C11" s="109" t="s">
        <v>862</v>
      </c>
    </row>
    <row r="12" spans="1:4">
      <c r="A12" s="110" t="s">
        <v>137</v>
      </c>
      <c r="B12" s="418" t="s">
        <v>1842</v>
      </c>
      <c r="C12" s="109" t="s">
        <v>509</v>
      </c>
    </row>
    <row r="13" spans="1:4">
      <c r="A13" s="110" t="s">
        <v>138</v>
      </c>
      <c r="B13" s="418" t="s">
        <v>1843</v>
      </c>
      <c r="C13" s="109" t="s">
        <v>508</v>
      </c>
    </row>
    <row r="14" spans="1:4">
      <c r="A14" s="110" t="s">
        <v>139</v>
      </c>
      <c r="B14" s="418" t="s">
        <v>1844</v>
      </c>
      <c r="C14" s="109" t="s">
        <v>192</v>
      </c>
    </row>
    <row r="15" spans="1:4">
      <c r="A15" s="110" t="s">
        <v>140</v>
      </c>
      <c r="B15" s="418" t="s">
        <v>1845</v>
      </c>
      <c r="C15" s="109" t="s">
        <v>656</v>
      </c>
    </row>
    <row r="16" spans="1:4">
      <c r="A16" s="110" t="s">
        <v>141</v>
      </c>
      <c r="B16" s="418" t="s">
        <v>1583</v>
      </c>
      <c r="C16" s="109" t="s">
        <v>989</v>
      </c>
    </row>
    <row r="17" spans="1:3">
      <c r="A17" s="110" t="s">
        <v>142</v>
      </c>
      <c r="B17" s="418" t="s">
        <v>194</v>
      </c>
      <c r="C17" s="109" t="s">
        <v>1072</v>
      </c>
    </row>
    <row r="18" spans="1:3">
      <c r="A18" s="110" t="s">
        <v>143</v>
      </c>
      <c r="B18" s="418" t="s">
        <v>1846</v>
      </c>
      <c r="C18" s="109" t="s">
        <v>1348</v>
      </c>
    </row>
    <row r="19" spans="1:3">
      <c r="A19" s="110" t="s">
        <v>144</v>
      </c>
      <c r="B19" s="418" t="s">
        <v>1847</v>
      </c>
      <c r="C19" s="109" t="s">
        <v>767</v>
      </c>
    </row>
    <row r="20" spans="1:3">
      <c r="A20" s="110" t="s">
        <v>145</v>
      </c>
      <c r="B20" s="418" t="s">
        <v>1848</v>
      </c>
      <c r="C20" s="109" t="s">
        <v>1351</v>
      </c>
    </row>
    <row r="21" spans="1:3">
      <c r="A21" s="110" t="s">
        <v>146</v>
      </c>
      <c r="B21" s="418" t="s">
        <v>1849</v>
      </c>
      <c r="C21" s="109" t="s">
        <v>937</v>
      </c>
    </row>
    <row r="22" spans="1:3">
      <c r="A22" s="110" t="s">
        <v>147</v>
      </c>
      <c r="B22" s="109" t="s">
        <v>1850</v>
      </c>
      <c r="C22" s="109" t="s">
        <v>522</v>
      </c>
    </row>
    <row r="23" spans="1:3">
      <c r="A23" s="110" t="s">
        <v>148</v>
      </c>
      <c r="B23" s="418" t="s">
        <v>1588</v>
      </c>
      <c r="C23" s="109" t="s">
        <v>943</v>
      </c>
    </row>
    <row r="24" spans="1:3">
      <c r="A24" s="110" t="s">
        <v>149</v>
      </c>
      <c r="B24" s="418" t="s">
        <v>1591</v>
      </c>
      <c r="C24" s="109" t="s">
        <v>523</v>
      </c>
    </row>
    <row r="25" spans="1:3">
      <c r="A25" s="110" t="s">
        <v>150</v>
      </c>
      <c r="B25" s="418" t="s">
        <v>1851</v>
      </c>
      <c r="C25" s="109" t="s">
        <v>25</v>
      </c>
    </row>
    <row r="26" spans="1:3">
      <c r="A26" s="110" t="s">
        <v>151</v>
      </c>
      <c r="B26" s="418" t="s">
        <v>1852</v>
      </c>
      <c r="C26" s="109" t="s">
        <v>53</v>
      </c>
    </row>
    <row r="27" spans="1:3">
      <c r="A27" s="110" t="s">
        <v>152</v>
      </c>
      <c r="B27" s="418" t="s">
        <v>1853</v>
      </c>
      <c r="C27" s="109" t="s">
        <v>608</v>
      </c>
    </row>
    <row r="28" spans="1:3">
      <c r="A28" s="110" t="s">
        <v>153</v>
      </c>
      <c r="B28" s="418" t="s">
        <v>1854</v>
      </c>
      <c r="C28" s="109" t="s">
        <v>216</v>
      </c>
    </row>
    <row r="29" spans="1:3">
      <c r="A29" s="110" t="s">
        <v>154</v>
      </c>
      <c r="B29" s="418" t="s">
        <v>1855</v>
      </c>
      <c r="C29" s="109" t="s">
        <v>72</v>
      </c>
    </row>
    <row r="30" spans="1:3">
      <c r="A30" s="110" t="s">
        <v>155</v>
      </c>
      <c r="B30" s="418" t="s">
        <v>1856</v>
      </c>
      <c r="C30" s="109" t="s">
        <v>92</v>
      </c>
    </row>
    <row r="31" spans="1:3">
      <c r="A31" s="110" t="s">
        <v>156</v>
      </c>
      <c r="B31" s="668" t="s">
        <v>1857</v>
      </c>
      <c r="C31" s="109" t="s">
        <v>198</v>
      </c>
    </row>
    <row r="32" spans="1:3">
      <c r="A32" s="110" t="s">
        <v>157</v>
      </c>
      <c r="B32" s="418" t="s">
        <v>1858</v>
      </c>
      <c r="C32" s="109" t="s">
        <v>524</v>
      </c>
    </row>
    <row r="33" spans="1:4">
      <c r="A33" s="110" t="s">
        <v>158</v>
      </c>
      <c r="B33" s="418" t="s">
        <v>1859</v>
      </c>
      <c r="C33" s="109" t="s">
        <v>1599</v>
      </c>
    </row>
    <row r="34" spans="1:4">
      <c r="A34" s="110" t="s">
        <v>159</v>
      </c>
      <c r="B34" s="418" t="s">
        <v>1860</v>
      </c>
      <c r="C34" s="109" t="s">
        <v>193</v>
      </c>
    </row>
    <row r="35" spans="1:4">
      <c r="A35" s="110" t="s">
        <v>160</v>
      </c>
      <c r="B35" s="668" t="s">
        <v>723</v>
      </c>
      <c r="C35" s="109" t="s">
        <v>200</v>
      </c>
    </row>
    <row r="36" spans="1:4">
      <c r="A36" s="110" t="s">
        <v>161</v>
      </c>
      <c r="B36" s="668" t="s">
        <v>724</v>
      </c>
      <c r="C36" s="109" t="s">
        <v>749</v>
      </c>
    </row>
    <row r="37" spans="1:4">
      <c r="A37" s="110" t="s">
        <v>162</v>
      </c>
      <c r="B37" s="418" t="s">
        <v>1817</v>
      </c>
      <c r="C37" s="109" t="s">
        <v>750</v>
      </c>
    </row>
    <row r="38" spans="1:4">
      <c r="A38" s="110" t="s">
        <v>1231</v>
      </c>
      <c r="B38" s="418" t="s">
        <v>726</v>
      </c>
      <c r="C38" s="109" t="s">
        <v>751</v>
      </c>
    </row>
    <row r="39" spans="1:4">
      <c r="A39" s="110" t="s">
        <v>215</v>
      </c>
      <c r="B39" s="418" t="s">
        <v>727</v>
      </c>
      <c r="C39" s="109" t="s">
        <v>752</v>
      </c>
    </row>
    <row r="40" spans="1:4">
      <c r="A40" s="110" t="s">
        <v>521</v>
      </c>
      <c r="B40" s="418" t="s">
        <v>1861</v>
      </c>
      <c r="C40" s="109" t="s">
        <v>224</v>
      </c>
    </row>
    <row r="41" spans="1:4">
      <c r="A41" s="110" t="s">
        <v>1060</v>
      </c>
      <c r="B41" s="418" t="s">
        <v>1814</v>
      </c>
      <c r="C41" s="109" t="s">
        <v>505</v>
      </c>
    </row>
    <row r="42" spans="1:4">
      <c r="A42" s="110" t="s">
        <v>766</v>
      </c>
      <c r="B42" s="109" t="s">
        <v>1862</v>
      </c>
      <c r="C42" s="109" t="s">
        <v>1096</v>
      </c>
      <c r="D42" s="109"/>
    </row>
    <row r="43" spans="1:4">
      <c r="A43" s="110" t="s">
        <v>1502</v>
      </c>
      <c r="B43" t="s">
        <v>1729</v>
      </c>
      <c r="C43" t="s">
        <v>1506</v>
      </c>
    </row>
    <row r="44" spans="1:4">
      <c r="A44" s="110" t="s">
        <v>1503</v>
      </c>
      <c r="B44" t="s">
        <v>1819</v>
      </c>
      <c r="C44" t="s">
        <v>1510</v>
      </c>
    </row>
    <row r="45" spans="1:4">
      <c r="A45" s="110" t="s">
        <v>1504</v>
      </c>
      <c r="B45" t="s">
        <v>1863</v>
      </c>
      <c r="C45" t="s">
        <v>1525</v>
      </c>
    </row>
    <row r="46" spans="1:4">
      <c r="A46" s="110" t="s">
        <v>1505</v>
      </c>
      <c r="B46" t="s">
        <v>1821</v>
      </c>
      <c r="C46" t="s">
        <v>1552</v>
      </c>
    </row>
    <row r="47" spans="1:4">
      <c r="A47" s="420" t="s">
        <v>1586</v>
      </c>
      <c r="B47" t="s">
        <v>1864</v>
      </c>
      <c r="C47" t="s">
        <v>1699</v>
      </c>
    </row>
  </sheetData>
  <phoneticPr fontId="2" type="noConversion"/>
  <printOptions horizontalCentered="1"/>
  <pageMargins left="0.75" right="0.75" top="1" bottom="1" header="0.5" footer="0.5"/>
  <pageSetup scale="85" orientation="portrait" r:id="rId1"/>
  <headerFooter alignWithMargins="0">
    <oddHeader>&amp;RPage &amp;P of &amp;N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pageSetUpPr fitToPage="1"/>
  </sheetPr>
  <dimension ref="A1:K82"/>
  <sheetViews>
    <sheetView topLeftCell="A40" workbookViewId="0">
      <selection activeCell="H69" sqref="H69"/>
    </sheetView>
  </sheetViews>
  <sheetFormatPr defaultRowHeight="12.75"/>
  <cols>
    <col min="1" max="1" width="9.28515625" style="105" bestFit="1" customWidth="1"/>
    <col min="2" max="2" width="11.85546875" customWidth="1"/>
    <col min="4" max="4" width="9.28515625" bestFit="1" customWidth="1"/>
    <col min="7" max="7" width="22" customWidth="1"/>
    <col min="8" max="8" width="14.7109375" style="464" bestFit="1" customWidth="1"/>
    <col min="9" max="9" width="40.28515625" customWidth="1"/>
    <col min="10" max="10" width="14" bestFit="1" customWidth="1"/>
    <col min="11" max="11" width="10.7109375" bestFit="1" customWidth="1"/>
    <col min="257" max="257" width="9.28515625" bestFit="1" customWidth="1"/>
    <col min="258" max="258" width="11.85546875" customWidth="1"/>
    <col min="260" max="260" width="9.28515625" bestFit="1" customWidth="1"/>
    <col min="263" max="263" width="22" customWidth="1"/>
    <col min="264" max="264" width="14.7109375" bestFit="1" customWidth="1"/>
    <col min="265" max="265" width="40.28515625" customWidth="1"/>
    <col min="266" max="266" width="14" bestFit="1" customWidth="1"/>
    <col min="267" max="267" width="10.7109375" bestFit="1" customWidth="1"/>
    <col min="513" max="513" width="9.28515625" bestFit="1" customWidth="1"/>
    <col min="514" max="514" width="11.85546875" customWidth="1"/>
    <col min="516" max="516" width="9.28515625" bestFit="1" customWidth="1"/>
    <col min="519" max="519" width="22" customWidth="1"/>
    <col min="520" max="520" width="14.7109375" bestFit="1" customWidth="1"/>
    <col min="521" max="521" width="40.28515625" customWidth="1"/>
    <col min="522" max="522" width="14" bestFit="1" customWidth="1"/>
    <col min="523" max="523" width="10.7109375" bestFit="1" customWidth="1"/>
    <col min="769" max="769" width="9.28515625" bestFit="1" customWidth="1"/>
    <col min="770" max="770" width="11.85546875" customWidth="1"/>
    <col min="772" max="772" width="9.28515625" bestFit="1" customWidth="1"/>
    <col min="775" max="775" width="22" customWidth="1"/>
    <col min="776" max="776" width="14.7109375" bestFit="1" customWidth="1"/>
    <col min="777" max="777" width="40.28515625" customWidth="1"/>
    <col min="778" max="778" width="14" bestFit="1" customWidth="1"/>
    <col min="779" max="779" width="10.7109375" bestFit="1" customWidth="1"/>
    <col min="1025" max="1025" width="9.28515625" bestFit="1" customWidth="1"/>
    <col min="1026" max="1026" width="11.85546875" customWidth="1"/>
    <col min="1028" max="1028" width="9.28515625" bestFit="1" customWidth="1"/>
    <col min="1031" max="1031" width="22" customWidth="1"/>
    <col min="1032" max="1032" width="14.7109375" bestFit="1" customWidth="1"/>
    <col min="1033" max="1033" width="40.28515625" customWidth="1"/>
    <col min="1034" max="1034" width="14" bestFit="1" customWidth="1"/>
    <col min="1035" max="1035" width="10.7109375" bestFit="1" customWidth="1"/>
    <col min="1281" max="1281" width="9.28515625" bestFit="1" customWidth="1"/>
    <col min="1282" max="1282" width="11.85546875" customWidth="1"/>
    <col min="1284" max="1284" width="9.28515625" bestFit="1" customWidth="1"/>
    <col min="1287" max="1287" width="22" customWidth="1"/>
    <col min="1288" max="1288" width="14.7109375" bestFit="1" customWidth="1"/>
    <col min="1289" max="1289" width="40.28515625" customWidth="1"/>
    <col min="1290" max="1290" width="14" bestFit="1" customWidth="1"/>
    <col min="1291" max="1291" width="10.7109375" bestFit="1" customWidth="1"/>
    <col min="1537" max="1537" width="9.28515625" bestFit="1" customWidth="1"/>
    <col min="1538" max="1538" width="11.85546875" customWidth="1"/>
    <col min="1540" max="1540" width="9.28515625" bestFit="1" customWidth="1"/>
    <col min="1543" max="1543" width="22" customWidth="1"/>
    <col min="1544" max="1544" width="14.7109375" bestFit="1" customWidth="1"/>
    <col min="1545" max="1545" width="40.28515625" customWidth="1"/>
    <col min="1546" max="1546" width="14" bestFit="1" customWidth="1"/>
    <col min="1547" max="1547" width="10.7109375" bestFit="1" customWidth="1"/>
    <col min="1793" max="1793" width="9.28515625" bestFit="1" customWidth="1"/>
    <col min="1794" max="1794" width="11.85546875" customWidth="1"/>
    <col min="1796" max="1796" width="9.28515625" bestFit="1" customWidth="1"/>
    <col min="1799" max="1799" width="22" customWidth="1"/>
    <col min="1800" max="1800" width="14.7109375" bestFit="1" customWidth="1"/>
    <col min="1801" max="1801" width="40.28515625" customWidth="1"/>
    <col min="1802" max="1802" width="14" bestFit="1" customWidth="1"/>
    <col min="1803" max="1803" width="10.7109375" bestFit="1" customWidth="1"/>
    <col min="2049" max="2049" width="9.28515625" bestFit="1" customWidth="1"/>
    <col min="2050" max="2050" width="11.85546875" customWidth="1"/>
    <col min="2052" max="2052" width="9.28515625" bestFit="1" customWidth="1"/>
    <col min="2055" max="2055" width="22" customWidth="1"/>
    <col min="2056" max="2056" width="14.7109375" bestFit="1" customWidth="1"/>
    <col min="2057" max="2057" width="40.28515625" customWidth="1"/>
    <col min="2058" max="2058" width="14" bestFit="1" customWidth="1"/>
    <col min="2059" max="2059" width="10.7109375" bestFit="1" customWidth="1"/>
    <col min="2305" max="2305" width="9.28515625" bestFit="1" customWidth="1"/>
    <col min="2306" max="2306" width="11.85546875" customWidth="1"/>
    <col min="2308" max="2308" width="9.28515625" bestFit="1" customWidth="1"/>
    <col min="2311" max="2311" width="22" customWidth="1"/>
    <col min="2312" max="2312" width="14.7109375" bestFit="1" customWidth="1"/>
    <col min="2313" max="2313" width="40.28515625" customWidth="1"/>
    <col min="2314" max="2314" width="14" bestFit="1" customWidth="1"/>
    <col min="2315" max="2315" width="10.7109375" bestFit="1" customWidth="1"/>
    <col min="2561" max="2561" width="9.28515625" bestFit="1" customWidth="1"/>
    <col min="2562" max="2562" width="11.85546875" customWidth="1"/>
    <col min="2564" max="2564" width="9.28515625" bestFit="1" customWidth="1"/>
    <col min="2567" max="2567" width="22" customWidth="1"/>
    <col min="2568" max="2568" width="14.7109375" bestFit="1" customWidth="1"/>
    <col min="2569" max="2569" width="40.28515625" customWidth="1"/>
    <col min="2570" max="2570" width="14" bestFit="1" customWidth="1"/>
    <col min="2571" max="2571" width="10.7109375" bestFit="1" customWidth="1"/>
    <col min="2817" max="2817" width="9.28515625" bestFit="1" customWidth="1"/>
    <col min="2818" max="2818" width="11.85546875" customWidth="1"/>
    <col min="2820" max="2820" width="9.28515625" bestFit="1" customWidth="1"/>
    <col min="2823" max="2823" width="22" customWidth="1"/>
    <col min="2824" max="2824" width="14.7109375" bestFit="1" customWidth="1"/>
    <col min="2825" max="2825" width="40.28515625" customWidth="1"/>
    <col min="2826" max="2826" width="14" bestFit="1" customWidth="1"/>
    <col min="2827" max="2827" width="10.7109375" bestFit="1" customWidth="1"/>
    <col min="3073" max="3073" width="9.28515625" bestFit="1" customWidth="1"/>
    <col min="3074" max="3074" width="11.85546875" customWidth="1"/>
    <col min="3076" max="3076" width="9.28515625" bestFit="1" customWidth="1"/>
    <col min="3079" max="3079" width="22" customWidth="1"/>
    <col min="3080" max="3080" width="14.7109375" bestFit="1" customWidth="1"/>
    <col min="3081" max="3081" width="40.28515625" customWidth="1"/>
    <col min="3082" max="3082" width="14" bestFit="1" customWidth="1"/>
    <col min="3083" max="3083" width="10.7109375" bestFit="1" customWidth="1"/>
    <col min="3329" max="3329" width="9.28515625" bestFit="1" customWidth="1"/>
    <col min="3330" max="3330" width="11.85546875" customWidth="1"/>
    <col min="3332" max="3332" width="9.28515625" bestFit="1" customWidth="1"/>
    <col min="3335" max="3335" width="22" customWidth="1"/>
    <col min="3336" max="3336" width="14.7109375" bestFit="1" customWidth="1"/>
    <col min="3337" max="3337" width="40.28515625" customWidth="1"/>
    <col min="3338" max="3338" width="14" bestFit="1" customWidth="1"/>
    <col min="3339" max="3339" width="10.7109375" bestFit="1" customWidth="1"/>
    <col min="3585" max="3585" width="9.28515625" bestFit="1" customWidth="1"/>
    <col min="3586" max="3586" width="11.85546875" customWidth="1"/>
    <col min="3588" max="3588" width="9.28515625" bestFit="1" customWidth="1"/>
    <col min="3591" max="3591" width="22" customWidth="1"/>
    <col min="3592" max="3592" width="14.7109375" bestFit="1" customWidth="1"/>
    <col min="3593" max="3593" width="40.28515625" customWidth="1"/>
    <col min="3594" max="3594" width="14" bestFit="1" customWidth="1"/>
    <col min="3595" max="3595" width="10.7109375" bestFit="1" customWidth="1"/>
    <col min="3841" max="3841" width="9.28515625" bestFit="1" customWidth="1"/>
    <col min="3842" max="3842" width="11.85546875" customWidth="1"/>
    <col min="3844" max="3844" width="9.28515625" bestFit="1" customWidth="1"/>
    <col min="3847" max="3847" width="22" customWidth="1"/>
    <col min="3848" max="3848" width="14.7109375" bestFit="1" customWidth="1"/>
    <col min="3849" max="3849" width="40.28515625" customWidth="1"/>
    <col min="3850" max="3850" width="14" bestFit="1" customWidth="1"/>
    <col min="3851" max="3851" width="10.7109375" bestFit="1" customWidth="1"/>
    <col min="4097" max="4097" width="9.28515625" bestFit="1" customWidth="1"/>
    <col min="4098" max="4098" width="11.85546875" customWidth="1"/>
    <col min="4100" max="4100" width="9.28515625" bestFit="1" customWidth="1"/>
    <col min="4103" max="4103" width="22" customWidth="1"/>
    <col min="4104" max="4104" width="14.7109375" bestFit="1" customWidth="1"/>
    <col min="4105" max="4105" width="40.28515625" customWidth="1"/>
    <col min="4106" max="4106" width="14" bestFit="1" customWidth="1"/>
    <col min="4107" max="4107" width="10.7109375" bestFit="1" customWidth="1"/>
    <col min="4353" max="4353" width="9.28515625" bestFit="1" customWidth="1"/>
    <col min="4354" max="4354" width="11.85546875" customWidth="1"/>
    <col min="4356" max="4356" width="9.28515625" bestFit="1" customWidth="1"/>
    <col min="4359" max="4359" width="22" customWidth="1"/>
    <col min="4360" max="4360" width="14.7109375" bestFit="1" customWidth="1"/>
    <col min="4361" max="4361" width="40.28515625" customWidth="1"/>
    <col min="4362" max="4362" width="14" bestFit="1" customWidth="1"/>
    <col min="4363" max="4363" width="10.7109375" bestFit="1" customWidth="1"/>
    <col min="4609" max="4609" width="9.28515625" bestFit="1" customWidth="1"/>
    <col min="4610" max="4610" width="11.85546875" customWidth="1"/>
    <col min="4612" max="4612" width="9.28515625" bestFit="1" customWidth="1"/>
    <col min="4615" max="4615" width="22" customWidth="1"/>
    <col min="4616" max="4616" width="14.7109375" bestFit="1" customWidth="1"/>
    <col min="4617" max="4617" width="40.28515625" customWidth="1"/>
    <col min="4618" max="4618" width="14" bestFit="1" customWidth="1"/>
    <col min="4619" max="4619" width="10.7109375" bestFit="1" customWidth="1"/>
    <col min="4865" max="4865" width="9.28515625" bestFit="1" customWidth="1"/>
    <col min="4866" max="4866" width="11.85546875" customWidth="1"/>
    <col min="4868" max="4868" width="9.28515625" bestFit="1" customWidth="1"/>
    <col min="4871" max="4871" width="22" customWidth="1"/>
    <col min="4872" max="4872" width="14.7109375" bestFit="1" customWidth="1"/>
    <col min="4873" max="4873" width="40.28515625" customWidth="1"/>
    <col min="4874" max="4874" width="14" bestFit="1" customWidth="1"/>
    <col min="4875" max="4875" width="10.7109375" bestFit="1" customWidth="1"/>
    <col min="5121" max="5121" width="9.28515625" bestFit="1" customWidth="1"/>
    <col min="5122" max="5122" width="11.85546875" customWidth="1"/>
    <col min="5124" max="5124" width="9.28515625" bestFit="1" customWidth="1"/>
    <col min="5127" max="5127" width="22" customWidth="1"/>
    <col min="5128" max="5128" width="14.7109375" bestFit="1" customWidth="1"/>
    <col min="5129" max="5129" width="40.28515625" customWidth="1"/>
    <col min="5130" max="5130" width="14" bestFit="1" customWidth="1"/>
    <col min="5131" max="5131" width="10.7109375" bestFit="1" customWidth="1"/>
    <col min="5377" max="5377" width="9.28515625" bestFit="1" customWidth="1"/>
    <col min="5378" max="5378" width="11.85546875" customWidth="1"/>
    <col min="5380" max="5380" width="9.28515625" bestFit="1" customWidth="1"/>
    <col min="5383" max="5383" width="22" customWidth="1"/>
    <col min="5384" max="5384" width="14.7109375" bestFit="1" customWidth="1"/>
    <col min="5385" max="5385" width="40.28515625" customWidth="1"/>
    <col min="5386" max="5386" width="14" bestFit="1" customWidth="1"/>
    <col min="5387" max="5387" width="10.7109375" bestFit="1" customWidth="1"/>
    <col min="5633" max="5633" width="9.28515625" bestFit="1" customWidth="1"/>
    <col min="5634" max="5634" width="11.85546875" customWidth="1"/>
    <col min="5636" max="5636" width="9.28515625" bestFit="1" customWidth="1"/>
    <col min="5639" max="5639" width="22" customWidth="1"/>
    <col min="5640" max="5640" width="14.7109375" bestFit="1" customWidth="1"/>
    <col min="5641" max="5641" width="40.28515625" customWidth="1"/>
    <col min="5642" max="5642" width="14" bestFit="1" customWidth="1"/>
    <col min="5643" max="5643" width="10.7109375" bestFit="1" customWidth="1"/>
    <col min="5889" max="5889" width="9.28515625" bestFit="1" customWidth="1"/>
    <col min="5890" max="5890" width="11.85546875" customWidth="1"/>
    <col min="5892" max="5892" width="9.28515625" bestFit="1" customWidth="1"/>
    <col min="5895" max="5895" width="22" customWidth="1"/>
    <col min="5896" max="5896" width="14.7109375" bestFit="1" customWidth="1"/>
    <col min="5897" max="5897" width="40.28515625" customWidth="1"/>
    <col min="5898" max="5898" width="14" bestFit="1" customWidth="1"/>
    <col min="5899" max="5899" width="10.7109375" bestFit="1" customWidth="1"/>
    <col min="6145" max="6145" width="9.28515625" bestFit="1" customWidth="1"/>
    <col min="6146" max="6146" width="11.85546875" customWidth="1"/>
    <col min="6148" max="6148" width="9.28515625" bestFit="1" customWidth="1"/>
    <col min="6151" max="6151" width="22" customWidth="1"/>
    <col min="6152" max="6152" width="14.7109375" bestFit="1" customWidth="1"/>
    <col min="6153" max="6153" width="40.28515625" customWidth="1"/>
    <col min="6154" max="6154" width="14" bestFit="1" customWidth="1"/>
    <col min="6155" max="6155" width="10.7109375" bestFit="1" customWidth="1"/>
    <col min="6401" max="6401" width="9.28515625" bestFit="1" customWidth="1"/>
    <col min="6402" max="6402" width="11.85546875" customWidth="1"/>
    <col min="6404" max="6404" width="9.28515625" bestFit="1" customWidth="1"/>
    <col min="6407" max="6407" width="22" customWidth="1"/>
    <col min="6408" max="6408" width="14.7109375" bestFit="1" customWidth="1"/>
    <col min="6409" max="6409" width="40.28515625" customWidth="1"/>
    <col min="6410" max="6410" width="14" bestFit="1" customWidth="1"/>
    <col min="6411" max="6411" width="10.7109375" bestFit="1" customWidth="1"/>
    <col min="6657" max="6657" width="9.28515625" bestFit="1" customWidth="1"/>
    <col min="6658" max="6658" width="11.85546875" customWidth="1"/>
    <col min="6660" max="6660" width="9.28515625" bestFit="1" customWidth="1"/>
    <col min="6663" max="6663" width="22" customWidth="1"/>
    <col min="6664" max="6664" width="14.7109375" bestFit="1" customWidth="1"/>
    <col min="6665" max="6665" width="40.28515625" customWidth="1"/>
    <col min="6666" max="6666" width="14" bestFit="1" customWidth="1"/>
    <col min="6667" max="6667" width="10.7109375" bestFit="1" customWidth="1"/>
    <col min="6913" max="6913" width="9.28515625" bestFit="1" customWidth="1"/>
    <col min="6914" max="6914" width="11.85546875" customWidth="1"/>
    <col min="6916" max="6916" width="9.28515625" bestFit="1" customWidth="1"/>
    <col min="6919" max="6919" width="22" customWidth="1"/>
    <col min="6920" max="6920" width="14.7109375" bestFit="1" customWidth="1"/>
    <col min="6921" max="6921" width="40.28515625" customWidth="1"/>
    <col min="6922" max="6922" width="14" bestFit="1" customWidth="1"/>
    <col min="6923" max="6923" width="10.7109375" bestFit="1" customWidth="1"/>
    <col min="7169" max="7169" width="9.28515625" bestFit="1" customWidth="1"/>
    <col min="7170" max="7170" width="11.85546875" customWidth="1"/>
    <col min="7172" max="7172" width="9.28515625" bestFit="1" customWidth="1"/>
    <col min="7175" max="7175" width="22" customWidth="1"/>
    <col min="7176" max="7176" width="14.7109375" bestFit="1" customWidth="1"/>
    <col min="7177" max="7177" width="40.28515625" customWidth="1"/>
    <col min="7178" max="7178" width="14" bestFit="1" customWidth="1"/>
    <col min="7179" max="7179" width="10.7109375" bestFit="1" customWidth="1"/>
    <col min="7425" max="7425" width="9.28515625" bestFit="1" customWidth="1"/>
    <col min="7426" max="7426" width="11.85546875" customWidth="1"/>
    <col min="7428" max="7428" width="9.28515625" bestFit="1" customWidth="1"/>
    <col min="7431" max="7431" width="22" customWidth="1"/>
    <col min="7432" max="7432" width="14.7109375" bestFit="1" customWidth="1"/>
    <col min="7433" max="7433" width="40.28515625" customWidth="1"/>
    <col min="7434" max="7434" width="14" bestFit="1" customWidth="1"/>
    <col min="7435" max="7435" width="10.7109375" bestFit="1" customWidth="1"/>
    <col min="7681" max="7681" width="9.28515625" bestFit="1" customWidth="1"/>
    <col min="7682" max="7682" width="11.85546875" customWidth="1"/>
    <col min="7684" max="7684" width="9.28515625" bestFit="1" customWidth="1"/>
    <col min="7687" max="7687" width="22" customWidth="1"/>
    <col min="7688" max="7688" width="14.7109375" bestFit="1" customWidth="1"/>
    <col min="7689" max="7689" width="40.28515625" customWidth="1"/>
    <col min="7690" max="7690" width="14" bestFit="1" customWidth="1"/>
    <col min="7691" max="7691" width="10.7109375" bestFit="1" customWidth="1"/>
    <col min="7937" max="7937" width="9.28515625" bestFit="1" customWidth="1"/>
    <col min="7938" max="7938" width="11.85546875" customWidth="1"/>
    <col min="7940" max="7940" width="9.28515625" bestFit="1" customWidth="1"/>
    <col min="7943" max="7943" width="22" customWidth="1"/>
    <col min="7944" max="7944" width="14.7109375" bestFit="1" customWidth="1"/>
    <col min="7945" max="7945" width="40.28515625" customWidth="1"/>
    <col min="7946" max="7946" width="14" bestFit="1" customWidth="1"/>
    <col min="7947" max="7947" width="10.7109375" bestFit="1" customWidth="1"/>
    <col min="8193" max="8193" width="9.28515625" bestFit="1" customWidth="1"/>
    <col min="8194" max="8194" width="11.85546875" customWidth="1"/>
    <col min="8196" max="8196" width="9.28515625" bestFit="1" customWidth="1"/>
    <col min="8199" max="8199" width="22" customWidth="1"/>
    <col min="8200" max="8200" width="14.7109375" bestFit="1" customWidth="1"/>
    <col min="8201" max="8201" width="40.28515625" customWidth="1"/>
    <col min="8202" max="8202" width="14" bestFit="1" customWidth="1"/>
    <col min="8203" max="8203" width="10.7109375" bestFit="1" customWidth="1"/>
    <col min="8449" max="8449" width="9.28515625" bestFit="1" customWidth="1"/>
    <col min="8450" max="8450" width="11.85546875" customWidth="1"/>
    <col min="8452" max="8452" width="9.28515625" bestFit="1" customWidth="1"/>
    <col min="8455" max="8455" width="22" customWidth="1"/>
    <col min="8456" max="8456" width="14.7109375" bestFit="1" customWidth="1"/>
    <col min="8457" max="8457" width="40.28515625" customWidth="1"/>
    <col min="8458" max="8458" width="14" bestFit="1" customWidth="1"/>
    <col min="8459" max="8459" width="10.7109375" bestFit="1" customWidth="1"/>
    <col min="8705" max="8705" width="9.28515625" bestFit="1" customWidth="1"/>
    <col min="8706" max="8706" width="11.85546875" customWidth="1"/>
    <col min="8708" max="8708" width="9.28515625" bestFit="1" customWidth="1"/>
    <col min="8711" max="8711" width="22" customWidth="1"/>
    <col min="8712" max="8712" width="14.7109375" bestFit="1" customWidth="1"/>
    <col min="8713" max="8713" width="40.28515625" customWidth="1"/>
    <col min="8714" max="8714" width="14" bestFit="1" customWidth="1"/>
    <col min="8715" max="8715" width="10.7109375" bestFit="1" customWidth="1"/>
    <col min="8961" max="8961" width="9.28515625" bestFit="1" customWidth="1"/>
    <col min="8962" max="8962" width="11.85546875" customWidth="1"/>
    <col min="8964" max="8964" width="9.28515625" bestFit="1" customWidth="1"/>
    <col min="8967" max="8967" width="22" customWidth="1"/>
    <col min="8968" max="8968" width="14.7109375" bestFit="1" customWidth="1"/>
    <col min="8969" max="8969" width="40.28515625" customWidth="1"/>
    <col min="8970" max="8970" width="14" bestFit="1" customWidth="1"/>
    <col min="8971" max="8971" width="10.7109375" bestFit="1" customWidth="1"/>
    <col min="9217" max="9217" width="9.28515625" bestFit="1" customWidth="1"/>
    <col min="9218" max="9218" width="11.85546875" customWidth="1"/>
    <col min="9220" max="9220" width="9.28515625" bestFit="1" customWidth="1"/>
    <col min="9223" max="9223" width="22" customWidth="1"/>
    <col min="9224" max="9224" width="14.7109375" bestFit="1" customWidth="1"/>
    <col min="9225" max="9225" width="40.28515625" customWidth="1"/>
    <col min="9226" max="9226" width="14" bestFit="1" customWidth="1"/>
    <col min="9227" max="9227" width="10.7109375" bestFit="1" customWidth="1"/>
    <col min="9473" max="9473" width="9.28515625" bestFit="1" customWidth="1"/>
    <col min="9474" max="9474" width="11.85546875" customWidth="1"/>
    <col min="9476" max="9476" width="9.28515625" bestFit="1" customWidth="1"/>
    <col min="9479" max="9479" width="22" customWidth="1"/>
    <col min="9480" max="9480" width="14.7109375" bestFit="1" customWidth="1"/>
    <col min="9481" max="9481" width="40.28515625" customWidth="1"/>
    <col min="9482" max="9482" width="14" bestFit="1" customWidth="1"/>
    <col min="9483" max="9483" width="10.7109375" bestFit="1" customWidth="1"/>
    <col min="9729" max="9729" width="9.28515625" bestFit="1" customWidth="1"/>
    <col min="9730" max="9730" width="11.85546875" customWidth="1"/>
    <col min="9732" max="9732" width="9.28515625" bestFit="1" customWidth="1"/>
    <col min="9735" max="9735" width="22" customWidth="1"/>
    <col min="9736" max="9736" width="14.7109375" bestFit="1" customWidth="1"/>
    <col min="9737" max="9737" width="40.28515625" customWidth="1"/>
    <col min="9738" max="9738" width="14" bestFit="1" customWidth="1"/>
    <col min="9739" max="9739" width="10.7109375" bestFit="1" customWidth="1"/>
    <col min="9985" max="9985" width="9.28515625" bestFit="1" customWidth="1"/>
    <col min="9986" max="9986" width="11.85546875" customWidth="1"/>
    <col min="9988" max="9988" width="9.28515625" bestFit="1" customWidth="1"/>
    <col min="9991" max="9991" width="22" customWidth="1"/>
    <col min="9992" max="9992" width="14.7109375" bestFit="1" customWidth="1"/>
    <col min="9993" max="9993" width="40.28515625" customWidth="1"/>
    <col min="9994" max="9994" width="14" bestFit="1" customWidth="1"/>
    <col min="9995" max="9995" width="10.7109375" bestFit="1" customWidth="1"/>
    <col min="10241" max="10241" width="9.28515625" bestFit="1" customWidth="1"/>
    <col min="10242" max="10242" width="11.85546875" customWidth="1"/>
    <col min="10244" max="10244" width="9.28515625" bestFit="1" customWidth="1"/>
    <col min="10247" max="10247" width="22" customWidth="1"/>
    <col min="10248" max="10248" width="14.7109375" bestFit="1" customWidth="1"/>
    <col min="10249" max="10249" width="40.28515625" customWidth="1"/>
    <col min="10250" max="10250" width="14" bestFit="1" customWidth="1"/>
    <col min="10251" max="10251" width="10.7109375" bestFit="1" customWidth="1"/>
    <col min="10497" max="10497" width="9.28515625" bestFit="1" customWidth="1"/>
    <col min="10498" max="10498" width="11.85546875" customWidth="1"/>
    <col min="10500" max="10500" width="9.28515625" bestFit="1" customWidth="1"/>
    <col min="10503" max="10503" width="22" customWidth="1"/>
    <col min="10504" max="10504" width="14.7109375" bestFit="1" customWidth="1"/>
    <col min="10505" max="10505" width="40.28515625" customWidth="1"/>
    <col min="10506" max="10506" width="14" bestFit="1" customWidth="1"/>
    <col min="10507" max="10507" width="10.7109375" bestFit="1" customWidth="1"/>
    <col min="10753" max="10753" width="9.28515625" bestFit="1" customWidth="1"/>
    <col min="10754" max="10754" width="11.85546875" customWidth="1"/>
    <col min="10756" max="10756" width="9.28515625" bestFit="1" customWidth="1"/>
    <col min="10759" max="10759" width="22" customWidth="1"/>
    <col min="10760" max="10760" width="14.7109375" bestFit="1" customWidth="1"/>
    <col min="10761" max="10761" width="40.28515625" customWidth="1"/>
    <col min="10762" max="10762" width="14" bestFit="1" customWidth="1"/>
    <col min="10763" max="10763" width="10.7109375" bestFit="1" customWidth="1"/>
    <col min="11009" max="11009" width="9.28515625" bestFit="1" customWidth="1"/>
    <col min="11010" max="11010" width="11.85546875" customWidth="1"/>
    <col min="11012" max="11012" width="9.28515625" bestFit="1" customWidth="1"/>
    <col min="11015" max="11015" width="22" customWidth="1"/>
    <col min="11016" max="11016" width="14.7109375" bestFit="1" customWidth="1"/>
    <col min="11017" max="11017" width="40.28515625" customWidth="1"/>
    <col min="11018" max="11018" width="14" bestFit="1" customWidth="1"/>
    <col min="11019" max="11019" width="10.7109375" bestFit="1" customWidth="1"/>
    <col min="11265" max="11265" width="9.28515625" bestFit="1" customWidth="1"/>
    <col min="11266" max="11266" width="11.85546875" customWidth="1"/>
    <col min="11268" max="11268" width="9.28515625" bestFit="1" customWidth="1"/>
    <col min="11271" max="11271" width="22" customWidth="1"/>
    <col min="11272" max="11272" width="14.7109375" bestFit="1" customWidth="1"/>
    <col min="11273" max="11273" width="40.28515625" customWidth="1"/>
    <col min="11274" max="11274" width="14" bestFit="1" customWidth="1"/>
    <col min="11275" max="11275" width="10.7109375" bestFit="1" customWidth="1"/>
    <col min="11521" max="11521" width="9.28515625" bestFit="1" customWidth="1"/>
    <col min="11522" max="11522" width="11.85546875" customWidth="1"/>
    <col min="11524" max="11524" width="9.28515625" bestFit="1" customWidth="1"/>
    <col min="11527" max="11527" width="22" customWidth="1"/>
    <col min="11528" max="11528" width="14.7109375" bestFit="1" customWidth="1"/>
    <col min="11529" max="11529" width="40.28515625" customWidth="1"/>
    <col min="11530" max="11530" width="14" bestFit="1" customWidth="1"/>
    <col min="11531" max="11531" width="10.7109375" bestFit="1" customWidth="1"/>
    <col min="11777" max="11777" width="9.28515625" bestFit="1" customWidth="1"/>
    <col min="11778" max="11778" width="11.85546875" customWidth="1"/>
    <col min="11780" max="11780" width="9.28515625" bestFit="1" customWidth="1"/>
    <col min="11783" max="11783" width="22" customWidth="1"/>
    <col min="11784" max="11784" width="14.7109375" bestFit="1" customWidth="1"/>
    <col min="11785" max="11785" width="40.28515625" customWidth="1"/>
    <col min="11786" max="11786" width="14" bestFit="1" customWidth="1"/>
    <col min="11787" max="11787" width="10.7109375" bestFit="1" customWidth="1"/>
    <col min="12033" max="12033" width="9.28515625" bestFit="1" customWidth="1"/>
    <col min="12034" max="12034" width="11.85546875" customWidth="1"/>
    <col min="12036" max="12036" width="9.28515625" bestFit="1" customWidth="1"/>
    <col min="12039" max="12039" width="22" customWidth="1"/>
    <col min="12040" max="12040" width="14.7109375" bestFit="1" customWidth="1"/>
    <col min="12041" max="12041" width="40.28515625" customWidth="1"/>
    <col min="12042" max="12042" width="14" bestFit="1" customWidth="1"/>
    <col min="12043" max="12043" width="10.7109375" bestFit="1" customWidth="1"/>
    <col min="12289" max="12289" width="9.28515625" bestFit="1" customWidth="1"/>
    <col min="12290" max="12290" width="11.85546875" customWidth="1"/>
    <col min="12292" max="12292" width="9.28515625" bestFit="1" customWidth="1"/>
    <col min="12295" max="12295" width="22" customWidth="1"/>
    <col min="12296" max="12296" width="14.7109375" bestFit="1" customWidth="1"/>
    <col min="12297" max="12297" width="40.28515625" customWidth="1"/>
    <col min="12298" max="12298" width="14" bestFit="1" customWidth="1"/>
    <col min="12299" max="12299" width="10.7109375" bestFit="1" customWidth="1"/>
    <col min="12545" max="12545" width="9.28515625" bestFit="1" customWidth="1"/>
    <col min="12546" max="12546" width="11.85546875" customWidth="1"/>
    <col min="12548" max="12548" width="9.28515625" bestFit="1" customWidth="1"/>
    <col min="12551" max="12551" width="22" customWidth="1"/>
    <col min="12552" max="12552" width="14.7109375" bestFit="1" customWidth="1"/>
    <col min="12553" max="12553" width="40.28515625" customWidth="1"/>
    <col min="12554" max="12554" width="14" bestFit="1" customWidth="1"/>
    <col min="12555" max="12555" width="10.7109375" bestFit="1" customWidth="1"/>
    <col min="12801" max="12801" width="9.28515625" bestFit="1" customWidth="1"/>
    <col min="12802" max="12802" width="11.85546875" customWidth="1"/>
    <col min="12804" max="12804" width="9.28515625" bestFit="1" customWidth="1"/>
    <col min="12807" max="12807" width="22" customWidth="1"/>
    <col min="12808" max="12808" width="14.7109375" bestFit="1" customWidth="1"/>
    <col min="12809" max="12809" width="40.28515625" customWidth="1"/>
    <col min="12810" max="12810" width="14" bestFit="1" customWidth="1"/>
    <col min="12811" max="12811" width="10.7109375" bestFit="1" customWidth="1"/>
    <col min="13057" max="13057" width="9.28515625" bestFit="1" customWidth="1"/>
    <col min="13058" max="13058" width="11.85546875" customWidth="1"/>
    <col min="13060" max="13060" width="9.28515625" bestFit="1" customWidth="1"/>
    <col min="13063" max="13063" width="22" customWidth="1"/>
    <col min="13064" max="13064" width="14.7109375" bestFit="1" customWidth="1"/>
    <col min="13065" max="13065" width="40.28515625" customWidth="1"/>
    <col min="13066" max="13066" width="14" bestFit="1" customWidth="1"/>
    <col min="13067" max="13067" width="10.7109375" bestFit="1" customWidth="1"/>
    <col min="13313" max="13313" width="9.28515625" bestFit="1" customWidth="1"/>
    <col min="13314" max="13314" width="11.85546875" customWidth="1"/>
    <col min="13316" max="13316" width="9.28515625" bestFit="1" customWidth="1"/>
    <col min="13319" max="13319" width="22" customWidth="1"/>
    <col min="13320" max="13320" width="14.7109375" bestFit="1" customWidth="1"/>
    <col min="13321" max="13321" width="40.28515625" customWidth="1"/>
    <col min="13322" max="13322" width="14" bestFit="1" customWidth="1"/>
    <col min="13323" max="13323" width="10.7109375" bestFit="1" customWidth="1"/>
    <col min="13569" max="13569" width="9.28515625" bestFit="1" customWidth="1"/>
    <col min="13570" max="13570" width="11.85546875" customWidth="1"/>
    <col min="13572" max="13572" width="9.28515625" bestFit="1" customWidth="1"/>
    <col min="13575" max="13575" width="22" customWidth="1"/>
    <col min="13576" max="13576" width="14.7109375" bestFit="1" customWidth="1"/>
    <col min="13577" max="13577" width="40.28515625" customWidth="1"/>
    <col min="13578" max="13578" width="14" bestFit="1" customWidth="1"/>
    <col min="13579" max="13579" width="10.7109375" bestFit="1" customWidth="1"/>
    <col min="13825" max="13825" width="9.28515625" bestFit="1" customWidth="1"/>
    <col min="13826" max="13826" width="11.85546875" customWidth="1"/>
    <col min="13828" max="13828" width="9.28515625" bestFit="1" customWidth="1"/>
    <col min="13831" max="13831" width="22" customWidth="1"/>
    <col min="13832" max="13832" width="14.7109375" bestFit="1" customWidth="1"/>
    <col min="13833" max="13833" width="40.28515625" customWidth="1"/>
    <col min="13834" max="13834" width="14" bestFit="1" customWidth="1"/>
    <col min="13835" max="13835" width="10.7109375" bestFit="1" customWidth="1"/>
    <col min="14081" max="14081" width="9.28515625" bestFit="1" customWidth="1"/>
    <col min="14082" max="14082" width="11.85546875" customWidth="1"/>
    <col min="14084" max="14084" width="9.28515625" bestFit="1" customWidth="1"/>
    <col min="14087" max="14087" width="22" customWidth="1"/>
    <col min="14088" max="14088" width="14.7109375" bestFit="1" customWidth="1"/>
    <col min="14089" max="14089" width="40.28515625" customWidth="1"/>
    <col min="14090" max="14090" width="14" bestFit="1" customWidth="1"/>
    <col min="14091" max="14091" width="10.7109375" bestFit="1" customWidth="1"/>
    <col min="14337" max="14337" width="9.28515625" bestFit="1" customWidth="1"/>
    <col min="14338" max="14338" width="11.85546875" customWidth="1"/>
    <col min="14340" max="14340" width="9.28515625" bestFit="1" customWidth="1"/>
    <col min="14343" max="14343" width="22" customWidth="1"/>
    <col min="14344" max="14344" width="14.7109375" bestFit="1" customWidth="1"/>
    <col min="14345" max="14345" width="40.28515625" customWidth="1"/>
    <col min="14346" max="14346" width="14" bestFit="1" customWidth="1"/>
    <col min="14347" max="14347" width="10.7109375" bestFit="1" customWidth="1"/>
    <col min="14593" max="14593" width="9.28515625" bestFit="1" customWidth="1"/>
    <col min="14594" max="14594" width="11.85546875" customWidth="1"/>
    <col min="14596" max="14596" width="9.28515625" bestFit="1" customWidth="1"/>
    <col min="14599" max="14599" width="22" customWidth="1"/>
    <col min="14600" max="14600" width="14.7109375" bestFit="1" customWidth="1"/>
    <col min="14601" max="14601" width="40.28515625" customWidth="1"/>
    <col min="14602" max="14602" width="14" bestFit="1" customWidth="1"/>
    <col min="14603" max="14603" width="10.7109375" bestFit="1" customWidth="1"/>
    <col min="14849" max="14849" width="9.28515625" bestFit="1" customWidth="1"/>
    <col min="14850" max="14850" width="11.85546875" customWidth="1"/>
    <col min="14852" max="14852" width="9.28515625" bestFit="1" customWidth="1"/>
    <col min="14855" max="14855" width="22" customWidth="1"/>
    <col min="14856" max="14856" width="14.7109375" bestFit="1" customWidth="1"/>
    <col min="14857" max="14857" width="40.28515625" customWidth="1"/>
    <col min="14858" max="14858" width="14" bestFit="1" customWidth="1"/>
    <col min="14859" max="14859" width="10.7109375" bestFit="1" customWidth="1"/>
    <col min="15105" max="15105" width="9.28515625" bestFit="1" customWidth="1"/>
    <col min="15106" max="15106" width="11.85546875" customWidth="1"/>
    <col min="15108" max="15108" width="9.28515625" bestFit="1" customWidth="1"/>
    <col min="15111" max="15111" width="22" customWidth="1"/>
    <col min="15112" max="15112" width="14.7109375" bestFit="1" customWidth="1"/>
    <col min="15113" max="15113" width="40.28515625" customWidth="1"/>
    <col min="15114" max="15114" width="14" bestFit="1" customWidth="1"/>
    <col min="15115" max="15115" width="10.7109375" bestFit="1" customWidth="1"/>
    <col min="15361" max="15361" width="9.28515625" bestFit="1" customWidth="1"/>
    <col min="15362" max="15362" width="11.85546875" customWidth="1"/>
    <col min="15364" max="15364" width="9.28515625" bestFit="1" customWidth="1"/>
    <col min="15367" max="15367" width="22" customWidth="1"/>
    <col min="15368" max="15368" width="14.7109375" bestFit="1" customWidth="1"/>
    <col min="15369" max="15369" width="40.28515625" customWidth="1"/>
    <col min="15370" max="15370" width="14" bestFit="1" customWidth="1"/>
    <col min="15371" max="15371" width="10.7109375" bestFit="1" customWidth="1"/>
    <col min="15617" max="15617" width="9.28515625" bestFit="1" customWidth="1"/>
    <col min="15618" max="15618" width="11.85546875" customWidth="1"/>
    <col min="15620" max="15620" width="9.28515625" bestFit="1" customWidth="1"/>
    <col min="15623" max="15623" width="22" customWidth="1"/>
    <col min="15624" max="15624" width="14.7109375" bestFit="1" customWidth="1"/>
    <col min="15625" max="15625" width="40.28515625" customWidth="1"/>
    <col min="15626" max="15626" width="14" bestFit="1" customWidth="1"/>
    <col min="15627" max="15627" width="10.7109375" bestFit="1" customWidth="1"/>
    <col min="15873" max="15873" width="9.28515625" bestFit="1" customWidth="1"/>
    <col min="15874" max="15874" width="11.85546875" customWidth="1"/>
    <col min="15876" max="15876" width="9.28515625" bestFit="1" customWidth="1"/>
    <col min="15879" max="15879" width="22" customWidth="1"/>
    <col min="15880" max="15880" width="14.7109375" bestFit="1" customWidth="1"/>
    <col min="15881" max="15881" width="40.28515625" customWidth="1"/>
    <col min="15882" max="15882" width="14" bestFit="1" customWidth="1"/>
    <col min="15883" max="15883" width="10.7109375" bestFit="1" customWidth="1"/>
    <col min="16129" max="16129" width="9.28515625" bestFit="1" customWidth="1"/>
    <col min="16130" max="16130" width="11.85546875" customWidth="1"/>
    <col min="16132" max="16132" width="9.28515625" bestFit="1" customWidth="1"/>
    <col min="16135" max="16135" width="22" customWidth="1"/>
    <col min="16136" max="16136" width="14.7109375" bestFit="1" customWidth="1"/>
    <col min="16137" max="16137" width="40.28515625" customWidth="1"/>
    <col min="16138" max="16138" width="14" bestFit="1" customWidth="1"/>
    <col min="16139" max="16139" width="10.7109375" bestFit="1" customWidth="1"/>
  </cols>
  <sheetData>
    <row r="1" spans="1:10">
      <c r="A1" s="821" t="s">
        <v>779</v>
      </c>
      <c r="H1" s="988"/>
      <c r="I1" s="781" t="s">
        <v>161</v>
      </c>
    </row>
    <row r="2" spans="1:10">
      <c r="A2" s="821" t="s">
        <v>383</v>
      </c>
      <c r="H2" s="988"/>
      <c r="I2" s="781" t="str">
        <f ca="1">MID(CELL("filename",$A$1),FIND("]",CELL("filename",$A$1))+1,LEN(CELL("filename",$A$1))-FIND("]",CELL("filename",$A$1)))</f>
        <v>Schedule 2</v>
      </c>
    </row>
    <row r="3" spans="1:10">
      <c r="A3" s="847" t="s">
        <v>499</v>
      </c>
      <c r="H3" s="988"/>
    </row>
    <row r="4" spans="1:10">
      <c r="A4" s="847" t="s">
        <v>749</v>
      </c>
      <c r="H4" s="988"/>
    </row>
    <row r="5" spans="1:10">
      <c r="A5"/>
      <c r="H5" s="988"/>
    </row>
    <row r="6" spans="1:10">
      <c r="A6"/>
      <c r="H6" s="988"/>
    </row>
    <row r="7" spans="1:10">
      <c r="A7" s="823" t="s">
        <v>1385</v>
      </c>
      <c r="B7" s="1249" t="s">
        <v>917</v>
      </c>
      <c r="C7" s="1249"/>
      <c r="D7" s="1249"/>
      <c r="E7" s="1249"/>
      <c r="F7" s="1249"/>
      <c r="G7" s="989"/>
      <c r="H7" s="990" t="s">
        <v>918</v>
      </c>
      <c r="I7" s="823" t="s">
        <v>875</v>
      </c>
    </row>
    <row r="8" spans="1:10">
      <c r="H8" s="988"/>
      <c r="J8" s="97"/>
    </row>
    <row r="9" spans="1:10">
      <c r="A9" s="105">
        <v>1</v>
      </c>
      <c r="B9" s="847" t="s">
        <v>418</v>
      </c>
      <c r="H9" s="988"/>
    </row>
    <row r="11" spans="1:10">
      <c r="A11" s="105">
        <v>2</v>
      </c>
      <c r="B11" s="104" t="s">
        <v>410</v>
      </c>
      <c r="C11" t="s">
        <v>411</v>
      </c>
      <c r="G11" s="121"/>
      <c r="H11" s="991">
        <v>425288575</v>
      </c>
      <c r="I11" t="s">
        <v>636</v>
      </c>
    </row>
    <row r="12" spans="1:10">
      <c r="A12" s="105">
        <v>3</v>
      </c>
      <c r="B12" s="104" t="s">
        <v>412</v>
      </c>
      <c r="C12" t="s">
        <v>413</v>
      </c>
      <c r="G12" s="121"/>
      <c r="H12" s="991">
        <v>1274416036</v>
      </c>
      <c r="I12" t="s">
        <v>637</v>
      </c>
    </row>
    <row r="13" spans="1:10">
      <c r="B13" s="104"/>
    </row>
    <row r="14" spans="1:10">
      <c r="A14" s="105">
        <v>4</v>
      </c>
      <c r="B14" s="104" t="s">
        <v>414</v>
      </c>
      <c r="H14" s="992">
        <f>H11+H12</f>
        <v>1699704611</v>
      </c>
      <c r="I14" t="str">
        <f>"Line "&amp;A11&amp;" + Line "&amp;A12</f>
        <v>Line 2 + Line 3</v>
      </c>
    </row>
    <row r="15" spans="1:10">
      <c r="B15" s="104"/>
    </row>
    <row r="16" spans="1:10">
      <c r="A16" s="105">
        <v>5</v>
      </c>
      <c r="B16" s="104" t="s">
        <v>1268</v>
      </c>
      <c r="H16" s="993">
        <v>0.2</v>
      </c>
    </row>
    <row r="17" spans="1:10">
      <c r="B17" s="104"/>
    </row>
    <row r="18" spans="1:10">
      <c r="A18" s="105">
        <f>A16+1</f>
        <v>6</v>
      </c>
      <c r="B18" s="104" t="s">
        <v>1270</v>
      </c>
      <c r="H18" s="992">
        <f>H14*H16</f>
        <v>339940922.20000005</v>
      </c>
      <c r="I18" t="str">
        <f>"Line "&amp;A14&amp;" * Line "&amp;A16</f>
        <v>Line 4 * Line 5</v>
      </c>
    </row>
    <row r="19" spans="1:10">
      <c r="B19" s="595"/>
      <c r="H19" s="988"/>
    </row>
    <row r="20" spans="1:10">
      <c r="A20" s="105">
        <f>A18+1</f>
        <v>7</v>
      </c>
      <c r="B20" s="104" t="s">
        <v>415</v>
      </c>
      <c r="H20" s="994">
        <v>57839717</v>
      </c>
      <c r="I20" s="121" t="s">
        <v>638</v>
      </c>
      <c r="J20" s="97"/>
    </row>
    <row r="21" spans="1:10" ht="13.5" thickBot="1">
      <c r="B21" s="104"/>
      <c r="H21" s="109"/>
    </row>
    <row r="22" spans="1:10" ht="13.5" thickBot="1">
      <c r="A22" s="105">
        <f>A20+1</f>
        <v>8</v>
      </c>
      <c r="B22" s="104" t="s">
        <v>416</v>
      </c>
      <c r="H22" s="995">
        <f>H18+H20</f>
        <v>397780639.20000005</v>
      </c>
      <c r="I22" s="109" t="str">
        <f>"Line "&amp;A18&amp;" + Line "&amp;A20</f>
        <v>Line 6 + Line 7</v>
      </c>
    </row>
    <row r="23" spans="1:10">
      <c r="B23" s="104"/>
    </row>
    <row r="24" spans="1:10">
      <c r="A24" s="105">
        <f>A22+1</f>
        <v>9</v>
      </c>
      <c r="B24" s="118" t="s">
        <v>639</v>
      </c>
      <c r="C24" s="109"/>
      <c r="D24" s="109"/>
      <c r="E24" s="109"/>
      <c r="F24" s="109"/>
      <c r="G24" s="109"/>
      <c r="H24" s="992">
        <f>H69*H22</f>
        <v>110384140.767551</v>
      </c>
      <c r="I24" t="str">
        <f>"Line "&amp;A69&amp;" * Line "&amp;A22</f>
        <v>Line 34 * Line 8</v>
      </c>
      <c r="J24" s="996"/>
    </row>
    <row r="25" spans="1:10">
      <c r="B25" s="104"/>
      <c r="H25" s="988"/>
    </row>
    <row r="26" spans="1:10">
      <c r="A26" s="105">
        <f>A24+1</f>
        <v>10</v>
      </c>
      <c r="B26" s="104" t="s">
        <v>417</v>
      </c>
      <c r="H26" s="997">
        <f>WP_FCR!F28</f>
        <v>0.14519000000000001</v>
      </c>
      <c r="I26" t="s">
        <v>1834</v>
      </c>
    </row>
    <row r="28" spans="1:10">
      <c r="A28" s="105">
        <f>A26+1</f>
        <v>11</v>
      </c>
      <c r="B28" s="104" t="s">
        <v>418</v>
      </c>
      <c r="H28" s="596">
        <f>H24*H26</f>
        <v>16026673.398040732</v>
      </c>
      <c r="I28" t="str">
        <f>"Line "&amp;A24&amp;" * Line "&amp;A26</f>
        <v>Line 9 * Line 10</v>
      </c>
    </row>
    <row r="29" spans="1:10">
      <c r="H29" s="998"/>
      <c r="I29" s="121"/>
    </row>
    <row r="30" spans="1:10">
      <c r="A30" s="105">
        <f>A28+1</f>
        <v>12</v>
      </c>
      <c r="B30" s="821" t="s">
        <v>1271</v>
      </c>
      <c r="H30" s="998"/>
      <c r="I30" s="121"/>
    </row>
    <row r="32" spans="1:10">
      <c r="A32" s="105">
        <f>A30+1</f>
        <v>13</v>
      </c>
      <c r="B32" s="312" t="s">
        <v>347</v>
      </c>
      <c r="H32" s="464">
        <f>WP_FCR!H57</f>
        <v>5396253138.8100014</v>
      </c>
      <c r="I32" t="s">
        <v>1835</v>
      </c>
    </row>
    <row r="34" spans="1:11">
      <c r="A34" s="105">
        <f>A32+1</f>
        <v>14</v>
      </c>
      <c r="B34" s="118" t="s">
        <v>238</v>
      </c>
      <c r="H34" s="464">
        <f>H24</f>
        <v>110384140.767551</v>
      </c>
      <c r="I34" t="str">
        <f>"Line "&amp;A24</f>
        <v>Line 9</v>
      </c>
    </row>
    <row r="35" spans="1:11">
      <c r="B35" s="104"/>
    </row>
    <row r="36" spans="1:11">
      <c r="A36" s="105">
        <f>A34+1</f>
        <v>15</v>
      </c>
      <c r="B36" s="104" t="s">
        <v>239</v>
      </c>
      <c r="H36" s="464">
        <f>H32-H34</f>
        <v>5285868998.04245</v>
      </c>
      <c r="I36" t="str">
        <f>"Line "&amp;A32&amp;" - Line "&amp;A34</f>
        <v>Line 13 - Line 14</v>
      </c>
    </row>
    <row r="37" spans="1:11">
      <c r="B37" s="104"/>
    </row>
    <row r="38" spans="1:11">
      <c r="A38" s="105">
        <f>A36+1</f>
        <v>16</v>
      </c>
      <c r="B38" s="104" t="s">
        <v>417</v>
      </c>
      <c r="H38" s="999">
        <f>WP_FCR!F28</f>
        <v>0.14519000000000001</v>
      </c>
      <c r="I38" t="s">
        <v>1834</v>
      </c>
    </row>
    <row r="39" spans="1:11">
      <c r="B39" s="104"/>
    </row>
    <row r="40" spans="1:11">
      <c r="A40" s="105">
        <f>A38+1</f>
        <v>17</v>
      </c>
      <c r="B40" s="118" t="s">
        <v>419</v>
      </c>
      <c r="C40" s="109"/>
      <c r="D40" s="109"/>
      <c r="E40" s="109"/>
      <c r="F40" s="109"/>
      <c r="G40" s="109"/>
      <c r="H40" s="992">
        <f>H36*H38</f>
        <v>767455319.82578337</v>
      </c>
      <c r="I40" t="str">
        <f>"Line "&amp;A36&amp;" * Line "&amp;A38</f>
        <v>Line 15 * Line 16</v>
      </c>
      <c r="J40" s="97"/>
    </row>
    <row r="41" spans="1:11">
      <c r="B41" s="118"/>
      <c r="C41" s="109"/>
      <c r="D41" s="109"/>
      <c r="E41" s="109"/>
      <c r="F41" s="109"/>
      <c r="G41" s="109"/>
      <c r="H41" s="992"/>
      <c r="J41" s="97"/>
    </row>
    <row r="42" spans="1:11">
      <c r="A42" s="105">
        <f>A40+1</f>
        <v>18</v>
      </c>
      <c r="B42" s="118" t="s">
        <v>1272</v>
      </c>
      <c r="C42" s="109"/>
      <c r="D42" s="109"/>
      <c r="E42" s="109"/>
      <c r="F42" s="109"/>
      <c r="G42" s="109"/>
      <c r="H42" s="748">
        <v>1.5E-3</v>
      </c>
      <c r="I42" s="109" t="s">
        <v>1095</v>
      </c>
      <c r="J42" s="97"/>
    </row>
    <row r="44" spans="1:11">
      <c r="A44" s="105">
        <f>A42+1</f>
        <v>19</v>
      </c>
      <c r="B44" s="104" t="s">
        <v>1271</v>
      </c>
      <c r="H44" s="1000">
        <f>H40*H42</f>
        <v>1151182.9797386751</v>
      </c>
      <c r="I44" t="str">
        <f>"Line "&amp;A40&amp;" * Line "&amp;A42</f>
        <v>Line 17 * Line 18</v>
      </c>
    </row>
    <row r="46" spans="1:11" ht="13.5" thickBot="1">
      <c r="A46" s="105">
        <f>A44+1</f>
        <v>20</v>
      </c>
      <c r="B46" s="847" t="s">
        <v>420</v>
      </c>
      <c r="H46" s="1001">
        <f>H28+H44</f>
        <v>17177856.377779409</v>
      </c>
      <c r="I46" t="str">
        <f>"Line "&amp;A28&amp;" + Line "&amp;A44</f>
        <v>Line 11 + Line 19</v>
      </c>
      <c r="J46" s="281"/>
      <c r="K46" s="402"/>
    </row>
    <row r="47" spans="1:11" ht="13.5" thickTop="1">
      <c r="H47" s="988"/>
      <c r="J47" s="476"/>
    </row>
    <row r="48" spans="1:11">
      <c r="A48" s="105">
        <f>A46+1</f>
        <v>21</v>
      </c>
      <c r="B48" s="104" t="s">
        <v>421</v>
      </c>
      <c r="H48" s="1002">
        <v>6052208</v>
      </c>
      <c r="I48" s="109" t="s">
        <v>932</v>
      </c>
      <c r="J48" s="1003"/>
      <c r="K48" s="281"/>
    </row>
    <row r="50" spans="1:11">
      <c r="A50" s="105">
        <f>A48+1</f>
        <v>22</v>
      </c>
      <c r="B50" s="847" t="s">
        <v>191</v>
      </c>
    </row>
    <row r="52" spans="1:11">
      <c r="A52" s="105">
        <f>A50+1</f>
        <v>23</v>
      </c>
      <c r="B52" s="104" t="s">
        <v>422</v>
      </c>
      <c r="H52" s="1004">
        <f>H46/H48</f>
        <v>2.838279249123528</v>
      </c>
      <c r="I52" t="str">
        <f>"$ per kW - Year (Line "&amp;A46&amp;" / Line "&amp;A48&amp;")"</f>
        <v>$ per kW - Year (Line 20 / Line 21)</v>
      </c>
    </row>
    <row r="53" spans="1:11">
      <c r="H53" s="465"/>
    </row>
    <row r="54" spans="1:11">
      <c r="A54" s="105">
        <f>A52+1</f>
        <v>24</v>
      </c>
      <c r="B54" s="1005" t="s">
        <v>127</v>
      </c>
      <c r="H54" s="710">
        <f>ROUND(H52/12,3)</f>
        <v>0.23699999999999999</v>
      </c>
      <c r="I54" t="str">
        <f>"$ per kW - Month (Line "&amp;A52&amp;" / 12)"</f>
        <v>$ per kW - Month (Line 23 / 12)</v>
      </c>
      <c r="K54" s="404"/>
    </row>
    <row r="55" spans="1:11">
      <c r="H55" s="465"/>
    </row>
    <row r="56" spans="1:11">
      <c r="A56" s="105">
        <f>A54+1</f>
        <v>25</v>
      </c>
      <c r="B56" s="1005" t="s">
        <v>128</v>
      </c>
      <c r="H56" s="710">
        <f>ROUND(H52/52,3)</f>
        <v>5.5E-2</v>
      </c>
      <c r="I56" t="str">
        <f>"$ per kW - Week (Line "&amp;A52&amp;" / 52)"</f>
        <v>$ per kW - Week (Line 23 / 52)</v>
      </c>
      <c r="K56" s="404"/>
    </row>
    <row r="57" spans="1:11">
      <c r="H57" s="465"/>
    </row>
    <row r="58" spans="1:11">
      <c r="A58" s="105">
        <f>A56+1</f>
        <v>26</v>
      </c>
      <c r="B58" s="1005" t="s">
        <v>202</v>
      </c>
      <c r="H58" s="710">
        <f>ROUND(H56/6,3)</f>
        <v>8.9999999999999993E-3</v>
      </c>
      <c r="I58" t="str">
        <f>"$ per kW - day (Line "&amp;A56&amp;" / 6)"</f>
        <v>$ per kW - day (Line 25 / 6)</v>
      </c>
      <c r="K58" s="404"/>
    </row>
    <row r="59" spans="1:11">
      <c r="A59" s="110">
        <f>A58+1</f>
        <v>27</v>
      </c>
      <c r="B59" s="1006" t="s">
        <v>203</v>
      </c>
      <c r="C59" s="109"/>
      <c r="D59" s="109"/>
      <c r="E59" s="109"/>
      <c r="F59" s="109"/>
      <c r="G59" s="109"/>
      <c r="H59" s="710">
        <f>ROUND(H56/7,3)</f>
        <v>8.0000000000000002E-3</v>
      </c>
      <c r="I59" s="109" t="str">
        <f>"$ per kW - day (Line "&amp;A56&amp;" / 7)"</f>
        <v>$ per kW - day (Line 25 / 7)</v>
      </c>
    </row>
    <row r="60" spans="1:11">
      <c r="A60" s="110"/>
      <c r="B60" s="109"/>
      <c r="C60" s="109"/>
      <c r="D60" s="109"/>
      <c r="E60" s="109"/>
      <c r="F60" s="109"/>
      <c r="G60" s="109"/>
      <c r="H60" s="465"/>
      <c r="I60" s="109"/>
    </row>
    <row r="61" spans="1:11">
      <c r="A61" s="110">
        <f>A59+1</f>
        <v>28</v>
      </c>
      <c r="B61" s="1006" t="s">
        <v>204</v>
      </c>
      <c r="C61" s="109"/>
      <c r="D61" s="109"/>
      <c r="E61" s="109"/>
      <c r="F61" s="109"/>
      <c r="G61" s="109"/>
      <c r="H61" s="710">
        <f>ROUND((H58/16)*1000,3)</f>
        <v>0.56299999999999994</v>
      </c>
      <c r="I61" s="109" t="s">
        <v>206</v>
      </c>
      <c r="K61" s="404"/>
    </row>
    <row r="62" spans="1:11">
      <c r="A62" s="110">
        <f>A61+1</f>
        <v>29</v>
      </c>
      <c r="B62" s="1006" t="s">
        <v>205</v>
      </c>
      <c r="C62" s="109"/>
      <c r="D62" s="109"/>
      <c r="E62" s="109"/>
      <c r="F62" s="109"/>
      <c r="G62" s="109"/>
      <c r="H62" s="710">
        <f>ROUND((H59/24)*1000,3)</f>
        <v>0.33300000000000002</v>
      </c>
      <c r="I62" s="109" t="s">
        <v>207</v>
      </c>
      <c r="K62" s="404"/>
    </row>
    <row r="63" spans="1:11">
      <c r="B63" s="1005"/>
      <c r="H63" s="710"/>
      <c r="K63" s="404"/>
    </row>
    <row r="64" spans="1:11">
      <c r="A64" s="105">
        <f>A62+1</f>
        <v>30</v>
      </c>
      <c r="B64" s="1005" t="s">
        <v>131</v>
      </c>
      <c r="H64" s="710">
        <f>H54</f>
        <v>0.23699999999999999</v>
      </c>
      <c r="I64" t="s">
        <v>1775</v>
      </c>
    </row>
    <row r="65" spans="1:10">
      <c r="B65" s="1005"/>
      <c r="H65" s="465"/>
    </row>
    <row r="66" spans="1:10">
      <c r="A66" s="105">
        <f>A64+1</f>
        <v>31</v>
      </c>
      <c r="B66" s="109" t="s">
        <v>423</v>
      </c>
      <c r="C66" s="109"/>
      <c r="D66" s="109"/>
      <c r="E66" s="109"/>
      <c r="F66" s="109"/>
      <c r="G66" s="629">
        <v>6273000</v>
      </c>
      <c r="H66" s="465" t="s">
        <v>424</v>
      </c>
      <c r="I66" s="97"/>
      <c r="J66" s="97"/>
    </row>
    <row r="67" spans="1:10">
      <c r="A67" s="105">
        <f>A66+1</f>
        <v>32</v>
      </c>
      <c r="B67" s="109" t="s">
        <v>746</v>
      </c>
      <c r="C67" s="109"/>
      <c r="D67" s="109"/>
      <c r="E67" s="109"/>
      <c r="F67" s="109"/>
      <c r="G67" s="629">
        <v>5332050</v>
      </c>
      <c r="H67" s="465" t="s">
        <v>879</v>
      </c>
    </row>
    <row r="68" spans="1:10">
      <c r="A68" s="105">
        <f>A67+1</f>
        <v>33</v>
      </c>
      <c r="B68" s="109" t="s">
        <v>425</v>
      </c>
      <c r="C68" s="109"/>
      <c r="D68" s="109"/>
      <c r="E68" s="109"/>
      <c r="F68" s="109"/>
      <c r="G68" s="629">
        <v>3304508</v>
      </c>
      <c r="H68" s="1007" t="s">
        <v>426</v>
      </c>
      <c r="I68" s="406"/>
    </row>
    <row r="69" spans="1:10">
      <c r="A69" s="105">
        <f>A68+1</f>
        <v>34</v>
      </c>
      <c r="B69" s="109" t="s">
        <v>427</v>
      </c>
      <c r="C69" s="109"/>
      <c r="D69" s="109"/>
      <c r="E69" s="109"/>
      <c r="F69" s="109"/>
      <c r="G69" s="109"/>
      <c r="H69" s="1008">
        <f>G68^2/G66^2</f>
        <v>0.27750003366064024</v>
      </c>
    </row>
    <row r="70" spans="1:10">
      <c r="A70" s="121"/>
    </row>
    <row r="74" spans="1:10">
      <c r="H74" s="1009"/>
    </row>
    <row r="75" spans="1:10">
      <c r="H75" s="1009"/>
    </row>
    <row r="76" spans="1:10">
      <c r="H76" s="1009"/>
    </row>
    <row r="77" spans="1:10">
      <c r="H77" s="1009"/>
      <c r="I77" s="638"/>
    </row>
    <row r="78" spans="1:10">
      <c r="H78" s="1009"/>
      <c r="I78" s="638"/>
    </row>
    <row r="79" spans="1:10">
      <c r="H79" s="1009"/>
    </row>
    <row r="80" spans="1:10">
      <c r="H80" s="1009"/>
    </row>
    <row r="81" spans="8:8">
      <c r="H81" s="1009"/>
    </row>
    <row r="82" spans="8:8">
      <c r="H82" s="1009"/>
    </row>
  </sheetData>
  <mergeCells count="1">
    <mergeCell ref="B7:F7"/>
  </mergeCells>
  <phoneticPr fontId="2" type="noConversion"/>
  <printOptions horizontalCentered="1"/>
  <pageMargins left="0.75" right="0.75" top="1" bottom="1" header="0.5" footer="0.5"/>
  <pageSetup scale="67" orientation="portrait" r:id="rId1"/>
  <headerFooter alignWithMargins="0">
    <oddHeader>&amp;RPage &amp;P of &amp;N</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pageSetUpPr fitToPage="1"/>
  </sheetPr>
  <dimension ref="A1:K60"/>
  <sheetViews>
    <sheetView topLeftCell="A13" workbookViewId="0">
      <selection activeCell="I34" sqref="I34"/>
    </sheetView>
  </sheetViews>
  <sheetFormatPr defaultRowHeight="12.75"/>
  <cols>
    <col min="2" max="2" width="41.28515625" customWidth="1"/>
    <col min="3" max="3" width="10" style="105" customWidth="1"/>
    <col min="4" max="4" width="15.28515625" bestFit="1" customWidth="1"/>
    <col min="5" max="5" width="10" customWidth="1"/>
    <col min="6" max="6" width="13.28515625" bestFit="1" customWidth="1"/>
    <col min="7" max="7" width="24.5703125" bestFit="1" customWidth="1"/>
    <col min="8" max="8" width="16.28515625" bestFit="1" customWidth="1"/>
    <col min="9" max="9" width="17.28515625" customWidth="1"/>
    <col min="10" max="10" width="22" customWidth="1"/>
    <col min="258" max="258" width="41.28515625" customWidth="1"/>
    <col min="259" max="259" width="10" customWidth="1"/>
    <col min="260" max="260" width="15.28515625" bestFit="1" customWidth="1"/>
    <col min="261" max="261" width="10" customWidth="1"/>
    <col min="262" max="262" width="13.28515625" bestFit="1" customWidth="1"/>
    <col min="263" max="263" width="24.5703125" bestFit="1" customWidth="1"/>
    <col min="264" max="264" width="16.28515625" bestFit="1" customWidth="1"/>
    <col min="265" max="265" width="17.28515625" customWidth="1"/>
    <col min="266" max="266" width="22" customWidth="1"/>
    <col min="514" max="514" width="41.28515625" customWidth="1"/>
    <col min="515" max="515" width="10" customWidth="1"/>
    <col min="516" max="516" width="15.28515625" bestFit="1" customWidth="1"/>
    <col min="517" max="517" width="10" customWidth="1"/>
    <col min="518" max="518" width="13.28515625" bestFit="1" customWidth="1"/>
    <col min="519" max="519" width="24.5703125" bestFit="1" customWidth="1"/>
    <col min="520" max="520" width="16.28515625" bestFit="1" customWidth="1"/>
    <col min="521" max="521" width="17.28515625" customWidth="1"/>
    <col min="522" max="522" width="22" customWidth="1"/>
    <col min="770" max="770" width="41.28515625" customWidth="1"/>
    <col min="771" max="771" width="10" customWidth="1"/>
    <col min="772" max="772" width="15.28515625" bestFit="1" customWidth="1"/>
    <col min="773" max="773" width="10" customWidth="1"/>
    <col min="774" max="774" width="13.28515625" bestFit="1" customWidth="1"/>
    <col min="775" max="775" width="24.5703125" bestFit="1" customWidth="1"/>
    <col min="776" max="776" width="16.28515625" bestFit="1" customWidth="1"/>
    <col min="777" max="777" width="17.28515625" customWidth="1"/>
    <col min="778" max="778" width="22" customWidth="1"/>
    <col min="1026" max="1026" width="41.28515625" customWidth="1"/>
    <col min="1027" max="1027" width="10" customWidth="1"/>
    <col min="1028" max="1028" width="15.28515625" bestFit="1" customWidth="1"/>
    <col min="1029" max="1029" width="10" customWidth="1"/>
    <col min="1030" max="1030" width="13.28515625" bestFit="1" customWidth="1"/>
    <col min="1031" max="1031" width="24.5703125" bestFit="1" customWidth="1"/>
    <col min="1032" max="1032" width="16.28515625" bestFit="1" customWidth="1"/>
    <col min="1033" max="1033" width="17.28515625" customWidth="1"/>
    <col min="1034" max="1034" width="22" customWidth="1"/>
    <col min="1282" max="1282" width="41.28515625" customWidth="1"/>
    <col min="1283" max="1283" width="10" customWidth="1"/>
    <col min="1284" max="1284" width="15.28515625" bestFit="1" customWidth="1"/>
    <col min="1285" max="1285" width="10" customWidth="1"/>
    <col min="1286" max="1286" width="13.28515625" bestFit="1" customWidth="1"/>
    <col min="1287" max="1287" width="24.5703125" bestFit="1" customWidth="1"/>
    <col min="1288" max="1288" width="16.28515625" bestFit="1" customWidth="1"/>
    <col min="1289" max="1289" width="17.28515625" customWidth="1"/>
    <col min="1290" max="1290" width="22" customWidth="1"/>
    <col min="1538" max="1538" width="41.28515625" customWidth="1"/>
    <col min="1539" max="1539" width="10" customWidth="1"/>
    <col min="1540" max="1540" width="15.28515625" bestFit="1" customWidth="1"/>
    <col min="1541" max="1541" width="10" customWidth="1"/>
    <col min="1542" max="1542" width="13.28515625" bestFit="1" customWidth="1"/>
    <col min="1543" max="1543" width="24.5703125" bestFit="1" customWidth="1"/>
    <col min="1544" max="1544" width="16.28515625" bestFit="1" customWidth="1"/>
    <col min="1545" max="1545" width="17.28515625" customWidth="1"/>
    <col min="1546" max="1546" width="22" customWidth="1"/>
    <col min="1794" max="1794" width="41.28515625" customWidth="1"/>
    <col min="1795" max="1795" width="10" customWidth="1"/>
    <col min="1796" max="1796" width="15.28515625" bestFit="1" customWidth="1"/>
    <col min="1797" max="1797" width="10" customWidth="1"/>
    <col min="1798" max="1798" width="13.28515625" bestFit="1" customWidth="1"/>
    <col min="1799" max="1799" width="24.5703125" bestFit="1" customWidth="1"/>
    <col min="1800" max="1800" width="16.28515625" bestFit="1" customWidth="1"/>
    <col min="1801" max="1801" width="17.28515625" customWidth="1"/>
    <col min="1802" max="1802" width="22" customWidth="1"/>
    <col min="2050" max="2050" width="41.28515625" customWidth="1"/>
    <col min="2051" max="2051" width="10" customWidth="1"/>
    <col min="2052" max="2052" width="15.28515625" bestFit="1" customWidth="1"/>
    <col min="2053" max="2053" width="10" customWidth="1"/>
    <col min="2054" max="2054" width="13.28515625" bestFit="1" customWidth="1"/>
    <col min="2055" max="2055" width="24.5703125" bestFit="1" customWidth="1"/>
    <col min="2056" max="2056" width="16.28515625" bestFit="1" customWidth="1"/>
    <col min="2057" max="2057" width="17.28515625" customWidth="1"/>
    <col min="2058" max="2058" width="22" customWidth="1"/>
    <col min="2306" max="2306" width="41.28515625" customWidth="1"/>
    <col min="2307" max="2307" width="10" customWidth="1"/>
    <col min="2308" max="2308" width="15.28515625" bestFit="1" customWidth="1"/>
    <col min="2309" max="2309" width="10" customWidth="1"/>
    <col min="2310" max="2310" width="13.28515625" bestFit="1" customWidth="1"/>
    <col min="2311" max="2311" width="24.5703125" bestFit="1" customWidth="1"/>
    <col min="2312" max="2312" width="16.28515625" bestFit="1" customWidth="1"/>
    <col min="2313" max="2313" width="17.28515625" customWidth="1"/>
    <col min="2314" max="2314" width="22" customWidth="1"/>
    <col min="2562" max="2562" width="41.28515625" customWidth="1"/>
    <col min="2563" max="2563" width="10" customWidth="1"/>
    <col min="2564" max="2564" width="15.28515625" bestFit="1" customWidth="1"/>
    <col min="2565" max="2565" width="10" customWidth="1"/>
    <col min="2566" max="2566" width="13.28515625" bestFit="1" customWidth="1"/>
    <col min="2567" max="2567" width="24.5703125" bestFit="1" customWidth="1"/>
    <col min="2568" max="2568" width="16.28515625" bestFit="1" customWidth="1"/>
    <col min="2569" max="2569" width="17.28515625" customWidth="1"/>
    <col min="2570" max="2570" width="22" customWidth="1"/>
    <col min="2818" max="2818" width="41.28515625" customWidth="1"/>
    <col min="2819" max="2819" width="10" customWidth="1"/>
    <col min="2820" max="2820" width="15.28515625" bestFit="1" customWidth="1"/>
    <col min="2821" max="2821" width="10" customWidth="1"/>
    <col min="2822" max="2822" width="13.28515625" bestFit="1" customWidth="1"/>
    <col min="2823" max="2823" width="24.5703125" bestFit="1" customWidth="1"/>
    <col min="2824" max="2824" width="16.28515625" bestFit="1" customWidth="1"/>
    <col min="2825" max="2825" width="17.28515625" customWidth="1"/>
    <col min="2826" max="2826" width="22" customWidth="1"/>
    <col min="3074" max="3074" width="41.28515625" customWidth="1"/>
    <col min="3075" max="3075" width="10" customWidth="1"/>
    <col min="3076" max="3076" width="15.28515625" bestFit="1" customWidth="1"/>
    <col min="3077" max="3077" width="10" customWidth="1"/>
    <col min="3078" max="3078" width="13.28515625" bestFit="1" customWidth="1"/>
    <col min="3079" max="3079" width="24.5703125" bestFit="1" customWidth="1"/>
    <col min="3080" max="3080" width="16.28515625" bestFit="1" customWidth="1"/>
    <col min="3081" max="3081" width="17.28515625" customWidth="1"/>
    <col min="3082" max="3082" width="22" customWidth="1"/>
    <col min="3330" max="3330" width="41.28515625" customWidth="1"/>
    <col min="3331" max="3331" width="10" customWidth="1"/>
    <col min="3332" max="3332" width="15.28515625" bestFit="1" customWidth="1"/>
    <col min="3333" max="3333" width="10" customWidth="1"/>
    <col min="3334" max="3334" width="13.28515625" bestFit="1" customWidth="1"/>
    <col min="3335" max="3335" width="24.5703125" bestFit="1" customWidth="1"/>
    <col min="3336" max="3336" width="16.28515625" bestFit="1" customWidth="1"/>
    <col min="3337" max="3337" width="17.28515625" customWidth="1"/>
    <col min="3338" max="3338" width="22" customWidth="1"/>
    <col min="3586" max="3586" width="41.28515625" customWidth="1"/>
    <col min="3587" max="3587" width="10" customWidth="1"/>
    <col min="3588" max="3588" width="15.28515625" bestFit="1" customWidth="1"/>
    <col min="3589" max="3589" width="10" customWidth="1"/>
    <col min="3590" max="3590" width="13.28515625" bestFit="1" customWidth="1"/>
    <col min="3591" max="3591" width="24.5703125" bestFit="1" customWidth="1"/>
    <col min="3592" max="3592" width="16.28515625" bestFit="1" customWidth="1"/>
    <col min="3593" max="3593" width="17.28515625" customWidth="1"/>
    <col min="3594" max="3594" width="22" customWidth="1"/>
    <col min="3842" max="3842" width="41.28515625" customWidth="1"/>
    <col min="3843" max="3843" width="10" customWidth="1"/>
    <col min="3844" max="3844" width="15.28515625" bestFit="1" customWidth="1"/>
    <col min="3845" max="3845" width="10" customWidth="1"/>
    <col min="3846" max="3846" width="13.28515625" bestFit="1" customWidth="1"/>
    <col min="3847" max="3847" width="24.5703125" bestFit="1" customWidth="1"/>
    <col min="3848" max="3848" width="16.28515625" bestFit="1" customWidth="1"/>
    <col min="3849" max="3849" width="17.28515625" customWidth="1"/>
    <col min="3850" max="3850" width="22" customWidth="1"/>
    <col min="4098" max="4098" width="41.28515625" customWidth="1"/>
    <col min="4099" max="4099" width="10" customWidth="1"/>
    <col min="4100" max="4100" width="15.28515625" bestFit="1" customWidth="1"/>
    <col min="4101" max="4101" width="10" customWidth="1"/>
    <col min="4102" max="4102" width="13.28515625" bestFit="1" customWidth="1"/>
    <col min="4103" max="4103" width="24.5703125" bestFit="1" customWidth="1"/>
    <col min="4104" max="4104" width="16.28515625" bestFit="1" customWidth="1"/>
    <col min="4105" max="4105" width="17.28515625" customWidth="1"/>
    <col min="4106" max="4106" width="22" customWidth="1"/>
    <col min="4354" max="4354" width="41.28515625" customWidth="1"/>
    <col min="4355" max="4355" width="10" customWidth="1"/>
    <col min="4356" max="4356" width="15.28515625" bestFit="1" customWidth="1"/>
    <col min="4357" max="4357" width="10" customWidth="1"/>
    <col min="4358" max="4358" width="13.28515625" bestFit="1" customWidth="1"/>
    <col min="4359" max="4359" width="24.5703125" bestFit="1" customWidth="1"/>
    <col min="4360" max="4360" width="16.28515625" bestFit="1" customWidth="1"/>
    <col min="4361" max="4361" width="17.28515625" customWidth="1"/>
    <col min="4362" max="4362" width="22" customWidth="1"/>
    <col min="4610" max="4610" width="41.28515625" customWidth="1"/>
    <col min="4611" max="4611" width="10" customWidth="1"/>
    <col min="4612" max="4612" width="15.28515625" bestFit="1" customWidth="1"/>
    <col min="4613" max="4613" width="10" customWidth="1"/>
    <col min="4614" max="4614" width="13.28515625" bestFit="1" customWidth="1"/>
    <col min="4615" max="4615" width="24.5703125" bestFit="1" customWidth="1"/>
    <col min="4616" max="4616" width="16.28515625" bestFit="1" customWidth="1"/>
    <col min="4617" max="4617" width="17.28515625" customWidth="1"/>
    <col min="4618" max="4618" width="22" customWidth="1"/>
    <col min="4866" max="4866" width="41.28515625" customWidth="1"/>
    <col min="4867" max="4867" width="10" customWidth="1"/>
    <col min="4868" max="4868" width="15.28515625" bestFit="1" customWidth="1"/>
    <col min="4869" max="4869" width="10" customWidth="1"/>
    <col min="4870" max="4870" width="13.28515625" bestFit="1" customWidth="1"/>
    <col min="4871" max="4871" width="24.5703125" bestFit="1" customWidth="1"/>
    <col min="4872" max="4872" width="16.28515625" bestFit="1" customWidth="1"/>
    <col min="4873" max="4873" width="17.28515625" customWidth="1"/>
    <col min="4874" max="4874" width="22" customWidth="1"/>
    <col min="5122" max="5122" width="41.28515625" customWidth="1"/>
    <col min="5123" max="5123" width="10" customWidth="1"/>
    <col min="5124" max="5124" width="15.28515625" bestFit="1" customWidth="1"/>
    <col min="5125" max="5125" width="10" customWidth="1"/>
    <col min="5126" max="5126" width="13.28515625" bestFit="1" customWidth="1"/>
    <col min="5127" max="5127" width="24.5703125" bestFit="1" customWidth="1"/>
    <col min="5128" max="5128" width="16.28515625" bestFit="1" customWidth="1"/>
    <col min="5129" max="5129" width="17.28515625" customWidth="1"/>
    <col min="5130" max="5130" width="22" customWidth="1"/>
    <col min="5378" max="5378" width="41.28515625" customWidth="1"/>
    <col min="5379" max="5379" width="10" customWidth="1"/>
    <col min="5380" max="5380" width="15.28515625" bestFit="1" customWidth="1"/>
    <col min="5381" max="5381" width="10" customWidth="1"/>
    <col min="5382" max="5382" width="13.28515625" bestFit="1" customWidth="1"/>
    <col min="5383" max="5383" width="24.5703125" bestFit="1" customWidth="1"/>
    <col min="5384" max="5384" width="16.28515625" bestFit="1" customWidth="1"/>
    <col min="5385" max="5385" width="17.28515625" customWidth="1"/>
    <col min="5386" max="5386" width="22" customWidth="1"/>
    <col min="5634" max="5634" width="41.28515625" customWidth="1"/>
    <col min="5635" max="5635" width="10" customWidth="1"/>
    <col min="5636" max="5636" width="15.28515625" bestFit="1" customWidth="1"/>
    <col min="5637" max="5637" width="10" customWidth="1"/>
    <col min="5638" max="5638" width="13.28515625" bestFit="1" customWidth="1"/>
    <col min="5639" max="5639" width="24.5703125" bestFit="1" customWidth="1"/>
    <col min="5640" max="5640" width="16.28515625" bestFit="1" customWidth="1"/>
    <col min="5641" max="5641" width="17.28515625" customWidth="1"/>
    <col min="5642" max="5642" width="22" customWidth="1"/>
    <col min="5890" max="5890" width="41.28515625" customWidth="1"/>
    <col min="5891" max="5891" width="10" customWidth="1"/>
    <col min="5892" max="5892" width="15.28515625" bestFit="1" customWidth="1"/>
    <col min="5893" max="5893" width="10" customWidth="1"/>
    <col min="5894" max="5894" width="13.28515625" bestFit="1" customWidth="1"/>
    <col min="5895" max="5895" width="24.5703125" bestFit="1" customWidth="1"/>
    <col min="5896" max="5896" width="16.28515625" bestFit="1" customWidth="1"/>
    <col min="5897" max="5897" width="17.28515625" customWidth="1"/>
    <col min="5898" max="5898" width="22" customWidth="1"/>
    <col min="6146" max="6146" width="41.28515625" customWidth="1"/>
    <col min="6147" max="6147" width="10" customWidth="1"/>
    <col min="6148" max="6148" width="15.28515625" bestFit="1" customWidth="1"/>
    <col min="6149" max="6149" width="10" customWidth="1"/>
    <col min="6150" max="6150" width="13.28515625" bestFit="1" customWidth="1"/>
    <col min="6151" max="6151" width="24.5703125" bestFit="1" customWidth="1"/>
    <col min="6152" max="6152" width="16.28515625" bestFit="1" customWidth="1"/>
    <col min="6153" max="6153" width="17.28515625" customWidth="1"/>
    <col min="6154" max="6154" width="22" customWidth="1"/>
    <col min="6402" max="6402" width="41.28515625" customWidth="1"/>
    <col min="6403" max="6403" width="10" customWidth="1"/>
    <col min="6404" max="6404" width="15.28515625" bestFit="1" customWidth="1"/>
    <col min="6405" max="6405" width="10" customWidth="1"/>
    <col min="6406" max="6406" width="13.28515625" bestFit="1" customWidth="1"/>
    <col min="6407" max="6407" width="24.5703125" bestFit="1" customWidth="1"/>
    <col min="6408" max="6408" width="16.28515625" bestFit="1" customWidth="1"/>
    <col min="6409" max="6409" width="17.28515625" customWidth="1"/>
    <col min="6410" max="6410" width="22" customWidth="1"/>
    <col min="6658" max="6658" width="41.28515625" customWidth="1"/>
    <col min="6659" max="6659" width="10" customWidth="1"/>
    <col min="6660" max="6660" width="15.28515625" bestFit="1" customWidth="1"/>
    <col min="6661" max="6661" width="10" customWidth="1"/>
    <col min="6662" max="6662" width="13.28515625" bestFit="1" customWidth="1"/>
    <col min="6663" max="6663" width="24.5703125" bestFit="1" customWidth="1"/>
    <col min="6664" max="6664" width="16.28515625" bestFit="1" customWidth="1"/>
    <col min="6665" max="6665" width="17.28515625" customWidth="1"/>
    <col min="6666" max="6666" width="22" customWidth="1"/>
    <col min="6914" max="6914" width="41.28515625" customWidth="1"/>
    <col min="6915" max="6915" width="10" customWidth="1"/>
    <col min="6916" max="6916" width="15.28515625" bestFit="1" customWidth="1"/>
    <col min="6917" max="6917" width="10" customWidth="1"/>
    <col min="6918" max="6918" width="13.28515625" bestFit="1" customWidth="1"/>
    <col min="6919" max="6919" width="24.5703125" bestFit="1" customWidth="1"/>
    <col min="6920" max="6920" width="16.28515625" bestFit="1" customWidth="1"/>
    <col min="6921" max="6921" width="17.28515625" customWidth="1"/>
    <col min="6922" max="6922" width="22" customWidth="1"/>
    <col min="7170" max="7170" width="41.28515625" customWidth="1"/>
    <col min="7171" max="7171" width="10" customWidth="1"/>
    <col min="7172" max="7172" width="15.28515625" bestFit="1" customWidth="1"/>
    <col min="7173" max="7173" width="10" customWidth="1"/>
    <col min="7174" max="7174" width="13.28515625" bestFit="1" customWidth="1"/>
    <col min="7175" max="7175" width="24.5703125" bestFit="1" customWidth="1"/>
    <col min="7176" max="7176" width="16.28515625" bestFit="1" customWidth="1"/>
    <col min="7177" max="7177" width="17.28515625" customWidth="1"/>
    <col min="7178" max="7178" width="22" customWidth="1"/>
    <col min="7426" max="7426" width="41.28515625" customWidth="1"/>
    <col min="7427" max="7427" width="10" customWidth="1"/>
    <col min="7428" max="7428" width="15.28515625" bestFit="1" customWidth="1"/>
    <col min="7429" max="7429" width="10" customWidth="1"/>
    <col min="7430" max="7430" width="13.28515625" bestFit="1" customWidth="1"/>
    <col min="7431" max="7431" width="24.5703125" bestFit="1" customWidth="1"/>
    <col min="7432" max="7432" width="16.28515625" bestFit="1" customWidth="1"/>
    <col min="7433" max="7433" width="17.28515625" customWidth="1"/>
    <col min="7434" max="7434" width="22" customWidth="1"/>
    <col min="7682" max="7682" width="41.28515625" customWidth="1"/>
    <col min="7683" max="7683" width="10" customWidth="1"/>
    <col min="7684" max="7684" width="15.28515625" bestFit="1" customWidth="1"/>
    <col min="7685" max="7685" width="10" customWidth="1"/>
    <col min="7686" max="7686" width="13.28515625" bestFit="1" customWidth="1"/>
    <col min="7687" max="7687" width="24.5703125" bestFit="1" customWidth="1"/>
    <col min="7688" max="7688" width="16.28515625" bestFit="1" customWidth="1"/>
    <col min="7689" max="7689" width="17.28515625" customWidth="1"/>
    <col min="7690" max="7690" width="22" customWidth="1"/>
    <col min="7938" max="7938" width="41.28515625" customWidth="1"/>
    <col min="7939" max="7939" width="10" customWidth="1"/>
    <col min="7940" max="7940" width="15.28515625" bestFit="1" customWidth="1"/>
    <col min="7941" max="7941" width="10" customWidth="1"/>
    <col min="7942" max="7942" width="13.28515625" bestFit="1" customWidth="1"/>
    <col min="7943" max="7943" width="24.5703125" bestFit="1" customWidth="1"/>
    <col min="7944" max="7944" width="16.28515625" bestFit="1" customWidth="1"/>
    <col min="7945" max="7945" width="17.28515625" customWidth="1"/>
    <col min="7946" max="7946" width="22" customWidth="1"/>
    <col min="8194" max="8194" width="41.28515625" customWidth="1"/>
    <col min="8195" max="8195" width="10" customWidth="1"/>
    <col min="8196" max="8196" width="15.28515625" bestFit="1" customWidth="1"/>
    <col min="8197" max="8197" width="10" customWidth="1"/>
    <col min="8198" max="8198" width="13.28515625" bestFit="1" customWidth="1"/>
    <col min="8199" max="8199" width="24.5703125" bestFit="1" customWidth="1"/>
    <col min="8200" max="8200" width="16.28515625" bestFit="1" customWidth="1"/>
    <col min="8201" max="8201" width="17.28515625" customWidth="1"/>
    <col min="8202" max="8202" width="22" customWidth="1"/>
    <col min="8450" max="8450" width="41.28515625" customWidth="1"/>
    <col min="8451" max="8451" width="10" customWidth="1"/>
    <col min="8452" max="8452" width="15.28515625" bestFit="1" customWidth="1"/>
    <col min="8453" max="8453" width="10" customWidth="1"/>
    <col min="8454" max="8454" width="13.28515625" bestFit="1" customWidth="1"/>
    <col min="8455" max="8455" width="24.5703125" bestFit="1" customWidth="1"/>
    <col min="8456" max="8456" width="16.28515625" bestFit="1" customWidth="1"/>
    <col min="8457" max="8457" width="17.28515625" customWidth="1"/>
    <col min="8458" max="8458" width="22" customWidth="1"/>
    <col min="8706" max="8706" width="41.28515625" customWidth="1"/>
    <col min="8707" max="8707" width="10" customWidth="1"/>
    <col min="8708" max="8708" width="15.28515625" bestFit="1" customWidth="1"/>
    <col min="8709" max="8709" width="10" customWidth="1"/>
    <col min="8710" max="8710" width="13.28515625" bestFit="1" customWidth="1"/>
    <col min="8711" max="8711" width="24.5703125" bestFit="1" customWidth="1"/>
    <col min="8712" max="8712" width="16.28515625" bestFit="1" customWidth="1"/>
    <col min="8713" max="8713" width="17.28515625" customWidth="1"/>
    <col min="8714" max="8714" width="22" customWidth="1"/>
    <col min="8962" max="8962" width="41.28515625" customWidth="1"/>
    <col min="8963" max="8963" width="10" customWidth="1"/>
    <col min="8964" max="8964" width="15.28515625" bestFit="1" customWidth="1"/>
    <col min="8965" max="8965" width="10" customWidth="1"/>
    <col min="8966" max="8966" width="13.28515625" bestFit="1" customWidth="1"/>
    <col min="8967" max="8967" width="24.5703125" bestFit="1" customWidth="1"/>
    <col min="8968" max="8968" width="16.28515625" bestFit="1" customWidth="1"/>
    <col min="8969" max="8969" width="17.28515625" customWidth="1"/>
    <col min="8970" max="8970" width="22" customWidth="1"/>
    <col min="9218" max="9218" width="41.28515625" customWidth="1"/>
    <col min="9219" max="9219" width="10" customWidth="1"/>
    <col min="9220" max="9220" width="15.28515625" bestFit="1" customWidth="1"/>
    <col min="9221" max="9221" width="10" customWidth="1"/>
    <col min="9222" max="9222" width="13.28515625" bestFit="1" customWidth="1"/>
    <col min="9223" max="9223" width="24.5703125" bestFit="1" customWidth="1"/>
    <col min="9224" max="9224" width="16.28515625" bestFit="1" customWidth="1"/>
    <col min="9225" max="9225" width="17.28515625" customWidth="1"/>
    <col min="9226" max="9226" width="22" customWidth="1"/>
    <col min="9474" max="9474" width="41.28515625" customWidth="1"/>
    <col min="9475" max="9475" width="10" customWidth="1"/>
    <col min="9476" max="9476" width="15.28515625" bestFit="1" customWidth="1"/>
    <col min="9477" max="9477" width="10" customWidth="1"/>
    <col min="9478" max="9478" width="13.28515625" bestFit="1" customWidth="1"/>
    <col min="9479" max="9479" width="24.5703125" bestFit="1" customWidth="1"/>
    <col min="9480" max="9480" width="16.28515625" bestFit="1" customWidth="1"/>
    <col min="9481" max="9481" width="17.28515625" customWidth="1"/>
    <col min="9482" max="9482" width="22" customWidth="1"/>
    <col min="9730" max="9730" width="41.28515625" customWidth="1"/>
    <col min="9731" max="9731" width="10" customWidth="1"/>
    <col min="9732" max="9732" width="15.28515625" bestFit="1" customWidth="1"/>
    <col min="9733" max="9733" width="10" customWidth="1"/>
    <col min="9734" max="9734" width="13.28515625" bestFit="1" customWidth="1"/>
    <col min="9735" max="9735" width="24.5703125" bestFit="1" customWidth="1"/>
    <col min="9736" max="9736" width="16.28515625" bestFit="1" customWidth="1"/>
    <col min="9737" max="9737" width="17.28515625" customWidth="1"/>
    <col min="9738" max="9738" width="22" customWidth="1"/>
    <col min="9986" max="9986" width="41.28515625" customWidth="1"/>
    <col min="9987" max="9987" width="10" customWidth="1"/>
    <col min="9988" max="9988" width="15.28515625" bestFit="1" customWidth="1"/>
    <col min="9989" max="9989" width="10" customWidth="1"/>
    <col min="9990" max="9990" width="13.28515625" bestFit="1" customWidth="1"/>
    <col min="9991" max="9991" width="24.5703125" bestFit="1" customWidth="1"/>
    <col min="9992" max="9992" width="16.28515625" bestFit="1" customWidth="1"/>
    <col min="9993" max="9993" width="17.28515625" customWidth="1"/>
    <col min="9994" max="9994" width="22" customWidth="1"/>
    <col min="10242" max="10242" width="41.28515625" customWidth="1"/>
    <col min="10243" max="10243" width="10" customWidth="1"/>
    <col min="10244" max="10244" width="15.28515625" bestFit="1" customWidth="1"/>
    <col min="10245" max="10245" width="10" customWidth="1"/>
    <col min="10246" max="10246" width="13.28515625" bestFit="1" customWidth="1"/>
    <col min="10247" max="10247" width="24.5703125" bestFit="1" customWidth="1"/>
    <col min="10248" max="10248" width="16.28515625" bestFit="1" customWidth="1"/>
    <col min="10249" max="10249" width="17.28515625" customWidth="1"/>
    <col min="10250" max="10250" width="22" customWidth="1"/>
    <col min="10498" max="10498" width="41.28515625" customWidth="1"/>
    <col min="10499" max="10499" width="10" customWidth="1"/>
    <col min="10500" max="10500" width="15.28515625" bestFit="1" customWidth="1"/>
    <col min="10501" max="10501" width="10" customWidth="1"/>
    <col min="10502" max="10502" width="13.28515625" bestFit="1" customWidth="1"/>
    <col min="10503" max="10503" width="24.5703125" bestFit="1" customWidth="1"/>
    <col min="10504" max="10504" width="16.28515625" bestFit="1" customWidth="1"/>
    <col min="10505" max="10505" width="17.28515625" customWidth="1"/>
    <col min="10506" max="10506" width="22" customWidth="1"/>
    <col min="10754" max="10754" width="41.28515625" customWidth="1"/>
    <col min="10755" max="10755" width="10" customWidth="1"/>
    <col min="10756" max="10756" width="15.28515625" bestFit="1" customWidth="1"/>
    <col min="10757" max="10757" width="10" customWidth="1"/>
    <col min="10758" max="10758" width="13.28515625" bestFit="1" customWidth="1"/>
    <col min="10759" max="10759" width="24.5703125" bestFit="1" customWidth="1"/>
    <col min="10760" max="10760" width="16.28515625" bestFit="1" customWidth="1"/>
    <col min="10761" max="10761" width="17.28515625" customWidth="1"/>
    <col min="10762" max="10762" width="22" customWidth="1"/>
    <col min="11010" max="11010" width="41.28515625" customWidth="1"/>
    <col min="11011" max="11011" width="10" customWidth="1"/>
    <col min="11012" max="11012" width="15.28515625" bestFit="1" customWidth="1"/>
    <col min="11013" max="11013" width="10" customWidth="1"/>
    <col min="11014" max="11014" width="13.28515625" bestFit="1" customWidth="1"/>
    <col min="11015" max="11015" width="24.5703125" bestFit="1" customWidth="1"/>
    <col min="11016" max="11016" width="16.28515625" bestFit="1" customWidth="1"/>
    <col min="11017" max="11017" width="17.28515625" customWidth="1"/>
    <col min="11018" max="11018" width="22" customWidth="1"/>
    <col min="11266" max="11266" width="41.28515625" customWidth="1"/>
    <col min="11267" max="11267" width="10" customWidth="1"/>
    <col min="11268" max="11268" width="15.28515625" bestFit="1" customWidth="1"/>
    <col min="11269" max="11269" width="10" customWidth="1"/>
    <col min="11270" max="11270" width="13.28515625" bestFit="1" customWidth="1"/>
    <col min="11271" max="11271" width="24.5703125" bestFit="1" customWidth="1"/>
    <col min="11272" max="11272" width="16.28515625" bestFit="1" customWidth="1"/>
    <col min="11273" max="11273" width="17.28515625" customWidth="1"/>
    <col min="11274" max="11274" width="22" customWidth="1"/>
    <col min="11522" max="11522" width="41.28515625" customWidth="1"/>
    <col min="11523" max="11523" width="10" customWidth="1"/>
    <col min="11524" max="11524" width="15.28515625" bestFit="1" customWidth="1"/>
    <col min="11525" max="11525" width="10" customWidth="1"/>
    <col min="11526" max="11526" width="13.28515625" bestFit="1" customWidth="1"/>
    <col min="11527" max="11527" width="24.5703125" bestFit="1" customWidth="1"/>
    <col min="11528" max="11528" width="16.28515625" bestFit="1" customWidth="1"/>
    <col min="11529" max="11529" width="17.28515625" customWidth="1"/>
    <col min="11530" max="11530" width="22" customWidth="1"/>
    <col min="11778" max="11778" width="41.28515625" customWidth="1"/>
    <col min="11779" max="11779" width="10" customWidth="1"/>
    <col min="11780" max="11780" width="15.28515625" bestFit="1" customWidth="1"/>
    <col min="11781" max="11781" width="10" customWidth="1"/>
    <col min="11782" max="11782" width="13.28515625" bestFit="1" customWidth="1"/>
    <col min="11783" max="11783" width="24.5703125" bestFit="1" customWidth="1"/>
    <col min="11784" max="11784" width="16.28515625" bestFit="1" customWidth="1"/>
    <col min="11785" max="11785" width="17.28515625" customWidth="1"/>
    <col min="11786" max="11786" width="22" customWidth="1"/>
    <col min="12034" max="12034" width="41.28515625" customWidth="1"/>
    <col min="12035" max="12035" width="10" customWidth="1"/>
    <col min="12036" max="12036" width="15.28515625" bestFit="1" customWidth="1"/>
    <col min="12037" max="12037" width="10" customWidth="1"/>
    <col min="12038" max="12038" width="13.28515625" bestFit="1" customWidth="1"/>
    <col min="12039" max="12039" width="24.5703125" bestFit="1" customWidth="1"/>
    <col min="12040" max="12040" width="16.28515625" bestFit="1" customWidth="1"/>
    <col min="12041" max="12041" width="17.28515625" customWidth="1"/>
    <col min="12042" max="12042" width="22" customWidth="1"/>
    <col min="12290" max="12290" width="41.28515625" customWidth="1"/>
    <col min="12291" max="12291" width="10" customWidth="1"/>
    <col min="12292" max="12292" width="15.28515625" bestFit="1" customWidth="1"/>
    <col min="12293" max="12293" width="10" customWidth="1"/>
    <col min="12294" max="12294" width="13.28515625" bestFit="1" customWidth="1"/>
    <col min="12295" max="12295" width="24.5703125" bestFit="1" customWidth="1"/>
    <col min="12296" max="12296" width="16.28515625" bestFit="1" customWidth="1"/>
    <col min="12297" max="12297" width="17.28515625" customWidth="1"/>
    <col min="12298" max="12298" width="22" customWidth="1"/>
    <col min="12546" max="12546" width="41.28515625" customWidth="1"/>
    <col min="12547" max="12547" width="10" customWidth="1"/>
    <col min="12548" max="12548" width="15.28515625" bestFit="1" customWidth="1"/>
    <col min="12549" max="12549" width="10" customWidth="1"/>
    <col min="12550" max="12550" width="13.28515625" bestFit="1" customWidth="1"/>
    <col min="12551" max="12551" width="24.5703125" bestFit="1" customWidth="1"/>
    <col min="12552" max="12552" width="16.28515625" bestFit="1" customWidth="1"/>
    <col min="12553" max="12553" width="17.28515625" customWidth="1"/>
    <col min="12554" max="12554" width="22" customWidth="1"/>
    <col min="12802" max="12802" width="41.28515625" customWidth="1"/>
    <col min="12803" max="12803" width="10" customWidth="1"/>
    <col min="12804" max="12804" width="15.28515625" bestFit="1" customWidth="1"/>
    <col min="12805" max="12805" width="10" customWidth="1"/>
    <col min="12806" max="12806" width="13.28515625" bestFit="1" customWidth="1"/>
    <col min="12807" max="12807" width="24.5703125" bestFit="1" customWidth="1"/>
    <col min="12808" max="12808" width="16.28515625" bestFit="1" customWidth="1"/>
    <col min="12809" max="12809" width="17.28515625" customWidth="1"/>
    <col min="12810" max="12810" width="22" customWidth="1"/>
    <col min="13058" max="13058" width="41.28515625" customWidth="1"/>
    <col min="13059" max="13059" width="10" customWidth="1"/>
    <col min="13060" max="13060" width="15.28515625" bestFit="1" customWidth="1"/>
    <col min="13061" max="13061" width="10" customWidth="1"/>
    <col min="13062" max="13062" width="13.28515625" bestFit="1" customWidth="1"/>
    <col min="13063" max="13063" width="24.5703125" bestFit="1" customWidth="1"/>
    <col min="13064" max="13064" width="16.28515625" bestFit="1" customWidth="1"/>
    <col min="13065" max="13065" width="17.28515625" customWidth="1"/>
    <col min="13066" max="13066" width="22" customWidth="1"/>
    <col min="13314" max="13314" width="41.28515625" customWidth="1"/>
    <col min="13315" max="13315" width="10" customWidth="1"/>
    <col min="13316" max="13316" width="15.28515625" bestFit="1" customWidth="1"/>
    <col min="13317" max="13317" width="10" customWidth="1"/>
    <col min="13318" max="13318" width="13.28515625" bestFit="1" customWidth="1"/>
    <col min="13319" max="13319" width="24.5703125" bestFit="1" customWidth="1"/>
    <col min="13320" max="13320" width="16.28515625" bestFit="1" customWidth="1"/>
    <col min="13321" max="13321" width="17.28515625" customWidth="1"/>
    <col min="13322" max="13322" width="22" customWidth="1"/>
    <col min="13570" max="13570" width="41.28515625" customWidth="1"/>
    <col min="13571" max="13571" width="10" customWidth="1"/>
    <col min="13572" max="13572" width="15.28515625" bestFit="1" customWidth="1"/>
    <col min="13573" max="13573" width="10" customWidth="1"/>
    <col min="13574" max="13574" width="13.28515625" bestFit="1" customWidth="1"/>
    <col min="13575" max="13575" width="24.5703125" bestFit="1" customWidth="1"/>
    <col min="13576" max="13576" width="16.28515625" bestFit="1" customWidth="1"/>
    <col min="13577" max="13577" width="17.28515625" customWidth="1"/>
    <col min="13578" max="13578" width="22" customWidth="1"/>
    <col min="13826" max="13826" width="41.28515625" customWidth="1"/>
    <col min="13827" max="13827" width="10" customWidth="1"/>
    <col min="13828" max="13828" width="15.28515625" bestFit="1" customWidth="1"/>
    <col min="13829" max="13829" width="10" customWidth="1"/>
    <col min="13830" max="13830" width="13.28515625" bestFit="1" customWidth="1"/>
    <col min="13831" max="13831" width="24.5703125" bestFit="1" customWidth="1"/>
    <col min="13832" max="13832" width="16.28515625" bestFit="1" customWidth="1"/>
    <col min="13833" max="13833" width="17.28515625" customWidth="1"/>
    <col min="13834" max="13834" width="22" customWidth="1"/>
    <col min="14082" max="14082" width="41.28515625" customWidth="1"/>
    <col min="14083" max="14083" width="10" customWidth="1"/>
    <col min="14084" max="14084" width="15.28515625" bestFit="1" customWidth="1"/>
    <col min="14085" max="14085" width="10" customWidth="1"/>
    <col min="14086" max="14086" width="13.28515625" bestFit="1" customWidth="1"/>
    <col min="14087" max="14087" width="24.5703125" bestFit="1" customWidth="1"/>
    <col min="14088" max="14088" width="16.28515625" bestFit="1" customWidth="1"/>
    <col min="14089" max="14089" width="17.28515625" customWidth="1"/>
    <col min="14090" max="14090" width="22" customWidth="1"/>
    <col min="14338" max="14338" width="41.28515625" customWidth="1"/>
    <col min="14339" max="14339" width="10" customWidth="1"/>
    <col min="14340" max="14340" width="15.28515625" bestFit="1" customWidth="1"/>
    <col min="14341" max="14341" width="10" customWidth="1"/>
    <col min="14342" max="14342" width="13.28515625" bestFit="1" customWidth="1"/>
    <col min="14343" max="14343" width="24.5703125" bestFit="1" customWidth="1"/>
    <col min="14344" max="14344" width="16.28515625" bestFit="1" customWidth="1"/>
    <col min="14345" max="14345" width="17.28515625" customWidth="1"/>
    <col min="14346" max="14346" width="22" customWidth="1"/>
    <col min="14594" max="14594" width="41.28515625" customWidth="1"/>
    <col min="14595" max="14595" width="10" customWidth="1"/>
    <col min="14596" max="14596" width="15.28515625" bestFit="1" customWidth="1"/>
    <col min="14597" max="14597" width="10" customWidth="1"/>
    <col min="14598" max="14598" width="13.28515625" bestFit="1" customWidth="1"/>
    <col min="14599" max="14599" width="24.5703125" bestFit="1" customWidth="1"/>
    <col min="14600" max="14600" width="16.28515625" bestFit="1" customWidth="1"/>
    <col min="14601" max="14601" width="17.28515625" customWidth="1"/>
    <col min="14602" max="14602" width="22" customWidth="1"/>
    <col min="14850" max="14850" width="41.28515625" customWidth="1"/>
    <col min="14851" max="14851" width="10" customWidth="1"/>
    <col min="14852" max="14852" width="15.28515625" bestFit="1" customWidth="1"/>
    <col min="14853" max="14853" width="10" customWidth="1"/>
    <col min="14854" max="14854" width="13.28515625" bestFit="1" customWidth="1"/>
    <col min="14855" max="14855" width="24.5703125" bestFit="1" customWidth="1"/>
    <col min="14856" max="14856" width="16.28515625" bestFit="1" customWidth="1"/>
    <col min="14857" max="14857" width="17.28515625" customWidth="1"/>
    <col min="14858" max="14858" width="22" customWidth="1"/>
    <col min="15106" max="15106" width="41.28515625" customWidth="1"/>
    <col min="15107" max="15107" width="10" customWidth="1"/>
    <col min="15108" max="15108" width="15.28515625" bestFit="1" customWidth="1"/>
    <col min="15109" max="15109" width="10" customWidth="1"/>
    <col min="15110" max="15110" width="13.28515625" bestFit="1" customWidth="1"/>
    <col min="15111" max="15111" width="24.5703125" bestFit="1" customWidth="1"/>
    <col min="15112" max="15112" width="16.28515625" bestFit="1" customWidth="1"/>
    <col min="15113" max="15113" width="17.28515625" customWidth="1"/>
    <col min="15114" max="15114" width="22" customWidth="1"/>
    <col min="15362" max="15362" width="41.28515625" customWidth="1"/>
    <col min="15363" max="15363" width="10" customWidth="1"/>
    <col min="15364" max="15364" width="15.28515625" bestFit="1" customWidth="1"/>
    <col min="15365" max="15365" width="10" customWidth="1"/>
    <col min="15366" max="15366" width="13.28515625" bestFit="1" customWidth="1"/>
    <col min="15367" max="15367" width="24.5703125" bestFit="1" customWidth="1"/>
    <col min="15368" max="15368" width="16.28515625" bestFit="1" customWidth="1"/>
    <col min="15369" max="15369" width="17.28515625" customWidth="1"/>
    <col min="15370" max="15370" width="22" customWidth="1"/>
    <col min="15618" max="15618" width="41.28515625" customWidth="1"/>
    <col min="15619" max="15619" width="10" customWidth="1"/>
    <col min="15620" max="15620" width="15.28515625" bestFit="1" customWidth="1"/>
    <col min="15621" max="15621" width="10" customWidth="1"/>
    <col min="15622" max="15622" width="13.28515625" bestFit="1" customWidth="1"/>
    <col min="15623" max="15623" width="24.5703125" bestFit="1" customWidth="1"/>
    <col min="15624" max="15624" width="16.28515625" bestFit="1" customWidth="1"/>
    <col min="15625" max="15625" width="17.28515625" customWidth="1"/>
    <col min="15626" max="15626" width="22" customWidth="1"/>
    <col min="15874" max="15874" width="41.28515625" customWidth="1"/>
    <col min="15875" max="15875" width="10" customWidth="1"/>
    <col min="15876" max="15876" width="15.28515625" bestFit="1" customWidth="1"/>
    <col min="15877" max="15877" width="10" customWidth="1"/>
    <col min="15878" max="15878" width="13.28515625" bestFit="1" customWidth="1"/>
    <col min="15879" max="15879" width="24.5703125" bestFit="1" customWidth="1"/>
    <col min="15880" max="15880" width="16.28515625" bestFit="1" customWidth="1"/>
    <col min="15881" max="15881" width="17.28515625" customWidth="1"/>
    <col min="15882" max="15882" width="22" customWidth="1"/>
    <col min="16130" max="16130" width="41.28515625" customWidth="1"/>
    <col min="16131" max="16131" width="10" customWidth="1"/>
    <col min="16132" max="16132" width="15.28515625" bestFit="1" customWidth="1"/>
    <col min="16133" max="16133" width="10" customWidth="1"/>
    <col min="16134" max="16134" width="13.28515625" bestFit="1" customWidth="1"/>
    <col min="16135" max="16135" width="24.5703125" bestFit="1" customWidth="1"/>
    <col min="16136" max="16136" width="16.28515625" bestFit="1" customWidth="1"/>
    <col min="16137" max="16137" width="17.28515625" customWidth="1"/>
    <col min="16138" max="16138" width="22" customWidth="1"/>
  </cols>
  <sheetData>
    <row r="1" spans="1:10">
      <c r="A1" s="847" t="s">
        <v>779</v>
      </c>
      <c r="J1" s="1010" t="s">
        <v>162</v>
      </c>
    </row>
    <row r="2" spans="1:10">
      <c r="A2" s="847" t="s">
        <v>383</v>
      </c>
      <c r="J2" s="781" t="str">
        <f ca="1">MID(CELL("filename",$A$1),FIND("]",CELL("filename",$A$1))+1,LEN(CELL("filename",$A$1))-FIND("]",CELL("filename",$A$1)))</f>
        <v>Schedule 3 and 3A</v>
      </c>
    </row>
    <row r="3" spans="1:10">
      <c r="A3" s="795" t="s">
        <v>1501</v>
      </c>
      <c r="B3" s="790"/>
      <c r="C3" s="790"/>
      <c r="D3" s="790"/>
      <c r="E3" s="790"/>
      <c r="F3" s="790"/>
      <c r="G3" s="790"/>
      <c r="H3" s="790"/>
      <c r="I3" s="790"/>
      <c r="J3" s="402"/>
    </row>
    <row r="4" spans="1:10">
      <c r="A4" s="796" t="s">
        <v>750</v>
      </c>
      <c r="B4" s="1011"/>
      <c r="C4" s="1011"/>
      <c r="D4" s="1012"/>
      <c r="E4" s="1012"/>
      <c r="F4" s="1013"/>
      <c r="G4" s="1012"/>
      <c r="H4" s="1011"/>
      <c r="I4" s="1012"/>
      <c r="J4" s="402"/>
    </row>
    <row r="5" spans="1:10">
      <c r="A5" s="1011"/>
      <c r="B5" s="1011"/>
      <c r="C5" s="1011"/>
      <c r="D5" s="1012"/>
      <c r="E5" s="1012"/>
      <c r="F5" s="1013"/>
      <c r="G5" s="790"/>
      <c r="H5" s="1012"/>
      <c r="I5" s="1012"/>
      <c r="J5" s="402"/>
    </row>
    <row r="6" spans="1:10" ht="63.75">
      <c r="A6" s="1014" t="s">
        <v>1385</v>
      </c>
      <c r="B6" s="1014" t="s">
        <v>1460</v>
      </c>
      <c r="C6" s="1015"/>
      <c r="D6" s="1014" t="s">
        <v>1461</v>
      </c>
      <c r="E6" s="1014" t="s">
        <v>1462</v>
      </c>
      <c r="F6" s="1016" t="s">
        <v>1463</v>
      </c>
      <c r="G6" s="791" t="s">
        <v>1464</v>
      </c>
      <c r="H6" s="1016" t="s">
        <v>1465</v>
      </c>
      <c r="I6" s="792" t="s">
        <v>1466</v>
      </c>
    </row>
    <row r="7" spans="1:10">
      <c r="A7" s="1017"/>
      <c r="B7" s="1018" t="s">
        <v>1467</v>
      </c>
      <c r="C7" s="1018" t="s">
        <v>1468</v>
      </c>
      <c r="D7" s="1018" t="s">
        <v>1469</v>
      </c>
      <c r="E7" s="1018" t="s">
        <v>1470</v>
      </c>
      <c r="F7" s="1018" t="s">
        <v>1471</v>
      </c>
      <c r="G7" s="1018" t="s">
        <v>1472</v>
      </c>
      <c r="H7" s="1018" t="s">
        <v>1473</v>
      </c>
      <c r="I7" s="1018" t="s">
        <v>1474</v>
      </c>
    </row>
    <row r="8" spans="1:10">
      <c r="A8" s="1017"/>
      <c r="B8" s="1018"/>
      <c r="C8" s="1018"/>
      <c r="D8" s="1018"/>
      <c r="E8" s="1018"/>
      <c r="F8" s="1018"/>
      <c r="G8" s="1018"/>
      <c r="H8" s="1018"/>
      <c r="I8" s="1018"/>
      <c r="J8" s="201"/>
    </row>
    <row r="9" spans="1:10">
      <c r="A9" s="1019">
        <v>1</v>
      </c>
      <c r="B9" s="1020" t="s">
        <v>435</v>
      </c>
      <c r="C9" s="1021"/>
      <c r="D9" s="1022">
        <v>1.9422011817204616E-2</v>
      </c>
      <c r="E9" s="1023">
        <f>'WP_Installed Cost'!H9</f>
        <v>0</v>
      </c>
      <c r="F9" s="1023">
        <f>'WP_O&amp;M Cost'!M9</f>
        <v>0</v>
      </c>
      <c r="G9" s="1023">
        <f>E9*(WP_FCR!$F$28-WP_FCR!$F$8)</f>
        <v>0</v>
      </c>
      <c r="H9" s="1024">
        <f>D9*'WP_Reactive Cost'!G9</f>
        <v>0</v>
      </c>
      <c r="I9" s="1025">
        <f>(G9+F9-H9)*D9</f>
        <v>0</v>
      </c>
      <c r="J9" s="201"/>
    </row>
    <row r="10" spans="1:10">
      <c r="A10" s="1019">
        <f>+A9+1</f>
        <v>2</v>
      </c>
      <c r="B10" s="1020" t="s">
        <v>436</v>
      </c>
      <c r="C10" s="1021"/>
      <c r="D10" s="1022">
        <v>6.9186194616389793E-2</v>
      </c>
      <c r="E10" s="1023">
        <f>'WP_Installed Cost'!H10</f>
        <v>1482.6383999999998</v>
      </c>
      <c r="F10" s="1023">
        <f>'WP_O&amp;M Cost'!M10</f>
        <v>12.809056476616282</v>
      </c>
      <c r="G10" s="1023">
        <f>E10*(WP_FCR!$F$28-WP_FCR!$F$8)</f>
        <v>167.17886702826317</v>
      </c>
      <c r="H10" s="1024">
        <f>D10*'WP_Reactive Cost'!G10</f>
        <v>0.1748936432560072</v>
      </c>
      <c r="I10" s="1025">
        <f t="shared" ref="I10:I30" si="0">(G10+F10-H10)*D10</f>
        <v>12.44057927856899</v>
      </c>
      <c r="J10" s="201"/>
    </row>
    <row r="11" spans="1:10">
      <c r="A11" s="1019">
        <f t="shared" ref="A11:A48" si="1">+A10+1</f>
        <v>3</v>
      </c>
      <c r="B11" s="1020" t="s">
        <v>437</v>
      </c>
      <c r="C11" s="1021"/>
      <c r="D11" s="1022">
        <v>8.9887378325634232E-2</v>
      </c>
      <c r="E11" s="1023">
        <f>'WP_Installed Cost'!H11</f>
        <v>959.88279999999997</v>
      </c>
      <c r="F11" s="1023">
        <f>'WP_O&amp;M Cost'!M11</f>
        <v>33.707635973891811</v>
      </c>
      <c r="G11" s="1023">
        <f>E11*(WP_FCR!$F$28-WP_FCR!$F$8)</f>
        <v>108.23415809540407</v>
      </c>
      <c r="H11" s="1024">
        <f>D11*'WP_Reactive Cost'!G11</f>
        <v>0.22722352580983082</v>
      </c>
      <c r="I11" s="1025">
        <f t="shared" si="0"/>
        <v>12.738351216697113</v>
      </c>
      <c r="J11" s="201"/>
    </row>
    <row r="12" spans="1:10">
      <c r="A12" s="1019">
        <f t="shared" si="1"/>
        <v>4</v>
      </c>
      <c r="B12" s="1020" t="s">
        <v>438</v>
      </c>
      <c r="C12" s="1021"/>
      <c r="D12" s="1022">
        <v>0</v>
      </c>
      <c r="E12" s="1023">
        <f>'WP_Installed Cost'!H12</f>
        <v>1129.453</v>
      </c>
      <c r="F12" s="1023">
        <f>'WP_O&amp;M Cost'!M12</f>
        <v>2.120854077150621</v>
      </c>
      <c r="G12" s="1023">
        <f>E12*(WP_FCR!$F$28-WP_FCR!$F$8)</f>
        <v>127.35450053207373</v>
      </c>
      <c r="H12" s="1024">
        <f>D12*'WP_Reactive Cost'!G12</f>
        <v>0</v>
      </c>
      <c r="I12" s="1025">
        <f t="shared" si="0"/>
        <v>0</v>
      </c>
      <c r="J12" s="407"/>
    </row>
    <row r="13" spans="1:10">
      <c r="A13" s="1019">
        <f t="shared" si="1"/>
        <v>5</v>
      </c>
      <c r="B13" s="1020" t="s">
        <v>446</v>
      </c>
      <c r="C13" s="1021"/>
      <c r="D13" s="1022">
        <v>2.18230463392757E-2</v>
      </c>
      <c r="E13" s="1023">
        <f>'WP_Installed Cost'!H13</f>
        <v>725.93730000000005</v>
      </c>
      <c r="F13" s="1023">
        <f>'WP_O&amp;M Cost'!M13</f>
        <v>11.694485184877536</v>
      </c>
      <c r="G13" s="1023">
        <f>E13*(WP_FCR!$F$28-WP_FCR!$F$8)</f>
        <v>81.855006148199323</v>
      </c>
      <c r="H13" s="1024">
        <f>D13*'WP_Reactive Cost'!G13</f>
        <v>5.5165804426486574E-2</v>
      </c>
      <c r="I13" s="1025">
        <f t="shared" si="0"/>
        <v>2.0403309984710645</v>
      </c>
      <c r="J13" s="580"/>
    </row>
    <row r="14" spans="1:10">
      <c r="A14" s="1019">
        <f t="shared" si="1"/>
        <v>6</v>
      </c>
      <c r="B14" s="1020" t="s">
        <v>447</v>
      </c>
      <c r="C14" s="1021"/>
      <c r="D14" s="1022">
        <v>9.385203546493126E-2</v>
      </c>
      <c r="E14" s="1023">
        <f>'WP_Installed Cost'!H14</f>
        <v>1734.7127</v>
      </c>
      <c r="F14" s="1023">
        <f>'WP_O&amp;M Cost'!M14</f>
        <v>10.888191456717875</v>
      </c>
      <c r="G14" s="1023">
        <f>E14*(WP_FCR!$F$28-WP_FCR!$F$8)</f>
        <v>195.60218041401021</v>
      </c>
      <c r="H14" s="1024">
        <f>D14*'WP_Reactive Cost'!G14</f>
        <v>0.2372456600693777</v>
      </c>
      <c r="I14" s="1025">
        <f t="shared" si="0"/>
        <v>19.35727571587568</v>
      </c>
      <c r="J14" s="580"/>
    </row>
    <row r="15" spans="1:10">
      <c r="A15" s="1019">
        <f t="shared" si="1"/>
        <v>7</v>
      </c>
      <c r="B15" s="1020" t="s">
        <v>640</v>
      </c>
      <c r="C15" s="1021"/>
      <c r="D15" s="1022">
        <v>2.4675973510211301E-2</v>
      </c>
      <c r="E15" s="1023">
        <f>'WP_Installed Cost'!H15</f>
        <v>738.28089999999997</v>
      </c>
      <c r="F15" s="1023">
        <f>'WP_O&amp;M Cost'!M15</f>
        <v>8.1907062745358861</v>
      </c>
      <c r="G15" s="1023">
        <f>E15*(WP_FCR!$F$28-WP_FCR!$F$8)</f>
        <v>83.246841853419198</v>
      </c>
      <c r="H15" s="1024">
        <f>D15*'WP_Reactive Cost'!G15</f>
        <v>6.2377630855668165E-2</v>
      </c>
      <c r="I15" s="1025">
        <f t="shared" si="0"/>
        <v>2.2547712866774665</v>
      </c>
      <c r="J15" s="580"/>
    </row>
    <row r="16" spans="1:10">
      <c r="A16" s="1019">
        <f t="shared" si="1"/>
        <v>8</v>
      </c>
      <c r="B16" s="1020" t="s">
        <v>448</v>
      </c>
      <c r="C16" s="1021"/>
      <c r="D16" s="1022">
        <v>0</v>
      </c>
      <c r="E16" s="1023">
        <f>'WP_Installed Cost'!H16</f>
        <v>0</v>
      </c>
      <c r="F16" s="1023">
        <f>'WP_O&amp;M Cost'!M16</f>
        <v>0</v>
      </c>
      <c r="G16" s="1023">
        <f>E16*(WP_FCR!$F$28-WP_FCR!$F$8)</f>
        <v>0</v>
      </c>
      <c r="H16" s="1024">
        <f>D16*'WP_Reactive Cost'!G16</f>
        <v>0</v>
      </c>
      <c r="I16" s="1025">
        <f t="shared" si="0"/>
        <v>0</v>
      </c>
      <c r="J16" s="580"/>
    </row>
    <row r="17" spans="1:11">
      <c r="A17" s="1019">
        <f t="shared" si="1"/>
        <v>9</v>
      </c>
      <c r="B17" s="1020" t="s">
        <v>449</v>
      </c>
      <c r="C17" s="1021"/>
      <c r="D17" s="1022">
        <v>0</v>
      </c>
      <c r="E17" s="1023">
        <f>'WP_Installed Cost'!H17</f>
        <v>181.22290000000001</v>
      </c>
      <c r="F17" s="1023">
        <f>'WP_O&amp;M Cost'!M17</f>
        <v>1.8871235368157113</v>
      </c>
      <c r="G17" s="1023">
        <f>E17*(WP_FCR!$F$28-WP_FCR!$F$8)</f>
        <v>20.43427386042088</v>
      </c>
      <c r="H17" s="1024">
        <f>D17*'WP_Reactive Cost'!G17</f>
        <v>0</v>
      </c>
      <c r="I17" s="1025">
        <f t="shared" si="0"/>
        <v>0</v>
      </c>
      <c r="J17" s="580"/>
    </row>
    <row r="18" spans="1:11">
      <c r="A18" s="1019">
        <f t="shared" si="1"/>
        <v>10</v>
      </c>
      <c r="B18" s="1020" t="s">
        <v>450</v>
      </c>
      <c r="C18" s="1021"/>
      <c r="D18" s="1022">
        <v>2.8145517879541644E-3</v>
      </c>
      <c r="E18" s="1023">
        <f>'WP_Installed Cost'!H18</f>
        <v>136.6079</v>
      </c>
      <c r="F18" s="1023">
        <f>'WP_O&amp;M Cost'!M18</f>
        <v>0.519172024458322</v>
      </c>
      <c r="G18" s="1023">
        <f>E18*(WP_FCR!$F$28-WP_FCR!$F$8)</f>
        <v>15.40358994419022</v>
      </c>
      <c r="H18" s="1024">
        <f>D18*'WP_Reactive Cost'!G18</f>
        <v>7.1148184844871112E-3</v>
      </c>
      <c r="I18" s="1025">
        <f t="shared" si="0"/>
        <v>4.4795413142941845E-2</v>
      </c>
      <c r="J18" s="580"/>
    </row>
    <row r="19" spans="1:11">
      <c r="A19" s="1019">
        <f t="shared" si="1"/>
        <v>11</v>
      </c>
      <c r="B19" s="1020" t="s">
        <v>451</v>
      </c>
      <c r="C19" s="1021"/>
      <c r="D19" s="1022">
        <v>0</v>
      </c>
      <c r="E19" s="1023">
        <f>'WP_Installed Cost'!H19</f>
        <v>130.0265</v>
      </c>
      <c r="F19" s="1023">
        <f>'WP_O&amp;M Cost'!M19</f>
        <v>0.27259827804332193</v>
      </c>
      <c r="G19" s="1023">
        <f>E19*(WP_FCR!$F$28-WP_FCR!$F$8)</f>
        <v>14.661486545640841</v>
      </c>
      <c r="H19" s="1024">
        <f>D19*'WP_Reactive Cost'!G19</f>
        <v>0</v>
      </c>
      <c r="I19" s="1025">
        <f t="shared" si="0"/>
        <v>0</v>
      </c>
      <c r="J19" s="580"/>
    </row>
    <row r="20" spans="1:11">
      <c r="A20" s="1019">
        <f t="shared" si="1"/>
        <v>12</v>
      </c>
      <c r="B20" s="1020" t="s">
        <v>452</v>
      </c>
      <c r="C20" s="1021"/>
      <c r="D20" s="1022">
        <v>4.3510178738366057E-4</v>
      </c>
      <c r="E20" s="1023">
        <f>'WP_Installed Cost'!H20</f>
        <v>162.6302</v>
      </c>
      <c r="F20" s="1023">
        <f>'WP_O&amp;M Cost'!M20</f>
        <v>9.7334750864230628</v>
      </c>
      <c r="G20" s="1023">
        <f>E20*(WP_FCR!$F$28-WP_FCR!$F$8)</f>
        <v>18.337804133887161</v>
      </c>
      <c r="H20" s="1024">
        <f>D20*'WP_Reactive Cost'!G20</f>
        <v>1.0998803620383278E-3</v>
      </c>
      <c r="I20" s="1025">
        <f t="shared" si="0"/>
        <v>1.2213385202991358E-2</v>
      </c>
      <c r="J20" s="581"/>
    </row>
    <row r="21" spans="1:11">
      <c r="A21" s="1019">
        <f t="shared" si="1"/>
        <v>13</v>
      </c>
      <c r="B21" s="1020" t="s">
        <v>641</v>
      </c>
      <c r="C21" s="1021"/>
      <c r="D21" s="1022">
        <v>0.25455435582628561</v>
      </c>
      <c r="E21" s="1023">
        <f>'WP_Installed Cost'!H21</f>
        <v>498.30380000000002</v>
      </c>
      <c r="F21" s="1023">
        <f>'WP_O&amp;M Cost'!M21</f>
        <v>12.491753022955072</v>
      </c>
      <c r="G21" s="1023">
        <f>E21*(WP_FCR!$F$28-WP_FCR!$F$8)</f>
        <v>56.187580680412879</v>
      </c>
      <c r="H21" s="1024">
        <f>D21*'WP_Reactive Cost'!G21</f>
        <v>0.643480089402093</v>
      </c>
      <c r="I21" s="1025">
        <f t="shared" si="0"/>
        <v>17.318822889794543</v>
      </c>
      <c r="J21" s="580"/>
    </row>
    <row r="22" spans="1:11">
      <c r="A22" s="1019">
        <f t="shared" si="1"/>
        <v>14</v>
      </c>
      <c r="B22" s="1020" t="s">
        <v>747</v>
      </c>
      <c r="C22" s="1021"/>
      <c r="D22" s="1022">
        <v>2.0235353422834779E-2</v>
      </c>
      <c r="E22" s="1023">
        <f>'WP_Installed Cost'!H22</f>
        <v>590.58019999999999</v>
      </c>
      <c r="F22" s="1023">
        <f>'WP_O&amp;M Cost'!M22</f>
        <v>0.95340480429245678</v>
      </c>
      <c r="G22" s="1023">
        <f>E22*(WP_FCR!$F$28-WP_FCR!$F$8)</f>
        <v>66.592453510798777</v>
      </c>
      <c r="H22" s="1024">
        <f>D22*'WP_Reactive Cost'!G22</f>
        <v>5.1152324568724206E-2</v>
      </c>
      <c r="I22" s="1025">
        <f t="shared" si="0"/>
        <v>1.3657792298885469</v>
      </c>
      <c r="J22" s="581"/>
    </row>
    <row r="23" spans="1:11">
      <c r="A23" s="1019">
        <f t="shared" si="1"/>
        <v>15</v>
      </c>
      <c r="B23" s="1020" t="s">
        <v>1207</v>
      </c>
      <c r="C23" s="1021"/>
      <c r="D23" s="1022">
        <v>5.5326588929345062E-2</v>
      </c>
      <c r="E23" s="1023">
        <f>'WP_Installed Cost'!H23</f>
        <v>549.0521</v>
      </c>
      <c r="F23" s="1023">
        <f>'WP_O&amp;M Cost'!M23</f>
        <v>1.6785911573783252</v>
      </c>
      <c r="G23" s="1023">
        <f>E23*(WP_FCR!$F$28-WP_FCR!$F$8)</f>
        <v>61.9098412785536</v>
      </c>
      <c r="H23" s="1024">
        <f>D23*'WP_Reactive Cost'!G23</f>
        <v>0.1398583743538972</v>
      </c>
      <c r="I23" s="1025">
        <f t="shared" si="0"/>
        <v>3.5103931752580331</v>
      </c>
      <c r="J23" s="580"/>
    </row>
    <row r="24" spans="1:11">
      <c r="A24" s="1019">
        <f t="shared" si="1"/>
        <v>16</v>
      </c>
      <c r="B24" s="1020" t="s">
        <v>748</v>
      </c>
      <c r="C24" s="1021"/>
      <c r="D24" s="1022">
        <v>0.23438757676303401</v>
      </c>
      <c r="E24" s="1023">
        <f>'WP_Installed Cost'!H24</f>
        <v>589.06669999999997</v>
      </c>
      <c r="F24" s="1023">
        <f>'WP_O&amp;M Cost'!M24</f>
        <v>11.259787728622243</v>
      </c>
      <c r="G24" s="1023">
        <f>E24*(WP_FCR!$F$28-WP_FCR!$F$8)</f>
        <v>66.421794761337495</v>
      </c>
      <c r="H24" s="1024">
        <f>D24*'WP_Reactive Cost'!G24</f>
        <v>0</v>
      </c>
      <c r="I24" s="1025">
        <f t="shared" si="0"/>
        <v>18.207597878939396</v>
      </c>
      <c r="J24" s="581"/>
    </row>
    <row r="25" spans="1:11">
      <c r="A25" s="1019">
        <f t="shared" si="1"/>
        <v>17</v>
      </c>
      <c r="B25" s="1020" t="s">
        <v>453</v>
      </c>
      <c r="C25" s="1021"/>
      <c r="D25" s="1022">
        <v>6.1449371036212244E-2</v>
      </c>
      <c r="E25" s="1023">
        <f>'WP_Installed Cost'!H25</f>
        <v>202.75559999999999</v>
      </c>
      <c r="F25" s="1023">
        <f>'WP_O&amp;M Cost'!M25</f>
        <v>16.485339985677339</v>
      </c>
      <c r="G25" s="1023">
        <f>E25*(WP_FCR!$F$28-WP_FCR!$F$8)</f>
        <v>22.862251167672252</v>
      </c>
      <c r="H25" s="1024">
        <f>D25*'WP_Reactive Cost'!G25</f>
        <v>0.15533596602475086</v>
      </c>
      <c r="I25" s="1025">
        <f t="shared" si="0"/>
        <v>2.408339430751838</v>
      </c>
      <c r="J25" s="580"/>
    </row>
    <row r="26" spans="1:11">
      <c r="A26" s="1019">
        <f t="shared" si="1"/>
        <v>18</v>
      </c>
      <c r="B26" s="1020" t="s">
        <v>1476</v>
      </c>
      <c r="C26" s="1021"/>
      <c r="D26" s="1022">
        <v>2.6626381199948094E-3</v>
      </c>
      <c r="E26" s="1023">
        <f>'WP_Installed Cost'!H26</f>
        <v>0</v>
      </c>
      <c r="F26" s="1023">
        <f>'WP_O&amp;M Cost'!M26</f>
        <v>0</v>
      </c>
      <c r="G26" s="1023">
        <f>E26*(WP_FCR!$F$28-WP_FCR!$F$8)</f>
        <v>0</v>
      </c>
      <c r="H26" s="1024">
        <f>D26*'WP_Reactive Cost'!G26</f>
        <v>6.7308006179588528E-3</v>
      </c>
      <c r="I26" s="1025">
        <f t="shared" si="0"/>
        <v>-1.7921686303461862E-5</v>
      </c>
      <c r="J26" s="581"/>
      <c r="K26" s="464"/>
    </row>
    <row r="27" spans="1:11">
      <c r="A27" s="1019">
        <f t="shared" si="1"/>
        <v>19</v>
      </c>
      <c r="B27" s="1020" t="s">
        <v>1477</v>
      </c>
      <c r="C27" s="1021"/>
      <c r="D27" s="1022">
        <v>4.3055424919065007E-3</v>
      </c>
      <c r="E27" s="1023">
        <f>'WP_Installed Cost'!H27</f>
        <v>118.2500383729854</v>
      </c>
      <c r="F27" s="1023">
        <f>'WP_O&amp;M Cost'!M27</f>
        <v>0</v>
      </c>
      <c r="G27" s="1023">
        <f>E27*(WP_FCR!$F$28-WP_FCR!$F$8)</f>
        <v>13.333600047890535</v>
      </c>
      <c r="H27" s="1024">
        <f>D27*'WP_Reactive Cost'!G27</f>
        <v>0</v>
      </c>
      <c r="I27" s="1025">
        <f t="shared" si="0"/>
        <v>5.7408381576279248E-2</v>
      </c>
      <c r="J27" s="580"/>
    </row>
    <row r="28" spans="1:11">
      <c r="A28" s="1019">
        <f t="shared" si="1"/>
        <v>20</v>
      </c>
      <c r="B28" s="1020" t="s">
        <v>1478</v>
      </c>
      <c r="C28" s="1021"/>
      <c r="D28" s="1022">
        <v>1.9299561370090697E-2</v>
      </c>
      <c r="E28" s="1023">
        <f>'WP_Installed Cost'!H28</f>
        <v>64.317027343749999</v>
      </c>
      <c r="F28" s="1023">
        <f>'WP_O&amp;M Cost'!M28</f>
        <v>0</v>
      </c>
      <c r="G28" s="1023">
        <f>E28*(WP_FCR!$F$28-WP_FCR!$F$8)</f>
        <v>7.2522388209788362</v>
      </c>
      <c r="H28" s="1024">
        <f>D28*'WP_Reactive Cost'!G28</f>
        <v>0</v>
      </c>
      <c r="I28" s="1025">
        <f t="shared" si="0"/>
        <v>0.13996502819603526</v>
      </c>
      <c r="J28" s="581"/>
    </row>
    <row r="29" spans="1:11">
      <c r="A29" s="1019">
        <f t="shared" si="1"/>
        <v>21</v>
      </c>
      <c r="B29" s="1020" t="s">
        <v>1479</v>
      </c>
      <c r="C29" s="1021"/>
      <c r="D29" s="1022">
        <v>1.4207891458907339E-2</v>
      </c>
      <c r="E29" s="1023">
        <f>'WP_Installed Cost'!H29</f>
        <v>101.64932888888889</v>
      </c>
      <c r="F29" s="1023">
        <f>'WP_O&amp;M Cost'!M29</f>
        <v>0</v>
      </c>
      <c r="G29" s="1023">
        <f>E29*(WP_FCR!$F$28-WP_FCR!$F$8)</f>
        <v>11.461742551540381</v>
      </c>
      <c r="H29" s="1024">
        <f>D29*'WP_Reactive Cost'!G29</f>
        <v>0</v>
      </c>
      <c r="I29" s="1025">
        <f t="shared" si="0"/>
        <v>0.1628471941022254</v>
      </c>
      <c r="J29" s="580"/>
    </row>
    <row r="30" spans="1:11">
      <c r="A30" s="1019">
        <f t="shared" si="1"/>
        <v>22</v>
      </c>
      <c r="B30" s="1020" t="s">
        <v>1480</v>
      </c>
      <c r="C30" s="1021"/>
      <c r="D30" s="1022">
        <v>1.1744949830287578E-2</v>
      </c>
      <c r="E30" s="1023">
        <f>'WP_Installed Cost'!H30</f>
        <v>75.181598566308239</v>
      </c>
      <c r="F30" s="1023">
        <f>'WP_O&amp;M Cost'!M30</f>
        <v>0</v>
      </c>
      <c r="G30" s="1023">
        <f>E30*(WP_FCR!$F$28-WP_FCR!$F$8)</f>
        <v>8.4773026718376556</v>
      </c>
      <c r="H30" s="1024">
        <f>D30*'WP_Reactive Cost'!G30</f>
        <v>0</v>
      </c>
      <c r="I30" s="1025">
        <f t="shared" si="0"/>
        <v>9.9565494576896105E-2</v>
      </c>
      <c r="J30" s="581"/>
    </row>
    <row r="31" spans="1:11">
      <c r="A31" s="1019">
        <f t="shared" si="1"/>
        <v>23</v>
      </c>
      <c r="B31" s="1012"/>
      <c r="C31" s="1012"/>
      <c r="D31" s="1012"/>
      <c r="E31" s="1012"/>
      <c r="F31" s="1023"/>
      <c r="G31" s="793"/>
      <c r="H31" s="1012"/>
      <c r="I31" s="1012"/>
      <c r="J31" s="580"/>
    </row>
    <row r="32" spans="1:11">
      <c r="A32" s="1019">
        <f t="shared" si="1"/>
        <v>24</v>
      </c>
      <c r="B32" s="1012"/>
      <c r="C32" s="1012"/>
      <c r="D32" s="1012"/>
      <c r="E32" s="1012"/>
      <c r="F32" s="1023"/>
      <c r="G32" s="1012"/>
      <c r="H32" s="1012"/>
      <c r="I32" s="1012"/>
      <c r="J32" s="581"/>
    </row>
    <row r="33" spans="1:11">
      <c r="A33" s="1019">
        <f t="shared" si="1"/>
        <v>25</v>
      </c>
      <c r="B33" s="1012"/>
      <c r="C33" s="1012"/>
      <c r="D33" s="1022">
        <v>1</v>
      </c>
      <c r="E33" s="1012"/>
      <c r="F33" s="1023"/>
      <c r="G33" s="1011"/>
      <c r="H33" s="1026" t="s">
        <v>1481</v>
      </c>
      <c r="I33" s="1027">
        <f>ROUND(SUM(I9:I30),3)</f>
        <v>92.159000000000006</v>
      </c>
      <c r="J33" s="580"/>
    </row>
    <row r="34" spans="1:11">
      <c r="A34" s="1019">
        <f t="shared" si="1"/>
        <v>26</v>
      </c>
      <c r="B34" s="1012"/>
      <c r="C34" s="1012"/>
      <c r="D34" s="1012"/>
      <c r="E34" s="1012"/>
      <c r="F34" s="1012"/>
      <c r="G34" s="1011"/>
      <c r="H34" s="1028" t="s">
        <v>1482</v>
      </c>
      <c r="I34" s="1029">
        <v>0</v>
      </c>
      <c r="J34" s="581"/>
    </row>
    <row r="35" spans="1:11">
      <c r="A35" s="1019">
        <f t="shared" si="1"/>
        <v>27</v>
      </c>
      <c r="B35" s="1012"/>
      <c r="C35" s="1012"/>
      <c r="D35" s="1012"/>
      <c r="E35" s="1012"/>
      <c r="F35" s="1012"/>
      <c r="G35" s="1011"/>
      <c r="H35" s="1030" t="s">
        <v>1483</v>
      </c>
      <c r="I35" s="794">
        <f>+I33*1000+4</f>
        <v>92163</v>
      </c>
      <c r="J35" s="580"/>
    </row>
    <row r="36" spans="1:11">
      <c r="A36" s="1019">
        <f t="shared" si="1"/>
        <v>28</v>
      </c>
      <c r="B36" s="1012"/>
      <c r="C36" s="1031" t="s">
        <v>1484</v>
      </c>
      <c r="D36" s="1012"/>
      <c r="E36" s="1031" t="s">
        <v>1457</v>
      </c>
      <c r="F36" s="1012"/>
      <c r="G36" s="1031" t="s">
        <v>1458</v>
      </c>
      <c r="H36" s="1012"/>
      <c r="I36" s="1012"/>
      <c r="J36" s="581"/>
    </row>
    <row r="37" spans="1:11">
      <c r="A37" s="1019">
        <f t="shared" si="1"/>
        <v>29</v>
      </c>
      <c r="B37" s="1012" t="s">
        <v>1485</v>
      </c>
      <c r="C37" s="1012">
        <v>79.88</v>
      </c>
      <c r="D37" s="1012"/>
      <c r="E37" s="1012">
        <v>19.170000000000002</v>
      </c>
      <c r="F37" s="1012"/>
      <c r="G37" s="1012">
        <v>46.57</v>
      </c>
      <c r="H37" s="1012"/>
      <c r="I37" s="1012"/>
      <c r="J37" s="580"/>
    </row>
    <row r="38" spans="1:11">
      <c r="A38" s="1019">
        <f t="shared" si="1"/>
        <v>30</v>
      </c>
      <c r="B38" s="1012" t="s">
        <v>1579</v>
      </c>
      <c r="C38" s="1032">
        <v>6268.083333333333</v>
      </c>
      <c r="D38" s="1012"/>
      <c r="E38" s="1032">
        <f>6361.8+1521.5</f>
        <v>7883.3</v>
      </c>
      <c r="F38" s="1032"/>
      <c r="G38" s="1032">
        <v>2251</v>
      </c>
      <c r="H38" s="1012"/>
      <c r="I38" s="1012"/>
      <c r="J38" s="581"/>
      <c r="K38" s="78"/>
    </row>
    <row r="39" spans="1:11">
      <c r="A39" s="1019">
        <f t="shared" si="1"/>
        <v>31</v>
      </c>
      <c r="B39" s="1012" t="s">
        <v>1486</v>
      </c>
      <c r="C39" s="1033">
        <f>+C37/C38</f>
        <v>1.274392756956539E-2</v>
      </c>
      <c r="D39" s="1033"/>
      <c r="E39" s="1033">
        <f>+E37/E38</f>
        <v>2.4317227556987556E-3</v>
      </c>
      <c r="F39" s="1033"/>
      <c r="G39" s="1033">
        <f>+G37/G38</f>
        <v>2.0688582852065748E-2</v>
      </c>
      <c r="H39" s="1012"/>
      <c r="I39" s="1012"/>
      <c r="J39" s="580"/>
    </row>
    <row r="40" spans="1:11">
      <c r="A40" s="1019">
        <f t="shared" si="1"/>
        <v>32</v>
      </c>
      <c r="B40" s="1012" t="s">
        <v>1487</v>
      </c>
      <c r="C40" s="1034">
        <f>I33</f>
        <v>92.159000000000006</v>
      </c>
      <c r="D40" s="1012"/>
      <c r="E40" s="1034">
        <f>I33</f>
        <v>92.159000000000006</v>
      </c>
      <c r="F40" s="1012"/>
      <c r="G40" s="1034">
        <f>I33</f>
        <v>92.159000000000006</v>
      </c>
      <c r="H40" s="1012"/>
      <c r="I40" s="1012"/>
      <c r="J40" s="580"/>
    </row>
    <row r="41" spans="1:11">
      <c r="A41" s="1019">
        <f t="shared" si="1"/>
        <v>33</v>
      </c>
      <c r="B41" s="1012" t="s">
        <v>1488</v>
      </c>
      <c r="C41" s="1035">
        <f>+C40/12</f>
        <v>7.6799166666666672</v>
      </c>
      <c r="D41" s="1012"/>
      <c r="E41" s="1035">
        <f>+E40/12</f>
        <v>7.6799166666666672</v>
      </c>
      <c r="F41" s="1012"/>
      <c r="G41" s="1035">
        <f>+G40/12</f>
        <v>7.6799166666666672</v>
      </c>
      <c r="H41" s="1012"/>
      <c r="I41" s="1012"/>
      <c r="J41" s="580"/>
    </row>
    <row r="42" spans="1:11">
      <c r="A42" s="1019">
        <f t="shared" si="1"/>
        <v>34</v>
      </c>
      <c r="B42" s="1012" t="s">
        <v>1489</v>
      </c>
      <c r="C42" s="1035">
        <f>+C40/52</f>
        <v>1.7722884615384618</v>
      </c>
      <c r="D42" s="1012"/>
      <c r="E42" s="1035">
        <f>+E40/52</f>
        <v>1.7722884615384618</v>
      </c>
      <c r="F42" s="1012"/>
      <c r="G42" s="1035">
        <f>+G40/52</f>
        <v>1.7722884615384618</v>
      </c>
      <c r="H42" s="1012"/>
      <c r="I42" s="1012"/>
      <c r="J42" s="580"/>
    </row>
    <row r="43" spans="1:11">
      <c r="A43" s="1019">
        <f t="shared" si="1"/>
        <v>35</v>
      </c>
      <c r="B43" s="1012" t="s">
        <v>1490</v>
      </c>
      <c r="C43" s="1035">
        <f>+C42/6*1000</f>
        <v>295.38141025641028</v>
      </c>
      <c r="D43" s="1012"/>
      <c r="E43" s="1035">
        <f>+E42/6*1000</f>
        <v>295.38141025641028</v>
      </c>
      <c r="F43" s="1012"/>
      <c r="G43" s="1035">
        <f>+G42/6*1000</f>
        <v>295.38141025641028</v>
      </c>
      <c r="H43" s="1012"/>
      <c r="I43" s="1012"/>
      <c r="J43" s="580"/>
    </row>
    <row r="44" spans="1:11">
      <c r="A44" s="1019">
        <f t="shared" si="1"/>
        <v>36</v>
      </c>
      <c r="B44" s="1012" t="s">
        <v>1491</v>
      </c>
      <c r="C44" s="1035">
        <f>+C42/7*1000</f>
        <v>253.18406593406596</v>
      </c>
      <c r="D44" s="1012"/>
      <c r="E44" s="1035">
        <f>+E42/7*1000</f>
        <v>253.18406593406596</v>
      </c>
      <c r="F44" s="1012"/>
      <c r="G44" s="1035">
        <f>+G42/7*1000</f>
        <v>253.18406593406596</v>
      </c>
      <c r="H44" s="1012"/>
      <c r="I44" s="1012"/>
      <c r="J44" s="580"/>
    </row>
    <row r="45" spans="1:11">
      <c r="A45" s="1019">
        <f t="shared" si="1"/>
        <v>37</v>
      </c>
      <c r="B45" s="1012" t="s">
        <v>1492</v>
      </c>
      <c r="C45" s="1035">
        <f>+C43/16</f>
        <v>18.461338141025642</v>
      </c>
      <c r="D45" s="1012"/>
      <c r="E45" s="1035">
        <f>+E43/16</f>
        <v>18.461338141025642</v>
      </c>
      <c r="F45" s="1012"/>
      <c r="G45" s="1035">
        <f>+G43/16</f>
        <v>18.461338141025642</v>
      </c>
      <c r="H45" s="1012"/>
      <c r="I45" s="1012"/>
      <c r="J45" s="580"/>
    </row>
    <row r="46" spans="1:11">
      <c r="A46" s="1019">
        <f t="shared" si="1"/>
        <v>38</v>
      </c>
      <c r="B46" s="1012" t="s">
        <v>1493</v>
      </c>
      <c r="C46" s="1035">
        <f>+C44/24</f>
        <v>10.549336080586082</v>
      </c>
      <c r="D46" s="1012"/>
      <c r="E46" s="1035">
        <f>+E44/24</f>
        <v>10.549336080586082</v>
      </c>
      <c r="F46" s="1012"/>
      <c r="G46" s="1035">
        <f>+G44/24</f>
        <v>10.549336080586082</v>
      </c>
      <c r="H46" s="1012"/>
      <c r="I46" s="1012"/>
      <c r="J46" s="581"/>
    </row>
    <row r="47" spans="1:11">
      <c r="A47" s="1019">
        <f t="shared" si="1"/>
        <v>39</v>
      </c>
      <c r="B47" s="1012" t="s">
        <v>1494</v>
      </c>
      <c r="C47" s="1035">
        <f>+C41</f>
        <v>7.6799166666666672</v>
      </c>
      <c r="D47" s="1012"/>
      <c r="E47" s="1035">
        <f>+E41</f>
        <v>7.6799166666666672</v>
      </c>
      <c r="F47" s="1012"/>
      <c r="G47" s="1035">
        <f>+G41</f>
        <v>7.6799166666666672</v>
      </c>
      <c r="H47" s="1012"/>
      <c r="I47" s="1012"/>
      <c r="J47" s="580"/>
    </row>
    <row r="48" spans="1:11">
      <c r="A48" s="1019">
        <f t="shared" si="1"/>
        <v>40</v>
      </c>
      <c r="B48" s="1012" t="s">
        <v>1495</v>
      </c>
      <c r="C48" s="1035">
        <f>+C41</f>
        <v>7.6799166666666672</v>
      </c>
      <c r="D48" s="1012"/>
      <c r="E48" s="1035">
        <f>+E41</f>
        <v>7.6799166666666672</v>
      </c>
      <c r="F48" s="1012"/>
      <c r="G48" s="1035">
        <f>+G41</f>
        <v>7.6799166666666672</v>
      </c>
      <c r="H48" s="1012"/>
      <c r="I48" s="1012"/>
      <c r="J48" s="578"/>
    </row>
    <row r="49" spans="1:10">
      <c r="A49" s="1019"/>
      <c r="B49" s="1011"/>
      <c r="C49" s="1011"/>
      <c r="D49" s="1011"/>
      <c r="E49" s="1011"/>
      <c r="F49" s="1011"/>
      <c r="G49" s="1011"/>
      <c r="H49" s="1012"/>
      <c r="I49" s="1012"/>
      <c r="J49" s="579"/>
    </row>
    <row r="50" spans="1:10">
      <c r="A50" s="1012"/>
      <c r="B50" s="1012"/>
      <c r="C50" s="1012"/>
      <c r="D50" s="1012"/>
      <c r="E50" s="1012"/>
      <c r="F50" s="1012"/>
      <c r="G50" s="1012"/>
      <c r="H50" s="1012"/>
      <c r="I50" s="1012"/>
      <c r="J50" s="407"/>
    </row>
    <row r="51" spans="1:10">
      <c r="A51" s="1012"/>
      <c r="B51" s="1012" t="s">
        <v>876</v>
      </c>
      <c r="C51" s="1012"/>
      <c r="D51" s="1012"/>
      <c r="E51" s="1012"/>
      <c r="F51" s="1012"/>
      <c r="G51" s="1012"/>
      <c r="H51" s="1012"/>
      <c r="I51" s="1012"/>
    </row>
    <row r="52" spans="1:10">
      <c r="A52" s="1012"/>
      <c r="B52" s="1036" t="s">
        <v>1496</v>
      </c>
      <c r="C52" s="1012"/>
      <c r="D52" s="1012"/>
      <c r="E52" s="1012"/>
      <c r="F52" s="1012"/>
      <c r="G52" s="1012"/>
      <c r="H52" s="1012"/>
      <c r="I52" s="1012"/>
    </row>
    <row r="53" spans="1:10">
      <c r="A53" s="1012"/>
      <c r="B53" s="1037" t="s">
        <v>1497</v>
      </c>
      <c r="C53" s="1012"/>
      <c r="D53" s="1012"/>
      <c r="E53" s="1012"/>
      <c r="F53" s="1012"/>
      <c r="G53" s="1012"/>
      <c r="H53" s="1012"/>
      <c r="I53" s="1012"/>
    </row>
    <row r="54" spans="1:10">
      <c r="A54" s="1012"/>
      <c r="B54" s="1038" t="s">
        <v>1498</v>
      </c>
      <c r="C54" s="1012"/>
      <c r="D54" s="1012"/>
      <c r="E54" s="1012"/>
      <c r="F54" s="1012"/>
      <c r="G54" s="1012"/>
      <c r="H54" s="1012"/>
      <c r="I54" s="1012"/>
      <c r="J54" s="404"/>
    </row>
    <row r="55" spans="1:10">
      <c r="A55" s="1012"/>
      <c r="B55" s="1038" t="s">
        <v>1499</v>
      </c>
      <c r="C55" s="1012"/>
      <c r="D55" s="1012"/>
      <c r="E55" s="1012"/>
      <c r="F55" s="1012"/>
      <c r="G55" s="1012"/>
      <c r="H55" s="1012"/>
      <c r="I55" s="1012"/>
    </row>
    <row r="56" spans="1:10">
      <c r="A56" s="1012"/>
      <c r="B56" s="1038" t="s">
        <v>1500</v>
      </c>
      <c r="C56" s="1012"/>
      <c r="D56" s="1012"/>
      <c r="E56" s="1012"/>
      <c r="F56" s="1012"/>
      <c r="G56" s="1012"/>
      <c r="H56" s="1012"/>
      <c r="I56" s="1012"/>
    </row>
    <row r="57" spans="1:10">
      <c r="C57"/>
    </row>
    <row r="58" spans="1:10">
      <c r="C58"/>
    </row>
    <row r="59" spans="1:10">
      <c r="C59"/>
    </row>
    <row r="60" spans="1:10">
      <c r="C60"/>
    </row>
  </sheetData>
  <phoneticPr fontId="2" type="noConversion"/>
  <printOptions horizontalCentered="1"/>
  <pageMargins left="0.75" right="0.75" top="1" bottom="1" header="0.5" footer="0.5"/>
  <pageSetup scale="62" orientation="landscape" r:id="rId1"/>
  <headerFooter alignWithMargins="0">
    <oddHeader>&amp;RPage &amp;P of &amp;N</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pageSetUpPr fitToPage="1"/>
  </sheetPr>
  <dimension ref="A1:Q627"/>
  <sheetViews>
    <sheetView topLeftCell="A28" workbookViewId="0">
      <selection activeCell="O65" sqref="O65"/>
    </sheetView>
  </sheetViews>
  <sheetFormatPr defaultRowHeight="12.75"/>
  <cols>
    <col min="2" max="2" width="18.5703125" customWidth="1"/>
    <col min="3" max="3" width="3.5703125" customWidth="1"/>
    <col min="4" max="4" width="16.28515625" bestFit="1" customWidth="1"/>
    <col min="5" max="5" width="3.5703125" customWidth="1"/>
    <col min="6" max="6" width="16.85546875" customWidth="1"/>
    <col min="7" max="7" width="3.5703125" customWidth="1"/>
    <col min="8" max="8" width="13.28515625" bestFit="1" customWidth="1"/>
    <col min="9" max="9" width="3.5703125" customWidth="1"/>
    <col min="10" max="10" width="17" bestFit="1" customWidth="1"/>
    <col min="11" max="11" width="3.5703125" customWidth="1"/>
    <col min="12" max="12" width="15.85546875" customWidth="1"/>
    <col min="13" max="13" width="18.5703125" bestFit="1" customWidth="1"/>
    <col min="14" max="14" width="19.5703125" customWidth="1"/>
    <col min="15" max="15" width="18.5703125" customWidth="1"/>
    <col min="16" max="16" width="15.7109375" customWidth="1"/>
    <col min="17" max="17" width="22" customWidth="1"/>
    <col min="258" max="258" width="18.5703125" customWidth="1"/>
    <col min="259" max="259" width="3.5703125" customWidth="1"/>
    <col min="260" max="260" width="15.28515625" bestFit="1" customWidth="1"/>
    <col min="261" max="261" width="3.5703125" customWidth="1"/>
    <col min="262" max="262" width="16.85546875" customWidth="1"/>
    <col min="263" max="263" width="3.5703125" customWidth="1"/>
    <col min="264" max="264" width="13.28515625" bestFit="1" customWidth="1"/>
    <col min="265" max="265" width="3.5703125" customWidth="1"/>
    <col min="266" max="266" width="17" bestFit="1" customWidth="1"/>
    <col min="267" max="267" width="3.5703125" customWidth="1"/>
    <col min="268" max="268" width="15.85546875" customWidth="1"/>
    <col min="269" max="269" width="18.5703125" bestFit="1" customWidth="1"/>
    <col min="270" max="270" width="19.5703125" customWidth="1"/>
    <col min="271" max="271" width="18.5703125" customWidth="1"/>
    <col min="272" max="272" width="15.7109375" customWidth="1"/>
    <col min="273" max="273" width="22" customWidth="1"/>
    <col min="514" max="514" width="18.5703125" customWidth="1"/>
    <col min="515" max="515" width="3.5703125" customWidth="1"/>
    <col min="516" max="516" width="15.28515625" bestFit="1" customWidth="1"/>
    <col min="517" max="517" width="3.5703125" customWidth="1"/>
    <col min="518" max="518" width="16.85546875" customWidth="1"/>
    <col min="519" max="519" width="3.5703125" customWidth="1"/>
    <col min="520" max="520" width="13.28515625" bestFit="1" customWidth="1"/>
    <col min="521" max="521" width="3.5703125" customWidth="1"/>
    <col min="522" max="522" width="17" bestFit="1" customWidth="1"/>
    <col min="523" max="523" width="3.5703125" customWidth="1"/>
    <col min="524" max="524" width="15.85546875" customWidth="1"/>
    <col min="525" max="525" width="18.5703125" bestFit="1" customWidth="1"/>
    <col min="526" max="526" width="19.5703125" customWidth="1"/>
    <col min="527" max="527" width="18.5703125" customWidth="1"/>
    <col min="528" max="528" width="15.7109375" customWidth="1"/>
    <col min="529" max="529" width="22" customWidth="1"/>
    <col min="770" max="770" width="18.5703125" customWidth="1"/>
    <col min="771" max="771" width="3.5703125" customWidth="1"/>
    <col min="772" max="772" width="15.28515625" bestFit="1" customWidth="1"/>
    <col min="773" max="773" width="3.5703125" customWidth="1"/>
    <col min="774" max="774" width="16.85546875" customWidth="1"/>
    <col min="775" max="775" width="3.5703125" customWidth="1"/>
    <col min="776" max="776" width="13.28515625" bestFit="1" customWidth="1"/>
    <col min="777" max="777" width="3.5703125" customWidth="1"/>
    <col min="778" max="778" width="17" bestFit="1" customWidth="1"/>
    <col min="779" max="779" width="3.5703125" customWidth="1"/>
    <col min="780" max="780" width="15.85546875" customWidth="1"/>
    <col min="781" max="781" width="18.5703125" bestFit="1" customWidth="1"/>
    <col min="782" max="782" width="19.5703125" customWidth="1"/>
    <col min="783" max="783" width="18.5703125" customWidth="1"/>
    <col min="784" max="784" width="15.7109375" customWidth="1"/>
    <col min="785" max="785" width="22" customWidth="1"/>
    <col min="1026" max="1026" width="18.5703125" customWidth="1"/>
    <col min="1027" max="1027" width="3.5703125" customWidth="1"/>
    <col min="1028" max="1028" width="15.28515625" bestFit="1" customWidth="1"/>
    <col min="1029" max="1029" width="3.5703125" customWidth="1"/>
    <col min="1030" max="1030" width="16.85546875" customWidth="1"/>
    <col min="1031" max="1031" width="3.5703125" customWidth="1"/>
    <col min="1032" max="1032" width="13.28515625" bestFit="1" customWidth="1"/>
    <col min="1033" max="1033" width="3.5703125" customWidth="1"/>
    <col min="1034" max="1034" width="17" bestFit="1" customWidth="1"/>
    <col min="1035" max="1035" width="3.5703125" customWidth="1"/>
    <col min="1036" max="1036" width="15.85546875" customWidth="1"/>
    <col min="1037" max="1037" width="18.5703125" bestFit="1" customWidth="1"/>
    <col min="1038" max="1038" width="19.5703125" customWidth="1"/>
    <col min="1039" max="1039" width="18.5703125" customWidth="1"/>
    <col min="1040" max="1040" width="15.7109375" customWidth="1"/>
    <col min="1041" max="1041" width="22" customWidth="1"/>
    <col min="1282" max="1282" width="18.5703125" customWidth="1"/>
    <col min="1283" max="1283" width="3.5703125" customWidth="1"/>
    <col min="1284" max="1284" width="15.28515625" bestFit="1" customWidth="1"/>
    <col min="1285" max="1285" width="3.5703125" customWidth="1"/>
    <col min="1286" max="1286" width="16.85546875" customWidth="1"/>
    <col min="1287" max="1287" width="3.5703125" customWidth="1"/>
    <col min="1288" max="1288" width="13.28515625" bestFit="1" customWidth="1"/>
    <col min="1289" max="1289" width="3.5703125" customWidth="1"/>
    <col min="1290" max="1290" width="17" bestFit="1" customWidth="1"/>
    <col min="1291" max="1291" width="3.5703125" customWidth="1"/>
    <col min="1292" max="1292" width="15.85546875" customWidth="1"/>
    <col min="1293" max="1293" width="18.5703125" bestFit="1" customWidth="1"/>
    <col min="1294" max="1294" width="19.5703125" customWidth="1"/>
    <col min="1295" max="1295" width="18.5703125" customWidth="1"/>
    <col min="1296" max="1296" width="15.7109375" customWidth="1"/>
    <col min="1297" max="1297" width="22" customWidth="1"/>
    <col min="1538" max="1538" width="18.5703125" customWidth="1"/>
    <col min="1539" max="1539" width="3.5703125" customWidth="1"/>
    <col min="1540" max="1540" width="15.28515625" bestFit="1" customWidth="1"/>
    <col min="1541" max="1541" width="3.5703125" customWidth="1"/>
    <col min="1542" max="1542" width="16.85546875" customWidth="1"/>
    <col min="1543" max="1543" width="3.5703125" customWidth="1"/>
    <col min="1544" max="1544" width="13.28515625" bestFit="1" customWidth="1"/>
    <col min="1545" max="1545" width="3.5703125" customWidth="1"/>
    <col min="1546" max="1546" width="17" bestFit="1" customWidth="1"/>
    <col min="1547" max="1547" width="3.5703125" customWidth="1"/>
    <col min="1548" max="1548" width="15.85546875" customWidth="1"/>
    <col min="1549" max="1549" width="18.5703125" bestFit="1" customWidth="1"/>
    <col min="1550" max="1550" width="19.5703125" customWidth="1"/>
    <col min="1551" max="1551" width="18.5703125" customWidth="1"/>
    <col min="1552" max="1552" width="15.7109375" customWidth="1"/>
    <col min="1553" max="1553" width="22" customWidth="1"/>
    <col min="1794" max="1794" width="18.5703125" customWidth="1"/>
    <col min="1795" max="1795" width="3.5703125" customWidth="1"/>
    <col min="1796" max="1796" width="15.28515625" bestFit="1" customWidth="1"/>
    <col min="1797" max="1797" width="3.5703125" customWidth="1"/>
    <col min="1798" max="1798" width="16.85546875" customWidth="1"/>
    <col min="1799" max="1799" width="3.5703125" customWidth="1"/>
    <col min="1800" max="1800" width="13.28515625" bestFit="1" customWidth="1"/>
    <col min="1801" max="1801" width="3.5703125" customWidth="1"/>
    <col min="1802" max="1802" width="17" bestFit="1" customWidth="1"/>
    <col min="1803" max="1803" width="3.5703125" customWidth="1"/>
    <col min="1804" max="1804" width="15.85546875" customWidth="1"/>
    <col min="1805" max="1805" width="18.5703125" bestFit="1" customWidth="1"/>
    <col min="1806" max="1806" width="19.5703125" customWidth="1"/>
    <col min="1807" max="1807" width="18.5703125" customWidth="1"/>
    <col min="1808" max="1808" width="15.7109375" customWidth="1"/>
    <col min="1809" max="1809" width="22" customWidth="1"/>
    <col min="2050" max="2050" width="18.5703125" customWidth="1"/>
    <col min="2051" max="2051" width="3.5703125" customWidth="1"/>
    <col min="2052" max="2052" width="15.28515625" bestFit="1" customWidth="1"/>
    <col min="2053" max="2053" width="3.5703125" customWidth="1"/>
    <col min="2054" max="2054" width="16.85546875" customWidth="1"/>
    <col min="2055" max="2055" width="3.5703125" customWidth="1"/>
    <col min="2056" max="2056" width="13.28515625" bestFit="1" customWidth="1"/>
    <col min="2057" max="2057" width="3.5703125" customWidth="1"/>
    <col min="2058" max="2058" width="17" bestFit="1" customWidth="1"/>
    <col min="2059" max="2059" width="3.5703125" customWidth="1"/>
    <col min="2060" max="2060" width="15.85546875" customWidth="1"/>
    <col min="2061" max="2061" width="18.5703125" bestFit="1" customWidth="1"/>
    <col min="2062" max="2062" width="19.5703125" customWidth="1"/>
    <col min="2063" max="2063" width="18.5703125" customWidth="1"/>
    <col min="2064" max="2064" width="15.7109375" customWidth="1"/>
    <col min="2065" max="2065" width="22" customWidth="1"/>
    <col min="2306" max="2306" width="18.5703125" customWidth="1"/>
    <col min="2307" max="2307" width="3.5703125" customWidth="1"/>
    <col min="2308" max="2308" width="15.28515625" bestFit="1" customWidth="1"/>
    <col min="2309" max="2309" width="3.5703125" customWidth="1"/>
    <col min="2310" max="2310" width="16.85546875" customWidth="1"/>
    <col min="2311" max="2311" width="3.5703125" customWidth="1"/>
    <col min="2312" max="2312" width="13.28515625" bestFit="1" customWidth="1"/>
    <col min="2313" max="2313" width="3.5703125" customWidth="1"/>
    <col min="2314" max="2314" width="17" bestFit="1" customWidth="1"/>
    <col min="2315" max="2315" width="3.5703125" customWidth="1"/>
    <col min="2316" max="2316" width="15.85546875" customWidth="1"/>
    <col min="2317" max="2317" width="18.5703125" bestFit="1" customWidth="1"/>
    <col min="2318" max="2318" width="19.5703125" customWidth="1"/>
    <col min="2319" max="2319" width="18.5703125" customWidth="1"/>
    <col min="2320" max="2320" width="15.7109375" customWidth="1"/>
    <col min="2321" max="2321" width="22" customWidth="1"/>
    <col min="2562" max="2562" width="18.5703125" customWidth="1"/>
    <col min="2563" max="2563" width="3.5703125" customWidth="1"/>
    <col min="2564" max="2564" width="15.28515625" bestFit="1" customWidth="1"/>
    <col min="2565" max="2565" width="3.5703125" customWidth="1"/>
    <col min="2566" max="2566" width="16.85546875" customWidth="1"/>
    <col min="2567" max="2567" width="3.5703125" customWidth="1"/>
    <col min="2568" max="2568" width="13.28515625" bestFit="1" customWidth="1"/>
    <col min="2569" max="2569" width="3.5703125" customWidth="1"/>
    <col min="2570" max="2570" width="17" bestFit="1" customWidth="1"/>
    <col min="2571" max="2571" width="3.5703125" customWidth="1"/>
    <col min="2572" max="2572" width="15.85546875" customWidth="1"/>
    <col min="2573" max="2573" width="18.5703125" bestFit="1" customWidth="1"/>
    <col min="2574" max="2574" width="19.5703125" customWidth="1"/>
    <col min="2575" max="2575" width="18.5703125" customWidth="1"/>
    <col min="2576" max="2576" width="15.7109375" customWidth="1"/>
    <col min="2577" max="2577" width="22" customWidth="1"/>
    <col min="2818" max="2818" width="18.5703125" customWidth="1"/>
    <col min="2819" max="2819" width="3.5703125" customWidth="1"/>
    <col min="2820" max="2820" width="15.28515625" bestFit="1" customWidth="1"/>
    <col min="2821" max="2821" width="3.5703125" customWidth="1"/>
    <col min="2822" max="2822" width="16.85546875" customWidth="1"/>
    <col min="2823" max="2823" width="3.5703125" customWidth="1"/>
    <col min="2824" max="2824" width="13.28515625" bestFit="1" customWidth="1"/>
    <col min="2825" max="2825" width="3.5703125" customWidth="1"/>
    <col min="2826" max="2826" width="17" bestFit="1" customWidth="1"/>
    <col min="2827" max="2827" width="3.5703125" customWidth="1"/>
    <col min="2828" max="2828" width="15.85546875" customWidth="1"/>
    <col min="2829" max="2829" width="18.5703125" bestFit="1" customWidth="1"/>
    <col min="2830" max="2830" width="19.5703125" customWidth="1"/>
    <col min="2831" max="2831" width="18.5703125" customWidth="1"/>
    <col min="2832" max="2832" width="15.7109375" customWidth="1"/>
    <col min="2833" max="2833" width="22" customWidth="1"/>
    <col min="3074" max="3074" width="18.5703125" customWidth="1"/>
    <col min="3075" max="3075" width="3.5703125" customWidth="1"/>
    <col min="3076" max="3076" width="15.28515625" bestFit="1" customWidth="1"/>
    <col min="3077" max="3077" width="3.5703125" customWidth="1"/>
    <col min="3078" max="3078" width="16.85546875" customWidth="1"/>
    <col min="3079" max="3079" width="3.5703125" customWidth="1"/>
    <col min="3080" max="3080" width="13.28515625" bestFit="1" customWidth="1"/>
    <col min="3081" max="3081" width="3.5703125" customWidth="1"/>
    <col min="3082" max="3082" width="17" bestFit="1" customWidth="1"/>
    <col min="3083" max="3083" width="3.5703125" customWidth="1"/>
    <col min="3084" max="3084" width="15.85546875" customWidth="1"/>
    <col min="3085" max="3085" width="18.5703125" bestFit="1" customWidth="1"/>
    <col min="3086" max="3086" width="19.5703125" customWidth="1"/>
    <col min="3087" max="3087" width="18.5703125" customWidth="1"/>
    <col min="3088" max="3088" width="15.7109375" customWidth="1"/>
    <col min="3089" max="3089" width="22" customWidth="1"/>
    <col min="3330" max="3330" width="18.5703125" customWidth="1"/>
    <col min="3331" max="3331" width="3.5703125" customWidth="1"/>
    <col min="3332" max="3332" width="15.28515625" bestFit="1" customWidth="1"/>
    <col min="3333" max="3333" width="3.5703125" customWidth="1"/>
    <col min="3334" max="3334" width="16.85546875" customWidth="1"/>
    <col min="3335" max="3335" width="3.5703125" customWidth="1"/>
    <col min="3336" max="3336" width="13.28515625" bestFit="1" customWidth="1"/>
    <col min="3337" max="3337" width="3.5703125" customWidth="1"/>
    <col min="3338" max="3338" width="17" bestFit="1" customWidth="1"/>
    <col min="3339" max="3339" width="3.5703125" customWidth="1"/>
    <col min="3340" max="3340" width="15.85546875" customWidth="1"/>
    <col min="3341" max="3341" width="18.5703125" bestFit="1" customWidth="1"/>
    <col min="3342" max="3342" width="19.5703125" customWidth="1"/>
    <col min="3343" max="3343" width="18.5703125" customWidth="1"/>
    <col min="3344" max="3344" width="15.7109375" customWidth="1"/>
    <col min="3345" max="3345" width="22" customWidth="1"/>
    <col min="3586" max="3586" width="18.5703125" customWidth="1"/>
    <col min="3587" max="3587" width="3.5703125" customWidth="1"/>
    <col min="3588" max="3588" width="15.28515625" bestFit="1" customWidth="1"/>
    <col min="3589" max="3589" width="3.5703125" customWidth="1"/>
    <col min="3590" max="3590" width="16.85546875" customWidth="1"/>
    <col min="3591" max="3591" width="3.5703125" customWidth="1"/>
    <col min="3592" max="3592" width="13.28515625" bestFit="1" customWidth="1"/>
    <col min="3593" max="3593" width="3.5703125" customWidth="1"/>
    <col min="3594" max="3594" width="17" bestFit="1" customWidth="1"/>
    <col min="3595" max="3595" width="3.5703125" customWidth="1"/>
    <col min="3596" max="3596" width="15.85546875" customWidth="1"/>
    <col min="3597" max="3597" width="18.5703125" bestFit="1" customWidth="1"/>
    <col min="3598" max="3598" width="19.5703125" customWidth="1"/>
    <col min="3599" max="3599" width="18.5703125" customWidth="1"/>
    <col min="3600" max="3600" width="15.7109375" customWidth="1"/>
    <col min="3601" max="3601" width="22" customWidth="1"/>
    <col min="3842" max="3842" width="18.5703125" customWidth="1"/>
    <col min="3843" max="3843" width="3.5703125" customWidth="1"/>
    <col min="3844" max="3844" width="15.28515625" bestFit="1" customWidth="1"/>
    <col min="3845" max="3845" width="3.5703125" customWidth="1"/>
    <col min="3846" max="3846" width="16.85546875" customWidth="1"/>
    <col min="3847" max="3847" width="3.5703125" customWidth="1"/>
    <col min="3848" max="3848" width="13.28515625" bestFit="1" customWidth="1"/>
    <col min="3849" max="3849" width="3.5703125" customWidth="1"/>
    <col min="3850" max="3850" width="17" bestFit="1" customWidth="1"/>
    <col min="3851" max="3851" width="3.5703125" customWidth="1"/>
    <col min="3852" max="3852" width="15.85546875" customWidth="1"/>
    <col min="3853" max="3853" width="18.5703125" bestFit="1" customWidth="1"/>
    <col min="3854" max="3854" width="19.5703125" customWidth="1"/>
    <col min="3855" max="3855" width="18.5703125" customWidth="1"/>
    <col min="3856" max="3856" width="15.7109375" customWidth="1"/>
    <col min="3857" max="3857" width="22" customWidth="1"/>
    <col min="4098" max="4098" width="18.5703125" customWidth="1"/>
    <col min="4099" max="4099" width="3.5703125" customWidth="1"/>
    <col min="4100" max="4100" width="15.28515625" bestFit="1" customWidth="1"/>
    <col min="4101" max="4101" width="3.5703125" customWidth="1"/>
    <col min="4102" max="4102" width="16.85546875" customWidth="1"/>
    <col min="4103" max="4103" width="3.5703125" customWidth="1"/>
    <col min="4104" max="4104" width="13.28515625" bestFit="1" customWidth="1"/>
    <col min="4105" max="4105" width="3.5703125" customWidth="1"/>
    <col min="4106" max="4106" width="17" bestFit="1" customWidth="1"/>
    <col min="4107" max="4107" width="3.5703125" customWidth="1"/>
    <col min="4108" max="4108" width="15.85546875" customWidth="1"/>
    <col min="4109" max="4109" width="18.5703125" bestFit="1" customWidth="1"/>
    <col min="4110" max="4110" width="19.5703125" customWidth="1"/>
    <col min="4111" max="4111" width="18.5703125" customWidth="1"/>
    <col min="4112" max="4112" width="15.7109375" customWidth="1"/>
    <col min="4113" max="4113" width="22" customWidth="1"/>
    <col min="4354" max="4354" width="18.5703125" customWidth="1"/>
    <col min="4355" max="4355" width="3.5703125" customWidth="1"/>
    <col min="4356" max="4356" width="15.28515625" bestFit="1" customWidth="1"/>
    <col min="4357" max="4357" width="3.5703125" customWidth="1"/>
    <col min="4358" max="4358" width="16.85546875" customWidth="1"/>
    <col min="4359" max="4359" width="3.5703125" customWidth="1"/>
    <col min="4360" max="4360" width="13.28515625" bestFit="1" customWidth="1"/>
    <col min="4361" max="4361" width="3.5703125" customWidth="1"/>
    <col min="4362" max="4362" width="17" bestFit="1" customWidth="1"/>
    <col min="4363" max="4363" width="3.5703125" customWidth="1"/>
    <col min="4364" max="4364" width="15.85546875" customWidth="1"/>
    <col min="4365" max="4365" width="18.5703125" bestFit="1" customWidth="1"/>
    <col min="4366" max="4366" width="19.5703125" customWidth="1"/>
    <col min="4367" max="4367" width="18.5703125" customWidth="1"/>
    <col min="4368" max="4368" width="15.7109375" customWidth="1"/>
    <col min="4369" max="4369" width="22" customWidth="1"/>
    <col min="4610" max="4610" width="18.5703125" customWidth="1"/>
    <col min="4611" max="4611" width="3.5703125" customWidth="1"/>
    <col min="4612" max="4612" width="15.28515625" bestFit="1" customWidth="1"/>
    <col min="4613" max="4613" width="3.5703125" customWidth="1"/>
    <col min="4614" max="4614" width="16.85546875" customWidth="1"/>
    <col min="4615" max="4615" width="3.5703125" customWidth="1"/>
    <col min="4616" max="4616" width="13.28515625" bestFit="1" customWidth="1"/>
    <col min="4617" max="4617" width="3.5703125" customWidth="1"/>
    <col min="4618" max="4618" width="17" bestFit="1" customWidth="1"/>
    <col min="4619" max="4619" width="3.5703125" customWidth="1"/>
    <col min="4620" max="4620" width="15.85546875" customWidth="1"/>
    <col min="4621" max="4621" width="18.5703125" bestFit="1" customWidth="1"/>
    <col min="4622" max="4622" width="19.5703125" customWidth="1"/>
    <col min="4623" max="4623" width="18.5703125" customWidth="1"/>
    <col min="4624" max="4624" width="15.7109375" customWidth="1"/>
    <col min="4625" max="4625" width="22" customWidth="1"/>
    <col min="4866" max="4866" width="18.5703125" customWidth="1"/>
    <col min="4867" max="4867" width="3.5703125" customWidth="1"/>
    <col min="4868" max="4868" width="15.28515625" bestFit="1" customWidth="1"/>
    <col min="4869" max="4869" width="3.5703125" customWidth="1"/>
    <col min="4870" max="4870" width="16.85546875" customWidth="1"/>
    <col min="4871" max="4871" width="3.5703125" customWidth="1"/>
    <col min="4872" max="4872" width="13.28515625" bestFit="1" customWidth="1"/>
    <col min="4873" max="4873" width="3.5703125" customWidth="1"/>
    <col min="4874" max="4874" width="17" bestFit="1" customWidth="1"/>
    <col min="4875" max="4875" width="3.5703125" customWidth="1"/>
    <col min="4876" max="4876" width="15.85546875" customWidth="1"/>
    <col min="4877" max="4877" width="18.5703125" bestFit="1" customWidth="1"/>
    <col min="4878" max="4878" width="19.5703125" customWidth="1"/>
    <col min="4879" max="4879" width="18.5703125" customWidth="1"/>
    <col min="4880" max="4880" width="15.7109375" customWidth="1"/>
    <col min="4881" max="4881" width="22" customWidth="1"/>
    <col min="5122" max="5122" width="18.5703125" customWidth="1"/>
    <col min="5123" max="5123" width="3.5703125" customWidth="1"/>
    <col min="5124" max="5124" width="15.28515625" bestFit="1" customWidth="1"/>
    <col min="5125" max="5125" width="3.5703125" customWidth="1"/>
    <col min="5126" max="5126" width="16.85546875" customWidth="1"/>
    <col min="5127" max="5127" width="3.5703125" customWidth="1"/>
    <col min="5128" max="5128" width="13.28515625" bestFit="1" customWidth="1"/>
    <col min="5129" max="5129" width="3.5703125" customWidth="1"/>
    <col min="5130" max="5130" width="17" bestFit="1" customWidth="1"/>
    <col min="5131" max="5131" width="3.5703125" customWidth="1"/>
    <col min="5132" max="5132" width="15.85546875" customWidth="1"/>
    <col min="5133" max="5133" width="18.5703125" bestFit="1" customWidth="1"/>
    <col min="5134" max="5134" width="19.5703125" customWidth="1"/>
    <col min="5135" max="5135" width="18.5703125" customWidth="1"/>
    <col min="5136" max="5136" width="15.7109375" customWidth="1"/>
    <col min="5137" max="5137" width="22" customWidth="1"/>
    <col min="5378" max="5378" width="18.5703125" customWidth="1"/>
    <col min="5379" max="5379" width="3.5703125" customWidth="1"/>
    <col min="5380" max="5380" width="15.28515625" bestFit="1" customWidth="1"/>
    <col min="5381" max="5381" width="3.5703125" customWidth="1"/>
    <col min="5382" max="5382" width="16.85546875" customWidth="1"/>
    <col min="5383" max="5383" width="3.5703125" customWidth="1"/>
    <col min="5384" max="5384" width="13.28515625" bestFit="1" customWidth="1"/>
    <col min="5385" max="5385" width="3.5703125" customWidth="1"/>
    <col min="5386" max="5386" width="17" bestFit="1" customWidth="1"/>
    <col min="5387" max="5387" width="3.5703125" customWidth="1"/>
    <col min="5388" max="5388" width="15.85546875" customWidth="1"/>
    <col min="5389" max="5389" width="18.5703125" bestFit="1" customWidth="1"/>
    <col min="5390" max="5390" width="19.5703125" customWidth="1"/>
    <col min="5391" max="5391" width="18.5703125" customWidth="1"/>
    <col min="5392" max="5392" width="15.7109375" customWidth="1"/>
    <col min="5393" max="5393" width="22" customWidth="1"/>
    <col min="5634" max="5634" width="18.5703125" customWidth="1"/>
    <col min="5635" max="5635" width="3.5703125" customWidth="1"/>
    <col min="5636" max="5636" width="15.28515625" bestFit="1" customWidth="1"/>
    <col min="5637" max="5637" width="3.5703125" customWidth="1"/>
    <col min="5638" max="5638" width="16.85546875" customWidth="1"/>
    <col min="5639" max="5639" width="3.5703125" customWidth="1"/>
    <col min="5640" max="5640" width="13.28515625" bestFit="1" customWidth="1"/>
    <col min="5641" max="5641" width="3.5703125" customWidth="1"/>
    <col min="5642" max="5642" width="17" bestFit="1" customWidth="1"/>
    <col min="5643" max="5643" width="3.5703125" customWidth="1"/>
    <col min="5644" max="5644" width="15.85546875" customWidth="1"/>
    <col min="5645" max="5645" width="18.5703125" bestFit="1" customWidth="1"/>
    <col min="5646" max="5646" width="19.5703125" customWidth="1"/>
    <col min="5647" max="5647" width="18.5703125" customWidth="1"/>
    <col min="5648" max="5648" width="15.7109375" customWidth="1"/>
    <col min="5649" max="5649" width="22" customWidth="1"/>
    <col min="5890" max="5890" width="18.5703125" customWidth="1"/>
    <col min="5891" max="5891" width="3.5703125" customWidth="1"/>
    <col min="5892" max="5892" width="15.28515625" bestFit="1" customWidth="1"/>
    <col min="5893" max="5893" width="3.5703125" customWidth="1"/>
    <col min="5894" max="5894" width="16.85546875" customWidth="1"/>
    <col min="5895" max="5895" width="3.5703125" customWidth="1"/>
    <col min="5896" max="5896" width="13.28515625" bestFit="1" customWidth="1"/>
    <col min="5897" max="5897" width="3.5703125" customWidth="1"/>
    <col min="5898" max="5898" width="17" bestFit="1" customWidth="1"/>
    <col min="5899" max="5899" width="3.5703125" customWidth="1"/>
    <col min="5900" max="5900" width="15.85546875" customWidth="1"/>
    <col min="5901" max="5901" width="18.5703125" bestFit="1" customWidth="1"/>
    <col min="5902" max="5902" width="19.5703125" customWidth="1"/>
    <col min="5903" max="5903" width="18.5703125" customWidth="1"/>
    <col min="5904" max="5904" width="15.7109375" customWidth="1"/>
    <col min="5905" max="5905" width="22" customWidth="1"/>
    <col min="6146" max="6146" width="18.5703125" customWidth="1"/>
    <col min="6147" max="6147" width="3.5703125" customWidth="1"/>
    <col min="6148" max="6148" width="15.28515625" bestFit="1" customWidth="1"/>
    <col min="6149" max="6149" width="3.5703125" customWidth="1"/>
    <col min="6150" max="6150" width="16.85546875" customWidth="1"/>
    <col min="6151" max="6151" width="3.5703125" customWidth="1"/>
    <col min="6152" max="6152" width="13.28515625" bestFit="1" customWidth="1"/>
    <col min="6153" max="6153" width="3.5703125" customWidth="1"/>
    <col min="6154" max="6154" width="17" bestFit="1" customWidth="1"/>
    <col min="6155" max="6155" width="3.5703125" customWidth="1"/>
    <col min="6156" max="6156" width="15.85546875" customWidth="1"/>
    <col min="6157" max="6157" width="18.5703125" bestFit="1" customWidth="1"/>
    <col min="6158" max="6158" width="19.5703125" customWidth="1"/>
    <col min="6159" max="6159" width="18.5703125" customWidth="1"/>
    <col min="6160" max="6160" width="15.7109375" customWidth="1"/>
    <col min="6161" max="6161" width="22" customWidth="1"/>
    <col min="6402" max="6402" width="18.5703125" customWidth="1"/>
    <col min="6403" max="6403" width="3.5703125" customWidth="1"/>
    <col min="6404" max="6404" width="15.28515625" bestFit="1" customWidth="1"/>
    <col min="6405" max="6405" width="3.5703125" customWidth="1"/>
    <col min="6406" max="6406" width="16.85546875" customWidth="1"/>
    <col min="6407" max="6407" width="3.5703125" customWidth="1"/>
    <col min="6408" max="6408" width="13.28515625" bestFit="1" customWidth="1"/>
    <col min="6409" max="6409" width="3.5703125" customWidth="1"/>
    <col min="6410" max="6410" width="17" bestFit="1" customWidth="1"/>
    <col min="6411" max="6411" width="3.5703125" customWidth="1"/>
    <col min="6412" max="6412" width="15.85546875" customWidth="1"/>
    <col min="6413" max="6413" width="18.5703125" bestFit="1" customWidth="1"/>
    <col min="6414" max="6414" width="19.5703125" customWidth="1"/>
    <col min="6415" max="6415" width="18.5703125" customWidth="1"/>
    <col min="6416" max="6416" width="15.7109375" customWidth="1"/>
    <col min="6417" max="6417" width="22" customWidth="1"/>
    <col min="6658" max="6658" width="18.5703125" customWidth="1"/>
    <col min="6659" max="6659" width="3.5703125" customWidth="1"/>
    <col min="6660" max="6660" width="15.28515625" bestFit="1" customWidth="1"/>
    <col min="6661" max="6661" width="3.5703125" customWidth="1"/>
    <col min="6662" max="6662" width="16.85546875" customWidth="1"/>
    <col min="6663" max="6663" width="3.5703125" customWidth="1"/>
    <col min="6664" max="6664" width="13.28515625" bestFit="1" customWidth="1"/>
    <col min="6665" max="6665" width="3.5703125" customWidth="1"/>
    <col min="6666" max="6666" width="17" bestFit="1" customWidth="1"/>
    <col min="6667" max="6667" width="3.5703125" customWidth="1"/>
    <col min="6668" max="6668" width="15.85546875" customWidth="1"/>
    <col min="6669" max="6669" width="18.5703125" bestFit="1" customWidth="1"/>
    <col min="6670" max="6670" width="19.5703125" customWidth="1"/>
    <col min="6671" max="6671" width="18.5703125" customWidth="1"/>
    <col min="6672" max="6672" width="15.7109375" customWidth="1"/>
    <col min="6673" max="6673" width="22" customWidth="1"/>
    <col min="6914" max="6914" width="18.5703125" customWidth="1"/>
    <col min="6915" max="6915" width="3.5703125" customWidth="1"/>
    <col min="6916" max="6916" width="15.28515625" bestFit="1" customWidth="1"/>
    <col min="6917" max="6917" width="3.5703125" customWidth="1"/>
    <col min="6918" max="6918" width="16.85546875" customWidth="1"/>
    <col min="6919" max="6919" width="3.5703125" customWidth="1"/>
    <col min="6920" max="6920" width="13.28515625" bestFit="1" customWidth="1"/>
    <col min="6921" max="6921" width="3.5703125" customWidth="1"/>
    <col min="6922" max="6922" width="17" bestFit="1" customWidth="1"/>
    <col min="6923" max="6923" width="3.5703125" customWidth="1"/>
    <col min="6924" max="6924" width="15.85546875" customWidth="1"/>
    <col min="6925" max="6925" width="18.5703125" bestFit="1" customWidth="1"/>
    <col min="6926" max="6926" width="19.5703125" customWidth="1"/>
    <col min="6927" max="6927" width="18.5703125" customWidth="1"/>
    <col min="6928" max="6928" width="15.7109375" customWidth="1"/>
    <col min="6929" max="6929" width="22" customWidth="1"/>
    <col min="7170" max="7170" width="18.5703125" customWidth="1"/>
    <col min="7171" max="7171" width="3.5703125" customWidth="1"/>
    <col min="7172" max="7172" width="15.28515625" bestFit="1" customWidth="1"/>
    <col min="7173" max="7173" width="3.5703125" customWidth="1"/>
    <col min="7174" max="7174" width="16.85546875" customWidth="1"/>
    <col min="7175" max="7175" width="3.5703125" customWidth="1"/>
    <col min="7176" max="7176" width="13.28515625" bestFit="1" customWidth="1"/>
    <col min="7177" max="7177" width="3.5703125" customWidth="1"/>
    <col min="7178" max="7178" width="17" bestFit="1" customWidth="1"/>
    <col min="7179" max="7179" width="3.5703125" customWidth="1"/>
    <col min="7180" max="7180" width="15.85546875" customWidth="1"/>
    <col min="7181" max="7181" width="18.5703125" bestFit="1" customWidth="1"/>
    <col min="7182" max="7182" width="19.5703125" customWidth="1"/>
    <col min="7183" max="7183" width="18.5703125" customWidth="1"/>
    <col min="7184" max="7184" width="15.7109375" customWidth="1"/>
    <col min="7185" max="7185" width="22" customWidth="1"/>
    <col min="7426" max="7426" width="18.5703125" customWidth="1"/>
    <col min="7427" max="7427" width="3.5703125" customWidth="1"/>
    <col min="7428" max="7428" width="15.28515625" bestFit="1" customWidth="1"/>
    <col min="7429" max="7429" width="3.5703125" customWidth="1"/>
    <col min="7430" max="7430" width="16.85546875" customWidth="1"/>
    <col min="7431" max="7431" width="3.5703125" customWidth="1"/>
    <col min="7432" max="7432" width="13.28515625" bestFit="1" customWidth="1"/>
    <col min="7433" max="7433" width="3.5703125" customWidth="1"/>
    <col min="7434" max="7434" width="17" bestFit="1" customWidth="1"/>
    <col min="7435" max="7435" width="3.5703125" customWidth="1"/>
    <col min="7436" max="7436" width="15.85546875" customWidth="1"/>
    <col min="7437" max="7437" width="18.5703125" bestFit="1" customWidth="1"/>
    <col min="7438" max="7438" width="19.5703125" customWidth="1"/>
    <col min="7439" max="7439" width="18.5703125" customWidth="1"/>
    <col min="7440" max="7440" width="15.7109375" customWidth="1"/>
    <col min="7441" max="7441" width="22" customWidth="1"/>
    <col min="7682" max="7682" width="18.5703125" customWidth="1"/>
    <col min="7683" max="7683" width="3.5703125" customWidth="1"/>
    <col min="7684" max="7684" width="15.28515625" bestFit="1" customWidth="1"/>
    <col min="7685" max="7685" width="3.5703125" customWidth="1"/>
    <col min="7686" max="7686" width="16.85546875" customWidth="1"/>
    <col min="7687" max="7687" width="3.5703125" customWidth="1"/>
    <col min="7688" max="7688" width="13.28515625" bestFit="1" customWidth="1"/>
    <col min="7689" max="7689" width="3.5703125" customWidth="1"/>
    <col min="7690" max="7690" width="17" bestFit="1" customWidth="1"/>
    <col min="7691" max="7691" width="3.5703125" customWidth="1"/>
    <col min="7692" max="7692" width="15.85546875" customWidth="1"/>
    <col min="7693" max="7693" width="18.5703125" bestFit="1" customWidth="1"/>
    <col min="7694" max="7694" width="19.5703125" customWidth="1"/>
    <col min="7695" max="7695" width="18.5703125" customWidth="1"/>
    <col min="7696" max="7696" width="15.7109375" customWidth="1"/>
    <col min="7697" max="7697" width="22" customWidth="1"/>
    <col min="7938" max="7938" width="18.5703125" customWidth="1"/>
    <col min="7939" max="7939" width="3.5703125" customWidth="1"/>
    <col min="7940" max="7940" width="15.28515625" bestFit="1" customWidth="1"/>
    <col min="7941" max="7941" width="3.5703125" customWidth="1"/>
    <col min="7942" max="7942" width="16.85546875" customWidth="1"/>
    <col min="7943" max="7943" width="3.5703125" customWidth="1"/>
    <col min="7944" max="7944" width="13.28515625" bestFit="1" customWidth="1"/>
    <col min="7945" max="7945" width="3.5703125" customWidth="1"/>
    <col min="7946" max="7946" width="17" bestFit="1" customWidth="1"/>
    <col min="7947" max="7947" width="3.5703125" customWidth="1"/>
    <col min="7948" max="7948" width="15.85546875" customWidth="1"/>
    <col min="7949" max="7949" width="18.5703125" bestFit="1" customWidth="1"/>
    <col min="7950" max="7950" width="19.5703125" customWidth="1"/>
    <col min="7951" max="7951" width="18.5703125" customWidth="1"/>
    <col min="7952" max="7952" width="15.7109375" customWidth="1"/>
    <col min="7953" max="7953" width="22" customWidth="1"/>
    <col min="8194" max="8194" width="18.5703125" customWidth="1"/>
    <col min="8195" max="8195" width="3.5703125" customWidth="1"/>
    <col min="8196" max="8196" width="15.28515625" bestFit="1" customWidth="1"/>
    <col min="8197" max="8197" width="3.5703125" customWidth="1"/>
    <col min="8198" max="8198" width="16.85546875" customWidth="1"/>
    <col min="8199" max="8199" width="3.5703125" customWidth="1"/>
    <col min="8200" max="8200" width="13.28515625" bestFit="1" customWidth="1"/>
    <col min="8201" max="8201" width="3.5703125" customWidth="1"/>
    <col min="8202" max="8202" width="17" bestFit="1" customWidth="1"/>
    <col min="8203" max="8203" width="3.5703125" customWidth="1"/>
    <col min="8204" max="8204" width="15.85546875" customWidth="1"/>
    <col min="8205" max="8205" width="18.5703125" bestFit="1" customWidth="1"/>
    <col min="8206" max="8206" width="19.5703125" customWidth="1"/>
    <col min="8207" max="8207" width="18.5703125" customWidth="1"/>
    <col min="8208" max="8208" width="15.7109375" customWidth="1"/>
    <col min="8209" max="8209" width="22" customWidth="1"/>
    <col min="8450" max="8450" width="18.5703125" customWidth="1"/>
    <col min="8451" max="8451" width="3.5703125" customWidth="1"/>
    <col min="8452" max="8452" width="15.28515625" bestFit="1" customWidth="1"/>
    <col min="8453" max="8453" width="3.5703125" customWidth="1"/>
    <col min="8454" max="8454" width="16.85546875" customWidth="1"/>
    <col min="8455" max="8455" width="3.5703125" customWidth="1"/>
    <col min="8456" max="8456" width="13.28515625" bestFit="1" customWidth="1"/>
    <col min="8457" max="8457" width="3.5703125" customWidth="1"/>
    <col min="8458" max="8458" width="17" bestFit="1" customWidth="1"/>
    <col min="8459" max="8459" width="3.5703125" customWidth="1"/>
    <col min="8460" max="8460" width="15.85546875" customWidth="1"/>
    <col min="8461" max="8461" width="18.5703125" bestFit="1" customWidth="1"/>
    <col min="8462" max="8462" width="19.5703125" customWidth="1"/>
    <col min="8463" max="8463" width="18.5703125" customWidth="1"/>
    <col min="8464" max="8464" width="15.7109375" customWidth="1"/>
    <col min="8465" max="8465" width="22" customWidth="1"/>
    <col min="8706" max="8706" width="18.5703125" customWidth="1"/>
    <col min="8707" max="8707" width="3.5703125" customWidth="1"/>
    <col min="8708" max="8708" width="15.28515625" bestFit="1" customWidth="1"/>
    <col min="8709" max="8709" width="3.5703125" customWidth="1"/>
    <col min="8710" max="8710" width="16.85546875" customWidth="1"/>
    <col min="8711" max="8711" width="3.5703125" customWidth="1"/>
    <col min="8712" max="8712" width="13.28515625" bestFit="1" customWidth="1"/>
    <col min="8713" max="8713" width="3.5703125" customWidth="1"/>
    <col min="8714" max="8714" width="17" bestFit="1" customWidth="1"/>
    <col min="8715" max="8715" width="3.5703125" customWidth="1"/>
    <col min="8716" max="8716" width="15.85546875" customWidth="1"/>
    <col min="8717" max="8717" width="18.5703125" bestFit="1" customWidth="1"/>
    <col min="8718" max="8718" width="19.5703125" customWidth="1"/>
    <col min="8719" max="8719" width="18.5703125" customWidth="1"/>
    <col min="8720" max="8720" width="15.7109375" customWidth="1"/>
    <col min="8721" max="8721" width="22" customWidth="1"/>
    <col min="8962" max="8962" width="18.5703125" customWidth="1"/>
    <col min="8963" max="8963" width="3.5703125" customWidth="1"/>
    <col min="8964" max="8964" width="15.28515625" bestFit="1" customWidth="1"/>
    <col min="8965" max="8965" width="3.5703125" customWidth="1"/>
    <col min="8966" max="8966" width="16.85546875" customWidth="1"/>
    <col min="8967" max="8967" width="3.5703125" customWidth="1"/>
    <col min="8968" max="8968" width="13.28515625" bestFit="1" customWidth="1"/>
    <col min="8969" max="8969" width="3.5703125" customWidth="1"/>
    <col min="8970" max="8970" width="17" bestFit="1" customWidth="1"/>
    <col min="8971" max="8971" width="3.5703125" customWidth="1"/>
    <col min="8972" max="8972" width="15.85546875" customWidth="1"/>
    <col min="8973" max="8973" width="18.5703125" bestFit="1" customWidth="1"/>
    <col min="8974" max="8974" width="19.5703125" customWidth="1"/>
    <col min="8975" max="8975" width="18.5703125" customWidth="1"/>
    <col min="8976" max="8976" width="15.7109375" customWidth="1"/>
    <col min="8977" max="8977" width="22" customWidth="1"/>
    <col min="9218" max="9218" width="18.5703125" customWidth="1"/>
    <col min="9219" max="9219" width="3.5703125" customWidth="1"/>
    <col min="9220" max="9220" width="15.28515625" bestFit="1" customWidth="1"/>
    <col min="9221" max="9221" width="3.5703125" customWidth="1"/>
    <col min="9222" max="9222" width="16.85546875" customWidth="1"/>
    <col min="9223" max="9223" width="3.5703125" customWidth="1"/>
    <col min="9224" max="9224" width="13.28515625" bestFit="1" customWidth="1"/>
    <col min="9225" max="9225" width="3.5703125" customWidth="1"/>
    <col min="9226" max="9226" width="17" bestFit="1" customWidth="1"/>
    <col min="9227" max="9227" width="3.5703125" customWidth="1"/>
    <col min="9228" max="9228" width="15.85546875" customWidth="1"/>
    <col min="9229" max="9229" width="18.5703125" bestFit="1" customWidth="1"/>
    <col min="9230" max="9230" width="19.5703125" customWidth="1"/>
    <col min="9231" max="9231" width="18.5703125" customWidth="1"/>
    <col min="9232" max="9232" width="15.7109375" customWidth="1"/>
    <col min="9233" max="9233" width="22" customWidth="1"/>
    <col min="9474" max="9474" width="18.5703125" customWidth="1"/>
    <col min="9475" max="9475" width="3.5703125" customWidth="1"/>
    <col min="9476" max="9476" width="15.28515625" bestFit="1" customWidth="1"/>
    <col min="9477" max="9477" width="3.5703125" customWidth="1"/>
    <col min="9478" max="9478" width="16.85546875" customWidth="1"/>
    <col min="9479" max="9479" width="3.5703125" customWidth="1"/>
    <col min="9480" max="9480" width="13.28515625" bestFit="1" customWidth="1"/>
    <col min="9481" max="9481" width="3.5703125" customWidth="1"/>
    <col min="9482" max="9482" width="17" bestFit="1" customWidth="1"/>
    <col min="9483" max="9483" width="3.5703125" customWidth="1"/>
    <col min="9484" max="9484" width="15.85546875" customWidth="1"/>
    <col min="9485" max="9485" width="18.5703125" bestFit="1" customWidth="1"/>
    <col min="9486" max="9486" width="19.5703125" customWidth="1"/>
    <col min="9487" max="9487" width="18.5703125" customWidth="1"/>
    <col min="9488" max="9488" width="15.7109375" customWidth="1"/>
    <col min="9489" max="9489" width="22" customWidth="1"/>
    <col min="9730" max="9730" width="18.5703125" customWidth="1"/>
    <col min="9731" max="9731" width="3.5703125" customWidth="1"/>
    <col min="9732" max="9732" width="15.28515625" bestFit="1" customWidth="1"/>
    <col min="9733" max="9733" width="3.5703125" customWidth="1"/>
    <col min="9734" max="9734" width="16.85546875" customWidth="1"/>
    <col min="9735" max="9735" width="3.5703125" customWidth="1"/>
    <col min="9736" max="9736" width="13.28515625" bestFit="1" customWidth="1"/>
    <col min="9737" max="9737" width="3.5703125" customWidth="1"/>
    <col min="9738" max="9738" width="17" bestFit="1" customWidth="1"/>
    <col min="9739" max="9739" width="3.5703125" customWidth="1"/>
    <col min="9740" max="9740" width="15.85546875" customWidth="1"/>
    <col min="9741" max="9741" width="18.5703125" bestFit="1" customWidth="1"/>
    <col min="9742" max="9742" width="19.5703125" customWidth="1"/>
    <col min="9743" max="9743" width="18.5703125" customWidth="1"/>
    <col min="9744" max="9744" width="15.7109375" customWidth="1"/>
    <col min="9745" max="9745" width="22" customWidth="1"/>
    <col min="9986" max="9986" width="18.5703125" customWidth="1"/>
    <col min="9987" max="9987" width="3.5703125" customWidth="1"/>
    <col min="9988" max="9988" width="15.28515625" bestFit="1" customWidth="1"/>
    <col min="9989" max="9989" width="3.5703125" customWidth="1"/>
    <col min="9990" max="9990" width="16.85546875" customWidth="1"/>
    <col min="9991" max="9991" width="3.5703125" customWidth="1"/>
    <col min="9992" max="9992" width="13.28515625" bestFit="1" customWidth="1"/>
    <col min="9993" max="9993" width="3.5703125" customWidth="1"/>
    <col min="9994" max="9994" width="17" bestFit="1" customWidth="1"/>
    <col min="9995" max="9995" width="3.5703125" customWidth="1"/>
    <col min="9996" max="9996" width="15.85546875" customWidth="1"/>
    <col min="9997" max="9997" width="18.5703125" bestFit="1" customWidth="1"/>
    <col min="9998" max="9998" width="19.5703125" customWidth="1"/>
    <col min="9999" max="9999" width="18.5703125" customWidth="1"/>
    <col min="10000" max="10000" width="15.7109375" customWidth="1"/>
    <col min="10001" max="10001" width="22" customWidth="1"/>
    <col min="10242" max="10242" width="18.5703125" customWidth="1"/>
    <col min="10243" max="10243" width="3.5703125" customWidth="1"/>
    <col min="10244" max="10244" width="15.28515625" bestFit="1" customWidth="1"/>
    <col min="10245" max="10245" width="3.5703125" customWidth="1"/>
    <col min="10246" max="10246" width="16.85546875" customWidth="1"/>
    <col min="10247" max="10247" width="3.5703125" customWidth="1"/>
    <col min="10248" max="10248" width="13.28515625" bestFit="1" customWidth="1"/>
    <col min="10249" max="10249" width="3.5703125" customWidth="1"/>
    <col min="10250" max="10250" width="17" bestFit="1" customWidth="1"/>
    <col min="10251" max="10251" width="3.5703125" customWidth="1"/>
    <col min="10252" max="10252" width="15.85546875" customWidth="1"/>
    <col min="10253" max="10253" width="18.5703125" bestFit="1" customWidth="1"/>
    <col min="10254" max="10254" width="19.5703125" customWidth="1"/>
    <col min="10255" max="10255" width="18.5703125" customWidth="1"/>
    <col min="10256" max="10256" width="15.7109375" customWidth="1"/>
    <col min="10257" max="10257" width="22" customWidth="1"/>
    <col min="10498" max="10498" width="18.5703125" customWidth="1"/>
    <col min="10499" max="10499" width="3.5703125" customWidth="1"/>
    <col min="10500" max="10500" width="15.28515625" bestFit="1" customWidth="1"/>
    <col min="10501" max="10501" width="3.5703125" customWidth="1"/>
    <col min="10502" max="10502" width="16.85546875" customWidth="1"/>
    <col min="10503" max="10503" width="3.5703125" customWidth="1"/>
    <col min="10504" max="10504" width="13.28515625" bestFit="1" customWidth="1"/>
    <col min="10505" max="10505" width="3.5703125" customWidth="1"/>
    <col min="10506" max="10506" width="17" bestFit="1" customWidth="1"/>
    <col min="10507" max="10507" width="3.5703125" customWidth="1"/>
    <col min="10508" max="10508" width="15.85546875" customWidth="1"/>
    <col min="10509" max="10509" width="18.5703125" bestFit="1" customWidth="1"/>
    <col min="10510" max="10510" width="19.5703125" customWidth="1"/>
    <col min="10511" max="10511" width="18.5703125" customWidth="1"/>
    <col min="10512" max="10512" width="15.7109375" customWidth="1"/>
    <col min="10513" max="10513" width="22" customWidth="1"/>
    <col min="10754" max="10754" width="18.5703125" customWidth="1"/>
    <col min="10755" max="10755" width="3.5703125" customWidth="1"/>
    <col min="10756" max="10756" width="15.28515625" bestFit="1" customWidth="1"/>
    <col min="10757" max="10757" width="3.5703125" customWidth="1"/>
    <col min="10758" max="10758" width="16.85546875" customWidth="1"/>
    <col min="10759" max="10759" width="3.5703125" customWidth="1"/>
    <col min="10760" max="10760" width="13.28515625" bestFit="1" customWidth="1"/>
    <col min="10761" max="10761" width="3.5703125" customWidth="1"/>
    <col min="10762" max="10762" width="17" bestFit="1" customWidth="1"/>
    <col min="10763" max="10763" width="3.5703125" customWidth="1"/>
    <col min="10764" max="10764" width="15.85546875" customWidth="1"/>
    <col min="10765" max="10765" width="18.5703125" bestFit="1" customWidth="1"/>
    <col min="10766" max="10766" width="19.5703125" customWidth="1"/>
    <col min="10767" max="10767" width="18.5703125" customWidth="1"/>
    <col min="10768" max="10768" width="15.7109375" customWidth="1"/>
    <col min="10769" max="10769" width="22" customWidth="1"/>
    <col min="11010" max="11010" width="18.5703125" customWidth="1"/>
    <col min="11011" max="11011" width="3.5703125" customWidth="1"/>
    <col min="11012" max="11012" width="15.28515625" bestFit="1" customWidth="1"/>
    <col min="11013" max="11013" width="3.5703125" customWidth="1"/>
    <col min="11014" max="11014" width="16.85546875" customWidth="1"/>
    <col min="11015" max="11015" width="3.5703125" customWidth="1"/>
    <col min="11016" max="11016" width="13.28515625" bestFit="1" customWidth="1"/>
    <col min="11017" max="11017" width="3.5703125" customWidth="1"/>
    <col min="11018" max="11018" width="17" bestFit="1" customWidth="1"/>
    <col min="11019" max="11019" width="3.5703125" customWidth="1"/>
    <col min="11020" max="11020" width="15.85546875" customWidth="1"/>
    <col min="11021" max="11021" width="18.5703125" bestFit="1" customWidth="1"/>
    <col min="11022" max="11022" width="19.5703125" customWidth="1"/>
    <col min="11023" max="11023" width="18.5703125" customWidth="1"/>
    <col min="11024" max="11024" width="15.7109375" customWidth="1"/>
    <col min="11025" max="11025" width="22" customWidth="1"/>
    <col min="11266" max="11266" width="18.5703125" customWidth="1"/>
    <col min="11267" max="11267" width="3.5703125" customWidth="1"/>
    <col min="11268" max="11268" width="15.28515625" bestFit="1" customWidth="1"/>
    <col min="11269" max="11269" width="3.5703125" customWidth="1"/>
    <col min="11270" max="11270" width="16.85546875" customWidth="1"/>
    <col min="11271" max="11271" width="3.5703125" customWidth="1"/>
    <col min="11272" max="11272" width="13.28515625" bestFit="1" customWidth="1"/>
    <col min="11273" max="11273" width="3.5703125" customWidth="1"/>
    <col min="11274" max="11274" width="17" bestFit="1" customWidth="1"/>
    <col min="11275" max="11275" width="3.5703125" customWidth="1"/>
    <col min="11276" max="11276" width="15.85546875" customWidth="1"/>
    <col min="11277" max="11277" width="18.5703125" bestFit="1" customWidth="1"/>
    <col min="11278" max="11278" width="19.5703125" customWidth="1"/>
    <col min="11279" max="11279" width="18.5703125" customWidth="1"/>
    <col min="11280" max="11280" width="15.7109375" customWidth="1"/>
    <col min="11281" max="11281" width="22" customWidth="1"/>
    <col min="11522" max="11522" width="18.5703125" customWidth="1"/>
    <col min="11523" max="11523" width="3.5703125" customWidth="1"/>
    <col min="11524" max="11524" width="15.28515625" bestFit="1" customWidth="1"/>
    <col min="11525" max="11525" width="3.5703125" customWidth="1"/>
    <col min="11526" max="11526" width="16.85546875" customWidth="1"/>
    <col min="11527" max="11527" width="3.5703125" customWidth="1"/>
    <col min="11528" max="11528" width="13.28515625" bestFit="1" customWidth="1"/>
    <col min="11529" max="11529" width="3.5703125" customWidth="1"/>
    <col min="11530" max="11530" width="17" bestFit="1" customWidth="1"/>
    <col min="11531" max="11531" width="3.5703125" customWidth="1"/>
    <col min="11532" max="11532" width="15.85546875" customWidth="1"/>
    <col min="11533" max="11533" width="18.5703125" bestFit="1" customWidth="1"/>
    <col min="11534" max="11534" width="19.5703125" customWidth="1"/>
    <col min="11535" max="11535" width="18.5703125" customWidth="1"/>
    <col min="11536" max="11536" width="15.7109375" customWidth="1"/>
    <col min="11537" max="11537" width="22" customWidth="1"/>
    <col min="11778" max="11778" width="18.5703125" customWidth="1"/>
    <col min="11779" max="11779" width="3.5703125" customWidth="1"/>
    <col min="11780" max="11780" width="15.28515625" bestFit="1" customWidth="1"/>
    <col min="11781" max="11781" width="3.5703125" customWidth="1"/>
    <col min="11782" max="11782" width="16.85546875" customWidth="1"/>
    <col min="11783" max="11783" width="3.5703125" customWidth="1"/>
    <col min="11784" max="11784" width="13.28515625" bestFit="1" customWidth="1"/>
    <col min="11785" max="11785" width="3.5703125" customWidth="1"/>
    <col min="11786" max="11786" width="17" bestFit="1" customWidth="1"/>
    <col min="11787" max="11787" width="3.5703125" customWidth="1"/>
    <col min="11788" max="11788" width="15.85546875" customWidth="1"/>
    <col min="11789" max="11789" width="18.5703125" bestFit="1" customWidth="1"/>
    <col min="11790" max="11790" width="19.5703125" customWidth="1"/>
    <col min="11791" max="11791" width="18.5703125" customWidth="1"/>
    <col min="11792" max="11792" width="15.7109375" customWidth="1"/>
    <col min="11793" max="11793" width="22" customWidth="1"/>
    <col min="12034" max="12034" width="18.5703125" customWidth="1"/>
    <col min="12035" max="12035" width="3.5703125" customWidth="1"/>
    <col min="12036" max="12036" width="15.28515625" bestFit="1" customWidth="1"/>
    <col min="12037" max="12037" width="3.5703125" customWidth="1"/>
    <col min="12038" max="12038" width="16.85546875" customWidth="1"/>
    <col min="12039" max="12039" width="3.5703125" customWidth="1"/>
    <col min="12040" max="12040" width="13.28515625" bestFit="1" customWidth="1"/>
    <col min="12041" max="12041" width="3.5703125" customWidth="1"/>
    <col min="12042" max="12042" width="17" bestFit="1" customWidth="1"/>
    <col min="12043" max="12043" width="3.5703125" customWidth="1"/>
    <col min="12044" max="12044" width="15.85546875" customWidth="1"/>
    <col min="12045" max="12045" width="18.5703125" bestFit="1" customWidth="1"/>
    <col min="12046" max="12046" width="19.5703125" customWidth="1"/>
    <col min="12047" max="12047" width="18.5703125" customWidth="1"/>
    <col min="12048" max="12048" width="15.7109375" customWidth="1"/>
    <col min="12049" max="12049" width="22" customWidth="1"/>
    <col min="12290" max="12290" width="18.5703125" customWidth="1"/>
    <col min="12291" max="12291" width="3.5703125" customWidth="1"/>
    <col min="12292" max="12292" width="15.28515625" bestFit="1" customWidth="1"/>
    <col min="12293" max="12293" width="3.5703125" customWidth="1"/>
    <col min="12294" max="12294" width="16.85546875" customWidth="1"/>
    <col min="12295" max="12295" width="3.5703125" customWidth="1"/>
    <col min="12296" max="12296" width="13.28515625" bestFit="1" customWidth="1"/>
    <col min="12297" max="12297" width="3.5703125" customWidth="1"/>
    <col min="12298" max="12298" width="17" bestFit="1" customWidth="1"/>
    <col min="12299" max="12299" width="3.5703125" customWidth="1"/>
    <col min="12300" max="12300" width="15.85546875" customWidth="1"/>
    <col min="12301" max="12301" width="18.5703125" bestFit="1" customWidth="1"/>
    <col min="12302" max="12302" width="19.5703125" customWidth="1"/>
    <col min="12303" max="12303" width="18.5703125" customWidth="1"/>
    <col min="12304" max="12304" width="15.7109375" customWidth="1"/>
    <col min="12305" max="12305" width="22" customWidth="1"/>
    <col min="12546" max="12546" width="18.5703125" customWidth="1"/>
    <col min="12547" max="12547" width="3.5703125" customWidth="1"/>
    <col min="12548" max="12548" width="15.28515625" bestFit="1" customWidth="1"/>
    <col min="12549" max="12549" width="3.5703125" customWidth="1"/>
    <col min="12550" max="12550" width="16.85546875" customWidth="1"/>
    <col min="12551" max="12551" width="3.5703125" customWidth="1"/>
    <col min="12552" max="12552" width="13.28515625" bestFit="1" customWidth="1"/>
    <col min="12553" max="12553" width="3.5703125" customWidth="1"/>
    <col min="12554" max="12554" width="17" bestFit="1" customWidth="1"/>
    <col min="12555" max="12555" width="3.5703125" customWidth="1"/>
    <col min="12556" max="12556" width="15.85546875" customWidth="1"/>
    <col min="12557" max="12557" width="18.5703125" bestFit="1" customWidth="1"/>
    <col min="12558" max="12558" width="19.5703125" customWidth="1"/>
    <col min="12559" max="12559" width="18.5703125" customWidth="1"/>
    <col min="12560" max="12560" width="15.7109375" customWidth="1"/>
    <col min="12561" max="12561" width="22" customWidth="1"/>
    <col min="12802" max="12802" width="18.5703125" customWidth="1"/>
    <col min="12803" max="12803" width="3.5703125" customWidth="1"/>
    <col min="12804" max="12804" width="15.28515625" bestFit="1" customWidth="1"/>
    <col min="12805" max="12805" width="3.5703125" customWidth="1"/>
    <col min="12806" max="12806" width="16.85546875" customWidth="1"/>
    <col min="12807" max="12807" width="3.5703125" customWidth="1"/>
    <col min="12808" max="12808" width="13.28515625" bestFit="1" customWidth="1"/>
    <col min="12809" max="12809" width="3.5703125" customWidth="1"/>
    <col min="12810" max="12810" width="17" bestFit="1" customWidth="1"/>
    <col min="12811" max="12811" width="3.5703125" customWidth="1"/>
    <col min="12812" max="12812" width="15.85546875" customWidth="1"/>
    <col min="12813" max="12813" width="18.5703125" bestFit="1" customWidth="1"/>
    <col min="12814" max="12814" width="19.5703125" customWidth="1"/>
    <col min="12815" max="12815" width="18.5703125" customWidth="1"/>
    <col min="12816" max="12816" width="15.7109375" customWidth="1"/>
    <col min="12817" max="12817" width="22" customWidth="1"/>
    <col min="13058" max="13058" width="18.5703125" customWidth="1"/>
    <col min="13059" max="13059" width="3.5703125" customWidth="1"/>
    <col min="13060" max="13060" width="15.28515625" bestFit="1" customWidth="1"/>
    <col min="13061" max="13061" width="3.5703125" customWidth="1"/>
    <col min="13062" max="13062" width="16.85546875" customWidth="1"/>
    <col min="13063" max="13063" width="3.5703125" customWidth="1"/>
    <col min="13064" max="13064" width="13.28515625" bestFit="1" customWidth="1"/>
    <col min="13065" max="13065" width="3.5703125" customWidth="1"/>
    <col min="13066" max="13066" width="17" bestFit="1" customWidth="1"/>
    <col min="13067" max="13067" width="3.5703125" customWidth="1"/>
    <col min="13068" max="13068" width="15.85546875" customWidth="1"/>
    <col min="13069" max="13069" width="18.5703125" bestFit="1" customWidth="1"/>
    <col min="13070" max="13070" width="19.5703125" customWidth="1"/>
    <col min="13071" max="13071" width="18.5703125" customWidth="1"/>
    <col min="13072" max="13072" width="15.7109375" customWidth="1"/>
    <col min="13073" max="13073" width="22" customWidth="1"/>
    <col min="13314" max="13314" width="18.5703125" customWidth="1"/>
    <col min="13315" max="13315" width="3.5703125" customWidth="1"/>
    <col min="13316" max="13316" width="15.28515625" bestFit="1" customWidth="1"/>
    <col min="13317" max="13317" width="3.5703125" customWidth="1"/>
    <col min="13318" max="13318" width="16.85546875" customWidth="1"/>
    <col min="13319" max="13319" width="3.5703125" customWidth="1"/>
    <col min="13320" max="13320" width="13.28515625" bestFit="1" customWidth="1"/>
    <col min="13321" max="13321" width="3.5703125" customWidth="1"/>
    <col min="13322" max="13322" width="17" bestFit="1" customWidth="1"/>
    <col min="13323" max="13323" width="3.5703125" customWidth="1"/>
    <col min="13324" max="13324" width="15.85546875" customWidth="1"/>
    <col min="13325" max="13325" width="18.5703125" bestFit="1" customWidth="1"/>
    <col min="13326" max="13326" width="19.5703125" customWidth="1"/>
    <col min="13327" max="13327" width="18.5703125" customWidth="1"/>
    <col min="13328" max="13328" width="15.7109375" customWidth="1"/>
    <col min="13329" max="13329" width="22" customWidth="1"/>
    <col min="13570" max="13570" width="18.5703125" customWidth="1"/>
    <col min="13571" max="13571" width="3.5703125" customWidth="1"/>
    <col min="13572" max="13572" width="15.28515625" bestFit="1" customWidth="1"/>
    <col min="13573" max="13573" width="3.5703125" customWidth="1"/>
    <col min="13574" max="13574" width="16.85546875" customWidth="1"/>
    <col min="13575" max="13575" width="3.5703125" customWidth="1"/>
    <col min="13576" max="13576" width="13.28515625" bestFit="1" customWidth="1"/>
    <col min="13577" max="13577" width="3.5703125" customWidth="1"/>
    <col min="13578" max="13578" width="17" bestFit="1" customWidth="1"/>
    <col min="13579" max="13579" width="3.5703125" customWidth="1"/>
    <col min="13580" max="13580" width="15.85546875" customWidth="1"/>
    <col min="13581" max="13581" width="18.5703125" bestFit="1" customWidth="1"/>
    <col min="13582" max="13582" width="19.5703125" customWidth="1"/>
    <col min="13583" max="13583" width="18.5703125" customWidth="1"/>
    <col min="13584" max="13584" width="15.7109375" customWidth="1"/>
    <col min="13585" max="13585" width="22" customWidth="1"/>
    <col min="13826" max="13826" width="18.5703125" customWidth="1"/>
    <col min="13827" max="13827" width="3.5703125" customWidth="1"/>
    <col min="13828" max="13828" width="15.28515625" bestFit="1" customWidth="1"/>
    <col min="13829" max="13829" width="3.5703125" customWidth="1"/>
    <col min="13830" max="13830" width="16.85546875" customWidth="1"/>
    <col min="13831" max="13831" width="3.5703125" customWidth="1"/>
    <col min="13832" max="13832" width="13.28515625" bestFit="1" customWidth="1"/>
    <col min="13833" max="13833" width="3.5703125" customWidth="1"/>
    <col min="13834" max="13834" width="17" bestFit="1" customWidth="1"/>
    <col min="13835" max="13835" width="3.5703125" customWidth="1"/>
    <col min="13836" max="13836" width="15.85546875" customWidth="1"/>
    <col min="13837" max="13837" width="18.5703125" bestFit="1" customWidth="1"/>
    <col min="13838" max="13838" width="19.5703125" customWidth="1"/>
    <col min="13839" max="13839" width="18.5703125" customWidth="1"/>
    <col min="13840" max="13840" width="15.7109375" customWidth="1"/>
    <col min="13841" max="13841" width="22" customWidth="1"/>
    <col min="14082" max="14082" width="18.5703125" customWidth="1"/>
    <col min="14083" max="14083" width="3.5703125" customWidth="1"/>
    <col min="14084" max="14084" width="15.28515625" bestFit="1" customWidth="1"/>
    <col min="14085" max="14085" width="3.5703125" customWidth="1"/>
    <col min="14086" max="14086" width="16.85546875" customWidth="1"/>
    <col min="14087" max="14087" width="3.5703125" customWidth="1"/>
    <col min="14088" max="14088" width="13.28515625" bestFit="1" customWidth="1"/>
    <col min="14089" max="14089" width="3.5703125" customWidth="1"/>
    <col min="14090" max="14090" width="17" bestFit="1" customWidth="1"/>
    <col min="14091" max="14091" width="3.5703125" customWidth="1"/>
    <col min="14092" max="14092" width="15.85546875" customWidth="1"/>
    <col min="14093" max="14093" width="18.5703125" bestFit="1" customWidth="1"/>
    <col min="14094" max="14094" width="19.5703125" customWidth="1"/>
    <col min="14095" max="14095" width="18.5703125" customWidth="1"/>
    <col min="14096" max="14096" width="15.7109375" customWidth="1"/>
    <col min="14097" max="14097" width="22" customWidth="1"/>
    <col min="14338" max="14338" width="18.5703125" customWidth="1"/>
    <col min="14339" max="14339" width="3.5703125" customWidth="1"/>
    <col min="14340" max="14340" width="15.28515625" bestFit="1" customWidth="1"/>
    <col min="14341" max="14341" width="3.5703125" customWidth="1"/>
    <col min="14342" max="14342" width="16.85546875" customWidth="1"/>
    <col min="14343" max="14343" width="3.5703125" customWidth="1"/>
    <col min="14344" max="14344" width="13.28515625" bestFit="1" customWidth="1"/>
    <col min="14345" max="14345" width="3.5703125" customWidth="1"/>
    <col min="14346" max="14346" width="17" bestFit="1" customWidth="1"/>
    <col min="14347" max="14347" width="3.5703125" customWidth="1"/>
    <col min="14348" max="14348" width="15.85546875" customWidth="1"/>
    <col min="14349" max="14349" width="18.5703125" bestFit="1" customWidth="1"/>
    <col min="14350" max="14350" width="19.5703125" customWidth="1"/>
    <col min="14351" max="14351" width="18.5703125" customWidth="1"/>
    <col min="14352" max="14352" width="15.7109375" customWidth="1"/>
    <col min="14353" max="14353" width="22" customWidth="1"/>
    <col min="14594" max="14594" width="18.5703125" customWidth="1"/>
    <col min="14595" max="14595" width="3.5703125" customWidth="1"/>
    <col min="14596" max="14596" width="15.28515625" bestFit="1" customWidth="1"/>
    <col min="14597" max="14597" width="3.5703125" customWidth="1"/>
    <col min="14598" max="14598" width="16.85546875" customWidth="1"/>
    <col min="14599" max="14599" width="3.5703125" customWidth="1"/>
    <col min="14600" max="14600" width="13.28515625" bestFit="1" customWidth="1"/>
    <col min="14601" max="14601" width="3.5703125" customWidth="1"/>
    <col min="14602" max="14602" width="17" bestFit="1" customWidth="1"/>
    <col min="14603" max="14603" width="3.5703125" customWidth="1"/>
    <col min="14604" max="14604" width="15.85546875" customWidth="1"/>
    <col min="14605" max="14605" width="18.5703125" bestFit="1" customWidth="1"/>
    <col min="14606" max="14606" width="19.5703125" customWidth="1"/>
    <col min="14607" max="14607" width="18.5703125" customWidth="1"/>
    <col min="14608" max="14608" width="15.7109375" customWidth="1"/>
    <col min="14609" max="14609" width="22" customWidth="1"/>
    <col min="14850" max="14850" width="18.5703125" customWidth="1"/>
    <col min="14851" max="14851" width="3.5703125" customWidth="1"/>
    <col min="14852" max="14852" width="15.28515625" bestFit="1" customWidth="1"/>
    <col min="14853" max="14853" width="3.5703125" customWidth="1"/>
    <col min="14854" max="14854" width="16.85546875" customWidth="1"/>
    <col min="14855" max="14855" width="3.5703125" customWidth="1"/>
    <col min="14856" max="14856" width="13.28515625" bestFit="1" customWidth="1"/>
    <col min="14857" max="14857" width="3.5703125" customWidth="1"/>
    <col min="14858" max="14858" width="17" bestFit="1" customWidth="1"/>
    <col min="14859" max="14859" width="3.5703125" customWidth="1"/>
    <col min="14860" max="14860" width="15.85546875" customWidth="1"/>
    <col min="14861" max="14861" width="18.5703125" bestFit="1" customWidth="1"/>
    <col min="14862" max="14862" width="19.5703125" customWidth="1"/>
    <col min="14863" max="14863" width="18.5703125" customWidth="1"/>
    <col min="14864" max="14864" width="15.7109375" customWidth="1"/>
    <col min="14865" max="14865" width="22" customWidth="1"/>
    <col min="15106" max="15106" width="18.5703125" customWidth="1"/>
    <col min="15107" max="15107" width="3.5703125" customWidth="1"/>
    <col min="15108" max="15108" width="15.28515625" bestFit="1" customWidth="1"/>
    <col min="15109" max="15109" width="3.5703125" customWidth="1"/>
    <col min="15110" max="15110" width="16.85546875" customWidth="1"/>
    <col min="15111" max="15111" width="3.5703125" customWidth="1"/>
    <col min="15112" max="15112" width="13.28515625" bestFit="1" customWidth="1"/>
    <col min="15113" max="15113" width="3.5703125" customWidth="1"/>
    <col min="15114" max="15114" width="17" bestFit="1" customWidth="1"/>
    <col min="15115" max="15115" width="3.5703125" customWidth="1"/>
    <col min="15116" max="15116" width="15.85546875" customWidth="1"/>
    <col min="15117" max="15117" width="18.5703125" bestFit="1" customWidth="1"/>
    <col min="15118" max="15118" width="19.5703125" customWidth="1"/>
    <col min="15119" max="15119" width="18.5703125" customWidth="1"/>
    <col min="15120" max="15120" width="15.7109375" customWidth="1"/>
    <col min="15121" max="15121" width="22" customWidth="1"/>
    <col min="15362" max="15362" width="18.5703125" customWidth="1"/>
    <col min="15363" max="15363" width="3.5703125" customWidth="1"/>
    <col min="15364" max="15364" width="15.28515625" bestFit="1" customWidth="1"/>
    <col min="15365" max="15365" width="3.5703125" customWidth="1"/>
    <col min="15366" max="15366" width="16.85546875" customWidth="1"/>
    <col min="15367" max="15367" width="3.5703125" customWidth="1"/>
    <col min="15368" max="15368" width="13.28515625" bestFit="1" customWidth="1"/>
    <col min="15369" max="15369" width="3.5703125" customWidth="1"/>
    <col min="15370" max="15370" width="17" bestFit="1" customWidth="1"/>
    <col min="15371" max="15371" width="3.5703125" customWidth="1"/>
    <col min="15372" max="15372" width="15.85546875" customWidth="1"/>
    <col min="15373" max="15373" width="18.5703125" bestFit="1" customWidth="1"/>
    <col min="15374" max="15374" width="19.5703125" customWidth="1"/>
    <col min="15375" max="15375" width="18.5703125" customWidth="1"/>
    <col min="15376" max="15376" width="15.7109375" customWidth="1"/>
    <col min="15377" max="15377" width="22" customWidth="1"/>
    <col min="15618" max="15618" width="18.5703125" customWidth="1"/>
    <col min="15619" max="15619" width="3.5703125" customWidth="1"/>
    <col min="15620" max="15620" width="15.28515625" bestFit="1" customWidth="1"/>
    <col min="15621" max="15621" width="3.5703125" customWidth="1"/>
    <col min="15622" max="15622" width="16.85546875" customWidth="1"/>
    <col min="15623" max="15623" width="3.5703125" customWidth="1"/>
    <col min="15624" max="15624" width="13.28515625" bestFit="1" customWidth="1"/>
    <col min="15625" max="15625" width="3.5703125" customWidth="1"/>
    <col min="15626" max="15626" width="17" bestFit="1" customWidth="1"/>
    <col min="15627" max="15627" width="3.5703125" customWidth="1"/>
    <col min="15628" max="15628" width="15.85546875" customWidth="1"/>
    <col min="15629" max="15629" width="18.5703125" bestFit="1" customWidth="1"/>
    <col min="15630" max="15630" width="19.5703125" customWidth="1"/>
    <col min="15631" max="15631" width="18.5703125" customWidth="1"/>
    <col min="15632" max="15632" width="15.7109375" customWidth="1"/>
    <col min="15633" max="15633" width="22" customWidth="1"/>
    <col min="15874" max="15874" width="18.5703125" customWidth="1"/>
    <col min="15875" max="15875" width="3.5703125" customWidth="1"/>
    <col min="15876" max="15876" width="15.28515625" bestFit="1" customWidth="1"/>
    <col min="15877" max="15877" width="3.5703125" customWidth="1"/>
    <col min="15878" max="15878" width="16.85546875" customWidth="1"/>
    <col min="15879" max="15879" width="3.5703125" customWidth="1"/>
    <col min="15880" max="15880" width="13.28515625" bestFit="1" customWidth="1"/>
    <col min="15881" max="15881" width="3.5703125" customWidth="1"/>
    <col min="15882" max="15882" width="17" bestFit="1" customWidth="1"/>
    <col min="15883" max="15883" width="3.5703125" customWidth="1"/>
    <col min="15884" max="15884" width="15.85546875" customWidth="1"/>
    <col min="15885" max="15885" width="18.5703125" bestFit="1" customWidth="1"/>
    <col min="15886" max="15886" width="19.5703125" customWidth="1"/>
    <col min="15887" max="15887" width="18.5703125" customWidth="1"/>
    <col min="15888" max="15888" width="15.7109375" customWidth="1"/>
    <col min="15889" max="15889" width="22" customWidth="1"/>
    <col min="16130" max="16130" width="18.5703125" customWidth="1"/>
    <col min="16131" max="16131" width="3.5703125" customWidth="1"/>
    <col min="16132" max="16132" width="15.28515625" bestFit="1" customWidth="1"/>
    <col min="16133" max="16133" width="3.5703125" customWidth="1"/>
    <col min="16134" max="16134" width="16.85546875" customWidth="1"/>
    <col min="16135" max="16135" width="3.5703125" customWidth="1"/>
    <col min="16136" max="16136" width="13.28515625" bestFit="1" customWidth="1"/>
    <col min="16137" max="16137" width="3.5703125" customWidth="1"/>
    <col min="16138" max="16138" width="17" bestFit="1" customWidth="1"/>
    <col min="16139" max="16139" width="3.5703125" customWidth="1"/>
    <col min="16140" max="16140" width="15.85546875" customWidth="1"/>
    <col min="16141" max="16141" width="18.5703125" bestFit="1" customWidth="1"/>
    <col min="16142" max="16142" width="19.5703125" customWidth="1"/>
    <col min="16143" max="16143" width="18.5703125" customWidth="1"/>
    <col min="16144" max="16144" width="15.7109375" customWidth="1"/>
    <col min="16145" max="16145" width="22" customWidth="1"/>
  </cols>
  <sheetData>
    <row r="1" spans="1:17">
      <c r="A1" s="847" t="s">
        <v>779</v>
      </c>
      <c r="C1" s="105"/>
      <c r="O1" s="402"/>
      <c r="Q1" s="781" t="s">
        <v>1231</v>
      </c>
    </row>
    <row r="2" spans="1:17">
      <c r="A2" s="847" t="s">
        <v>383</v>
      </c>
      <c r="C2" s="105"/>
      <c r="O2" s="402"/>
      <c r="Q2" s="781" t="str">
        <f ca="1">MID(CELL("filename",$A$1),FIND("]",CELL("filename",$A$1))+1,LEN(CELL("filename",$A$1))-FIND("]",CELL("filename",$A$1)))</f>
        <v>Schedule 5</v>
      </c>
    </row>
    <row r="3" spans="1:17" ht="12" customHeight="1">
      <c r="A3" s="847" t="s">
        <v>500</v>
      </c>
      <c r="B3" s="403"/>
      <c r="C3" s="986"/>
    </row>
    <row r="4" spans="1:17">
      <c r="A4" s="847" t="s">
        <v>751</v>
      </c>
      <c r="C4" s="105"/>
    </row>
    <row r="5" spans="1:17">
      <c r="C5" s="105"/>
      <c r="J5" s="167"/>
      <c r="K5" s="167"/>
      <c r="L5" s="167"/>
      <c r="M5" s="167"/>
    </row>
    <row r="6" spans="1:17">
      <c r="C6" s="105"/>
      <c r="D6" s="105"/>
      <c r="F6" s="105"/>
      <c r="G6" s="105"/>
      <c r="H6" s="105"/>
      <c r="I6" s="105"/>
      <c r="J6" s="105"/>
      <c r="K6" s="105"/>
      <c r="L6" s="110"/>
      <c r="M6" s="411"/>
      <c r="N6" s="201"/>
      <c r="O6" s="201"/>
      <c r="P6" s="201"/>
      <c r="Q6" s="201"/>
    </row>
    <row r="7" spans="1:17">
      <c r="B7" s="105"/>
      <c r="C7" s="105"/>
      <c r="D7" s="105"/>
      <c r="E7" s="105"/>
      <c r="F7" s="105"/>
      <c r="G7" s="105"/>
      <c r="H7" s="105"/>
      <c r="I7" s="105"/>
      <c r="J7" s="105" t="s">
        <v>454</v>
      </c>
      <c r="K7" s="105"/>
      <c r="L7" s="110" t="s">
        <v>455</v>
      </c>
      <c r="M7" s="1039" t="s">
        <v>456</v>
      </c>
    </row>
    <row r="8" spans="1:17">
      <c r="B8" s="105"/>
      <c r="C8" s="105"/>
      <c r="D8" s="105"/>
      <c r="E8" s="105"/>
      <c r="F8" s="105" t="s">
        <v>454</v>
      </c>
      <c r="G8" s="105"/>
      <c r="H8" s="105" t="s">
        <v>460</v>
      </c>
      <c r="I8" s="105"/>
      <c r="J8" s="105" t="s">
        <v>461</v>
      </c>
      <c r="K8" s="105"/>
      <c r="L8" s="110" t="s">
        <v>462</v>
      </c>
      <c r="M8" s="1039" t="s">
        <v>463</v>
      </c>
      <c r="N8" s="201" t="s">
        <v>457</v>
      </c>
      <c r="O8" s="201" t="s">
        <v>458</v>
      </c>
      <c r="P8" s="201" t="s">
        <v>459</v>
      </c>
      <c r="Q8" s="201"/>
    </row>
    <row r="9" spans="1:17">
      <c r="C9" s="105"/>
      <c r="E9" s="105"/>
      <c r="F9" s="105" t="s">
        <v>461</v>
      </c>
      <c r="G9" s="105"/>
      <c r="H9" s="105" t="s">
        <v>431</v>
      </c>
      <c r="I9" s="105"/>
      <c r="J9" s="105" t="s">
        <v>467</v>
      </c>
      <c r="K9" s="105"/>
      <c r="L9" s="110" t="s">
        <v>468</v>
      </c>
      <c r="M9" s="1039" t="s">
        <v>473</v>
      </c>
      <c r="N9" s="201" t="s">
        <v>464</v>
      </c>
      <c r="O9" s="201" t="s">
        <v>465</v>
      </c>
      <c r="P9" s="201" t="s">
        <v>432</v>
      </c>
      <c r="Q9" s="201"/>
    </row>
    <row r="10" spans="1:17">
      <c r="A10" s="425" t="s">
        <v>868</v>
      </c>
      <c r="B10" s="425" t="s">
        <v>466</v>
      </c>
      <c r="C10" s="425"/>
      <c r="D10" s="436" t="s">
        <v>428</v>
      </c>
      <c r="E10" s="216"/>
      <c r="F10" s="714" t="s">
        <v>799</v>
      </c>
      <c r="G10" s="216"/>
      <c r="H10" s="436" t="s">
        <v>1341</v>
      </c>
      <c r="I10" s="216"/>
      <c r="J10" s="436" t="s">
        <v>470</v>
      </c>
      <c r="K10" s="216" t="s">
        <v>793</v>
      </c>
      <c r="L10" s="436" t="s">
        <v>471</v>
      </c>
      <c r="M10" s="1040" t="s">
        <v>648</v>
      </c>
      <c r="N10" s="714" t="s">
        <v>803</v>
      </c>
      <c r="O10" s="436" t="s">
        <v>558</v>
      </c>
      <c r="P10" s="436" t="s">
        <v>645</v>
      </c>
      <c r="Q10" s="201"/>
    </row>
    <row r="11" spans="1:17">
      <c r="A11" s="105"/>
      <c r="C11" s="201"/>
      <c r="D11" s="110" t="s">
        <v>1333</v>
      </c>
      <c r="E11" s="109"/>
      <c r="F11" s="110" t="s">
        <v>1334</v>
      </c>
      <c r="G11" s="110"/>
      <c r="H11" s="537" t="s">
        <v>1342</v>
      </c>
      <c r="I11" s="110"/>
      <c r="J11" s="110" t="s">
        <v>1335</v>
      </c>
      <c r="K11" s="110"/>
      <c r="L11" s="110" t="s">
        <v>1336</v>
      </c>
      <c r="M11" s="711" t="s">
        <v>1337</v>
      </c>
      <c r="N11" s="115" t="s">
        <v>1338</v>
      </c>
      <c r="O11" s="115" t="s">
        <v>1339</v>
      </c>
      <c r="P11" s="115" t="s">
        <v>1340</v>
      </c>
      <c r="Q11" s="201"/>
    </row>
    <row r="12" spans="1:17">
      <c r="B12" s="105"/>
      <c r="J12" s="105"/>
      <c r="L12" s="110"/>
      <c r="N12" s="105"/>
    </row>
    <row r="13" spans="1:17">
      <c r="A13" s="105">
        <v>1</v>
      </c>
      <c r="B13" s="493" t="str">
        <f>+'WP_Cost per Unit'!B11</f>
        <v>Arapahoe</v>
      </c>
      <c r="D13" s="493">
        <f>+'WP_Cost per Unit'!D11</f>
        <v>0</v>
      </c>
      <c r="E13" s="281"/>
      <c r="F13" s="493">
        <f>'Schedule 3 and 3A'!F13</f>
        <v>11.694485184877536</v>
      </c>
      <c r="H13" s="593">
        <f>D13/D$49</f>
        <v>0</v>
      </c>
      <c r="J13" s="493">
        <f>F13*H13</f>
        <v>0</v>
      </c>
      <c r="K13" s="281"/>
      <c r="L13" s="1041">
        <f>D13-J13</f>
        <v>0</v>
      </c>
      <c r="M13" s="497">
        <v>0</v>
      </c>
      <c r="N13" s="641">
        <f>WP_FCR!F28</f>
        <v>0.14519000000000001</v>
      </c>
      <c r="O13" s="493">
        <f>L13*N13*M13</f>
        <v>0</v>
      </c>
      <c r="P13" s="580">
        <f>IF(M13=0,0,'WP_Cost per Unit'!F11)</f>
        <v>0</v>
      </c>
      <c r="Q13" s="580"/>
    </row>
    <row r="14" spans="1:17">
      <c r="A14" s="105"/>
      <c r="B14" s="493"/>
      <c r="D14" s="281"/>
      <c r="E14" s="281"/>
      <c r="F14" s="281"/>
      <c r="H14" s="593"/>
      <c r="J14" s="281"/>
      <c r="K14" s="281"/>
      <c r="L14" s="1042"/>
      <c r="M14" s="498"/>
      <c r="N14" s="641"/>
      <c r="O14" s="281"/>
      <c r="P14" s="580"/>
      <c r="Q14" s="580"/>
    </row>
    <row r="15" spans="1:17">
      <c r="A15" s="105">
        <f>A13+1</f>
        <v>2</v>
      </c>
      <c r="B15" s="493" t="str">
        <f>+'WP_Cost per Unit'!B13</f>
        <v>Cherokee 5,6,7</v>
      </c>
      <c r="D15" s="493">
        <f>+'WP_Cost per Unit'!D13</f>
        <v>584050070</v>
      </c>
      <c r="E15" s="281"/>
      <c r="F15" s="281">
        <f>F$13</f>
        <v>11.694485184877536</v>
      </c>
      <c r="H15" s="593">
        <f>D15/D$49</f>
        <v>0.11052024963092529</v>
      </c>
      <c r="J15" s="281">
        <f>F15*H15</f>
        <v>1.2924774219378228</v>
      </c>
      <c r="K15" s="281"/>
      <c r="L15" s="1042">
        <f>D15-J15</f>
        <v>584050068.70752263</v>
      </c>
      <c r="M15" s="497">
        <v>1</v>
      </c>
      <c r="N15" s="641">
        <f>$N$13</f>
        <v>0.14519000000000001</v>
      </c>
      <c r="O15" s="281">
        <f>L15*N15*M15</f>
        <v>84798229.475645214</v>
      </c>
      <c r="P15" s="580">
        <f>IF(M15=0,0,'WP_Cost per Unit'!F13)</f>
        <v>625600</v>
      </c>
      <c r="Q15" s="580"/>
    </row>
    <row r="16" spans="1:17">
      <c r="B16" s="493"/>
      <c r="D16" s="281"/>
      <c r="E16" s="281"/>
      <c r="F16" s="281"/>
      <c r="H16" s="593"/>
      <c r="J16" s="281"/>
      <c r="K16" s="281"/>
      <c r="L16" s="1042"/>
      <c r="M16" s="498"/>
      <c r="N16" s="641"/>
      <c r="O16" s="281"/>
      <c r="P16" s="580"/>
      <c r="Q16" s="580"/>
    </row>
    <row r="17" spans="1:17">
      <c r="A17" s="105">
        <f>A15+1</f>
        <v>3</v>
      </c>
      <c r="B17" s="493" t="str">
        <f>+'WP_Cost per Unit'!B15</f>
        <v>Comanche</v>
      </c>
      <c r="D17" s="493">
        <f>+'WP_Cost per Unit'!D15</f>
        <v>1569696317.0899997</v>
      </c>
      <c r="E17" s="281"/>
      <c r="F17" s="281">
        <f>F$13</f>
        <v>11.694485184877536</v>
      </c>
      <c r="H17" s="593">
        <f>D17/D$49</f>
        <v>0.29703485663400542</v>
      </c>
      <c r="J17" s="494">
        <f>F17*H17</f>
        <v>3.473669730298599</v>
      </c>
      <c r="K17" s="281"/>
      <c r="L17" s="448">
        <f>D17-J17</f>
        <v>1569696313.6163299</v>
      </c>
      <c r="M17" s="497">
        <v>0</v>
      </c>
      <c r="N17" s="641">
        <f>$N$13</f>
        <v>0.14519000000000001</v>
      </c>
      <c r="O17" s="281">
        <f>L17*N17*M17</f>
        <v>0</v>
      </c>
      <c r="P17" s="580">
        <f>IF(M17=0,0,'WP_Cost per Unit'!F15)</f>
        <v>0</v>
      </c>
      <c r="Q17" s="580"/>
    </row>
    <row r="18" spans="1:17">
      <c r="B18" s="493"/>
      <c r="D18" s="281"/>
      <c r="E18" s="281"/>
      <c r="F18" s="281"/>
      <c r="H18" s="594"/>
      <c r="J18" s="281"/>
      <c r="K18" s="281"/>
      <c r="L18" s="1042"/>
      <c r="M18" s="498"/>
      <c r="N18" s="641"/>
      <c r="O18" s="281"/>
      <c r="P18" s="580"/>
      <c r="Q18" s="580"/>
    </row>
    <row r="19" spans="1:17">
      <c r="A19" s="105">
        <f>A17+1</f>
        <v>4</v>
      </c>
      <c r="B19" s="493" t="str">
        <f>+'WP_Cost per Unit'!B17</f>
        <v>Craig</v>
      </c>
      <c r="C19" s="105"/>
      <c r="D19" s="493">
        <f>+'WP_Cost per Unit'!D17</f>
        <v>98149468.760000005</v>
      </c>
      <c r="E19" s="281"/>
      <c r="F19" s="281">
        <f>F$13</f>
        <v>11.694485184877536</v>
      </c>
      <c r="H19" s="593">
        <f>D19/D$49</f>
        <v>1.8572900416736367E-2</v>
      </c>
      <c r="J19" s="281">
        <f>F19*H19</f>
        <v>0.21720050876372926</v>
      </c>
      <c r="K19" s="281"/>
      <c r="L19" s="1042">
        <f>D19-J19</f>
        <v>98149468.542799503</v>
      </c>
      <c r="M19" s="497">
        <v>0</v>
      </c>
      <c r="N19" s="641">
        <f>$N$13</f>
        <v>0.14519000000000001</v>
      </c>
      <c r="O19" s="281">
        <f>L19*N19*M19</f>
        <v>0</v>
      </c>
      <c r="P19" s="580">
        <f>IF(M19=0,0,'WP_Cost per Unit'!F17)</f>
        <v>0</v>
      </c>
      <c r="Q19" s="580"/>
    </row>
    <row r="20" spans="1:17">
      <c r="B20" s="493"/>
      <c r="C20" s="105"/>
      <c r="D20" s="281"/>
      <c r="E20" s="281"/>
      <c r="F20" s="281"/>
      <c r="H20" s="593"/>
      <c r="J20" s="281"/>
      <c r="K20" s="281"/>
      <c r="L20" s="1042"/>
      <c r="M20" s="498"/>
      <c r="N20" s="641"/>
      <c r="O20" s="281"/>
      <c r="P20" s="581"/>
      <c r="Q20" s="581"/>
    </row>
    <row r="21" spans="1:17">
      <c r="A21" s="105">
        <f>A19+1</f>
        <v>5</v>
      </c>
      <c r="B21" s="493" t="str">
        <f>+'WP_Cost per Unit'!B19</f>
        <v>Hayden</v>
      </c>
      <c r="C21" s="105"/>
      <c r="D21" s="493">
        <f>+'WP_Cost per Unit'!D19</f>
        <v>337843976.63999999</v>
      </c>
      <c r="E21" s="281"/>
      <c r="F21" s="281">
        <f>F$13</f>
        <v>11.694485184877536</v>
      </c>
      <c r="H21" s="593">
        <f>D21/D$49</f>
        <v>6.3930478827880791E-2</v>
      </c>
      <c r="J21" s="281">
        <f>F21*H21</f>
        <v>0.74763403751477886</v>
      </c>
      <c r="K21" s="281"/>
      <c r="L21" s="1042">
        <f>D21-J21</f>
        <v>337843975.89236593</v>
      </c>
      <c r="M21" s="497">
        <v>0</v>
      </c>
      <c r="N21" s="641">
        <f>$N$13</f>
        <v>0.14519000000000001</v>
      </c>
      <c r="O21" s="281">
        <f>L21*N21*M21</f>
        <v>0</v>
      </c>
      <c r="P21" s="580">
        <f>IF(M21=0,0,'WP_Cost per Unit'!F19)</f>
        <v>0</v>
      </c>
      <c r="Q21" s="580"/>
    </row>
    <row r="22" spans="1:17">
      <c r="B22" s="493"/>
      <c r="C22" s="105"/>
      <c r="D22" s="281"/>
      <c r="E22" s="281"/>
      <c r="F22" s="281"/>
      <c r="H22" s="593"/>
      <c r="J22" s="281"/>
      <c r="K22" s="281"/>
      <c r="L22" s="1042"/>
      <c r="M22" s="498"/>
      <c r="N22" s="641"/>
      <c r="O22" s="281"/>
      <c r="P22" s="581"/>
      <c r="Q22" s="581"/>
    </row>
    <row r="23" spans="1:17">
      <c r="A23" s="105">
        <f>A21+1</f>
        <v>6</v>
      </c>
      <c r="B23" s="493" t="str">
        <f>+'WP_Cost per Unit'!B21</f>
        <v>Pawnee</v>
      </c>
      <c r="C23" s="105"/>
      <c r="D23" s="493">
        <f>+'WP_Cost per Unit'!D21</f>
        <v>958133869.62</v>
      </c>
      <c r="E23" s="281"/>
      <c r="F23" s="281">
        <f>F$13</f>
        <v>11.694485184877536</v>
      </c>
      <c r="H23" s="593">
        <f>D23/D$49</f>
        <v>0.18130841838653802</v>
      </c>
      <c r="J23" s="281">
        <f>F23*H23</f>
        <v>2.1203086127149469</v>
      </c>
      <c r="K23" s="281"/>
      <c r="L23" s="1042">
        <f>D23-J23</f>
        <v>958133867.49969137</v>
      </c>
      <c r="M23" s="497">
        <v>1</v>
      </c>
      <c r="N23" s="641">
        <f>$N$13</f>
        <v>0.14519000000000001</v>
      </c>
      <c r="O23" s="281">
        <f>L23*N23*M23</f>
        <v>139111456.2222802</v>
      </c>
      <c r="P23" s="580">
        <f>IF(M23=0,0,'WP_Cost per Unit'!F21)</f>
        <v>552330</v>
      </c>
      <c r="Q23" s="580"/>
    </row>
    <row r="24" spans="1:17">
      <c r="B24" s="493"/>
      <c r="C24" s="105"/>
      <c r="D24" s="281"/>
      <c r="E24" s="281"/>
      <c r="F24" s="281"/>
      <c r="H24" s="593"/>
      <c r="J24" s="281"/>
      <c r="K24" s="281"/>
      <c r="L24" s="1042"/>
      <c r="M24" s="498"/>
      <c r="N24" s="641"/>
      <c r="O24" s="281"/>
      <c r="P24" s="581"/>
      <c r="Q24" s="581"/>
    </row>
    <row r="25" spans="1:17">
      <c r="A25" s="105">
        <f>A23+1</f>
        <v>7</v>
      </c>
      <c r="B25" s="493" t="str">
        <f>+'WP_Cost per Unit'!B23</f>
        <v>Valmont 5</v>
      </c>
      <c r="C25" s="105"/>
      <c r="D25" s="493">
        <f>+'WP_Cost per Unit'!D23</f>
        <v>141513680.36000001</v>
      </c>
      <c r="E25" s="281"/>
      <c r="F25" s="281">
        <f>F$13</f>
        <v>11.694485184877536</v>
      </c>
      <c r="H25" s="593">
        <f>D25/D$49</f>
        <v>2.677874395182963E-2</v>
      </c>
      <c r="J25" s="281">
        <f>F25*H25</f>
        <v>0.31316362441430051</v>
      </c>
      <c r="K25" s="281"/>
      <c r="L25" s="1042">
        <f>D25-J25</f>
        <v>141513680.04683638</v>
      </c>
      <c r="M25" s="497">
        <v>1</v>
      </c>
      <c r="N25" s="641">
        <f>$N$13</f>
        <v>0.14519000000000001</v>
      </c>
      <c r="O25" s="281">
        <f>L25*N25*M25</f>
        <v>20546371.206000175</v>
      </c>
      <c r="P25" s="580">
        <f>IF(M25=0,0,'WP_Cost per Unit'!F23)</f>
        <v>191680</v>
      </c>
      <c r="Q25" s="580"/>
    </row>
    <row r="26" spans="1:17">
      <c r="B26" s="493"/>
      <c r="C26" s="105"/>
      <c r="D26" s="281"/>
      <c r="E26" s="281"/>
      <c r="F26" s="281"/>
      <c r="H26" s="593"/>
      <c r="J26" s="281"/>
      <c r="K26" s="281"/>
      <c r="L26" s="1042"/>
      <c r="M26" s="498"/>
      <c r="N26" s="641"/>
      <c r="O26" s="281"/>
      <c r="P26" s="581"/>
      <c r="Q26" s="581"/>
    </row>
    <row r="27" spans="1:17">
      <c r="A27" s="105">
        <f>A25+1</f>
        <v>8</v>
      </c>
      <c r="B27" s="493" t="str">
        <f>+'WP_Cost per Unit'!B25</f>
        <v>Zuni</v>
      </c>
      <c r="C27" s="105"/>
      <c r="D27" s="493">
        <f>+'WP_Cost per Unit'!D25</f>
        <v>0</v>
      </c>
      <c r="E27" s="281"/>
      <c r="F27" s="281">
        <f>F$13</f>
        <v>11.694485184877536</v>
      </c>
      <c r="H27" s="593">
        <f>D27/D$49</f>
        <v>0</v>
      </c>
      <c r="J27" s="281">
        <f>F27*H27</f>
        <v>0</v>
      </c>
      <c r="K27" s="281"/>
      <c r="L27" s="1042">
        <f>D27-J27</f>
        <v>0</v>
      </c>
      <c r="M27" s="497">
        <v>0</v>
      </c>
      <c r="N27" s="641">
        <f>$N$13</f>
        <v>0.14519000000000001</v>
      </c>
      <c r="O27" s="281">
        <f>L27*N27*M27</f>
        <v>0</v>
      </c>
      <c r="P27" s="580">
        <f>IF(M27=0,0,'WP_Cost per Unit'!F25)</f>
        <v>0</v>
      </c>
      <c r="Q27" s="580"/>
    </row>
    <row r="28" spans="1:17">
      <c r="B28" s="493"/>
      <c r="C28" s="105"/>
      <c r="D28" s="281"/>
      <c r="E28" s="281"/>
      <c r="F28" s="281"/>
      <c r="H28" s="593"/>
      <c r="J28" s="281"/>
      <c r="K28" s="281"/>
      <c r="L28" s="1042"/>
      <c r="M28" s="498"/>
      <c r="N28" s="641"/>
      <c r="O28" s="281"/>
      <c r="P28" s="581"/>
      <c r="Q28" s="581"/>
    </row>
    <row r="29" spans="1:17">
      <c r="A29" s="105">
        <f>A27+1</f>
        <v>9</v>
      </c>
      <c r="B29" s="493" t="str">
        <f>+'WP_Cost per Unit'!B27</f>
        <v>Alamosa</v>
      </c>
      <c r="C29" s="105"/>
      <c r="D29" s="493">
        <f>+'WP_Cost per Unit'!D27</f>
        <v>9655556</v>
      </c>
      <c r="E29" s="281"/>
      <c r="F29" s="281">
        <f>F$13</f>
        <v>11.694485184877536</v>
      </c>
      <c r="H29" s="593">
        <f>D29/D$49</f>
        <v>1.8271283820672746E-3</v>
      </c>
      <c r="J29" s="281">
        <f>F29*H29</f>
        <v>2.1367325794955004E-2</v>
      </c>
      <c r="K29" s="281"/>
      <c r="L29" s="1042">
        <f>D29-J29</f>
        <v>9655555.9786326736</v>
      </c>
      <c r="M29" s="497">
        <v>1</v>
      </c>
      <c r="N29" s="641">
        <f>$N$13</f>
        <v>0.14519000000000001</v>
      </c>
      <c r="O29" s="281">
        <f>L29*N29*M29</f>
        <v>1401890.1725376779</v>
      </c>
      <c r="P29" s="580">
        <f>IF(M29=0,0,'WP_Cost per Unit'!F27)</f>
        <v>53280</v>
      </c>
      <c r="Q29" s="580"/>
    </row>
    <row r="30" spans="1:17">
      <c r="B30" s="493"/>
      <c r="C30" s="105"/>
      <c r="D30" s="281"/>
      <c r="E30" s="281"/>
      <c r="F30" s="281"/>
      <c r="H30" s="593"/>
      <c r="J30" s="281"/>
      <c r="K30" s="281"/>
      <c r="L30" s="1042"/>
      <c r="M30" s="498"/>
      <c r="N30" s="641"/>
      <c r="O30" s="281"/>
      <c r="P30" s="581"/>
      <c r="Q30" s="581"/>
    </row>
    <row r="31" spans="1:17">
      <c r="A31" s="105">
        <f>A29+1</f>
        <v>10</v>
      </c>
      <c r="B31" s="493" t="str">
        <f>+'WP_Cost per Unit'!B29</f>
        <v>Fort Lupton</v>
      </c>
      <c r="C31" s="105"/>
      <c r="D31" s="493">
        <f>+'WP_Cost per Unit'!D29</f>
        <v>13770078</v>
      </c>
      <c r="E31" s="281"/>
      <c r="F31" s="281">
        <f>F$13</f>
        <v>11.694485184877536</v>
      </c>
      <c r="H31" s="593">
        <f>D31/D$49</f>
        <v>2.6057225847046172E-3</v>
      </c>
      <c r="J31" s="281">
        <f>F31*H31</f>
        <v>3.0472584162728945E-2</v>
      </c>
      <c r="K31" s="281"/>
      <c r="L31" s="1042">
        <f>D31-J31</f>
        <v>13770077.969527416</v>
      </c>
      <c r="M31" s="497">
        <v>1</v>
      </c>
      <c r="N31" s="641">
        <f>$N$13</f>
        <v>0.14519000000000001</v>
      </c>
      <c r="O31" s="281">
        <f>L31*N31*M31</f>
        <v>1999277.6203956858</v>
      </c>
      <c r="P31" s="580">
        <f>IF(M31=0,0,'WP_Cost per Unit'!F29)</f>
        <v>100800</v>
      </c>
      <c r="Q31" s="580"/>
    </row>
    <row r="32" spans="1:17">
      <c r="B32" s="493"/>
      <c r="C32" s="105"/>
      <c r="D32" s="281"/>
      <c r="E32" s="281"/>
      <c r="F32" s="281"/>
      <c r="H32" s="593"/>
      <c r="J32" s="281"/>
      <c r="K32" s="281"/>
      <c r="L32" s="1042"/>
      <c r="M32" s="498"/>
      <c r="N32" s="641"/>
      <c r="O32" s="281"/>
      <c r="P32" s="581"/>
      <c r="Q32" s="581"/>
    </row>
    <row r="33" spans="1:17">
      <c r="A33" s="105">
        <f>A31+1</f>
        <v>11</v>
      </c>
      <c r="B33" s="493" t="str">
        <f>+'WP_Cost per Unit'!B31</f>
        <v>Fruita</v>
      </c>
      <c r="C33" s="105"/>
      <c r="D33" s="493">
        <f>+'WP_Cost per Unit'!D31</f>
        <v>3463907</v>
      </c>
      <c r="E33" s="281"/>
      <c r="F33" s="281">
        <f>F$13</f>
        <v>11.694485184877536</v>
      </c>
      <c r="H33" s="593">
        <f>D33/D$49</f>
        <v>6.5547781945871444E-4</v>
      </c>
      <c r="J33" s="281">
        <f>F33*H33</f>
        <v>7.6654756486757682E-3</v>
      </c>
      <c r="K33" s="281"/>
      <c r="L33" s="1042">
        <f>D33-J33</f>
        <v>3463906.9923345242</v>
      </c>
      <c r="M33" s="497">
        <v>0</v>
      </c>
      <c r="N33" s="641">
        <f>$N$13</f>
        <v>0.14519000000000001</v>
      </c>
      <c r="O33" s="281">
        <f>L33*N33*M33</f>
        <v>0</v>
      </c>
      <c r="P33" s="580">
        <f>IF(M33=0,0,'WP_Cost per Unit'!F31)</f>
        <v>0</v>
      </c>
      <c r="Q33" s="580"/>
    </row>
    <row r="34" spans="1:17">
      <c r="B34" s="493"/>
      <c r="C34" s="105"/>
      <c r="D34" s="281"/>
      <c r="E34" s="281"/>
      <c r="F34" s="281"/>
      <c r="H34" s="593"/>
      <c r="J34" s="281"/>
      <c r="K34" s="281"/>
      <c r="L34" s="1042"/>
      <c r="M34" s="498"/>
      <c r="N34" s="641"/>
      <c r="O34" s="281"/>
      <c r="P34" s="581"/>
      <c r="Q34" s="581"/>
    </row>
    <row r="35" spans="1:17">
      <c r="A35" s="105">
        <f>A33+1</f>
        <v>12</v>
      </c>
      <c r="B35" s="493" t="str">
        <f>+'WP_Cost per Unit'!B33</f>
        <v>Valmont 6</v>
      </c>
      <c r="C35" s="105"/>
      <c r="D35" s="493">
        <f>+'WP_Cost per Unit'!D33</f>
        <v>9643969</v>
      </c>
      <c r="E35" s="281"/>
      <c r="F35" s="281">
        <f>F$13</f>
        <v>11.694485184877536</v>
      </c>
      <c r="H35" s="593">
        <f>D35/D$49</f>
        <v>1.8249357650327908E-3</v>
      </c>
      <c r="J35" s="281">
        <f>F35*H35</f>
        <v>2.1341684267529124E-2</v>
      </c>
      <c r="K35" s="281"/>
      <c r="L35" s="1042">
        <f>D35-J35</f>
        <v>9643968.9786583167</v>
      </c>
      <c r="M35" s="497">
        <v>1</v>
      </c>
      <c r="N35" s="641">
        <f>$N$13</f>
        <v>0.14519000000000001</v>
      </c>
      <c r="O35" s="281">
        <f>L35*N35*M35</f>
        <v>1400207.8560114012</v>
      </c>
      <c r="P35" s="580">
        <f>IF(M35=0,0,'WP_Cost per Unit'!F33)</f>
        <v>59300</v>
      </c>
      <c r="Q35" s="580"/>
    </row>
    <row r="36" spans="1:17">
      <c r="B36" s="493"/>
      <c r="C36" s="105"/>
      <c r="D36" s="281"/>
      <c r="E36" s="281"/>
      <c r="F36" s="281"/>
      <c r="H36" s="593"/>
      <c r="J36" s="281"/>
      <c r="K36" s="281"/>
      <c r="L36" s="1042"/>
      <c r="M36" s="498"/>
      <c r="N36" s="641"/>
      <c r="O36" s="281"/>
      <c r="P36" s="581"/>
      <c r="Q36" s="581"/>
    </row>
    <row r="37" spans="1:17">
      <c r="A37" s="105">
        <f>A35+1</f>
        <v>13</v>
      </c>
      <c r="B37" s="493" t="str">
        <f>+'WP_Cost per Unit'!B35</f>
        <v>Fort St. Vrain 1-4</v>
      </c>
      <c r="C37" s="105"/>
      <c r="D37" s="493">
        <f>+'WP_Cost per Unit'!D35</f>
        <v>432452931.79000002</v>
      </c>
      <c r="E37" s="281"/>
      <c r="F37" s="281">
        <f>F$13</f>
        <v>11.694485184877536</v>
      </c>
      <c r="H37" s="593">
        <f>D37/D$49</f>
        <v>8.1833405096683423E-2</v>
      </c>
      <c r="J37" s="281">
        <f>F37*H37</f>
        <v>0.95699954353124617</v>
      </c>
      <c r="K37" s="281"/>
      <c r="L37" s="1042">
        <f>D37-J37</f>
        <v>432452930.83300048</v>
      </c>
      <c r="M37" s="497">
        <v>1</v>
      </c>
      <c r="N37" s="641">
        <f>$N$13</f>
        <v>0.14519000000000001</v>
      </c>
      <c r="O37" s="281">
        <f>L37*N37*M37</f>
        <v>62787841.027643345</v>
      </c>
      <c r="P37" s="580">
        <f>IF(M37=0,0,'WP_Cost per Unit'!F35)</f>
        <v>867850</v>
      </c>
      <c r="Q37" s="580"/>
    </row>
    <row r="38" spans="1:17">
      <c r="B38" s="493"/>
      <c r="C38" s="105"/>
      <c r="D38" s="281"/>
      <c r="E38" s="281"/>
      <c r="F38" s="281"/>
      <c r="H38" s="593"/>
      <c r="J38" s="281"/>
      <c r="K38" s="281"/>
      <c r="L38" s="1042"/>
      <c r="M38" s="498"/>
      <c r="N38" s="641"/>
      <c r="O38" s="281"/>
      <c r="P38" s="581"/>
      <c r="Q38" s="581"/>
    </row>
    <row r="39" spans="1:17">
      <c r="A39" s="105">
        <f>A37+1</f>
        <v>14</v>
      </c>
      <c r="B39" s="493" t="str">
        <f>+'WP_Cost per Unit'!B37</f>
        <v>Fort St. Vrain 5-6</v>
      </c>
      <c r="C39" s="105"/>
      <c r="D39" s="493">
        <f>+'WP_Cost per Unit'!D37</f>
        <v>165657754</v>
      </c>
      <c r="E39" s="281"/>
      <c r="F39" s="281">
        <f>F$13</f>
        <v>11.694485184877536</v>
      </c>
      <c r="H39" s="593">
        <f>D39/D$49</f>
        <v>3.1347545811232266E-2</v>
      </c>
      <c r="J39" s="281">
        <f>F39*H39</f>
        <v>0.36659341007172558</v>
      </c>
      <c r="K39" s="281"/>
      <c r="L39" s="1042">
        <f>D39-J39</f>
        <v>165657753.63340658</v>
      </c>
      <c r="M39" s="497">
        <v>1</v>
      </c>
      <c r="N39" s="641">
        <f>$N$13</f>
        <v>0.14519000000000001</v>
      </c>
      <c r="O39" s="281">
        <f>L39*N39*M39</f>
        <v>24051849.250034302</v>
      </c>
      <c r="P39" s="580">
        <f>IF(M39=0,0,'WP_Cost per Unit'!F37)</f>
        <v>280500</v>
      </c>
      <c r="Q39" s="580"/>
    </row>
    <row r="40" spans="1:17">
      <c r="B40" s="493"/>
      <c r="C40" s="105"/>
      <c r="D40" s="281"/>
      <c r="E40" s="281"/>
      <c r="F40" s="281"/>
      <c r="H40" s="593"/>
      <c r="J40" s="281"/>
      <c r="K40" s="281"/>
      <c r="L40" s="1042"/>
      <c r="M40" s="498"/>
      <c r="N40" s="641"/>
      <c r="O40" s="281"/>
      <c r="P40" s="580"/>
      <c r="Q40" s="580"/>
    </row>
    <row r="41" spans="1:17">
      <c r="A41" s="105">
        <f>A39+1</f>
        <v>15</v>
      </c>
      <c r="B41" s="493" t="str">
        <f>+'WP_Cost per Unit'!B39</f>
        <v>Blue Spruce</v>
      </c>
      <c r="C41" s="105"/>
      <c r="D41" s="493">
        <f>+'WP_Cost per Unit'!D39</f>
        <v>218412942.02000001</v>
      </c>
      <c r="E41" s="281"/>
      <c r="F41" s="281">
        <f>F$13</f>
        <v>11.694485184877536</v>
      </c>
      <c r="H41" s="593">
        <f>D41/D$49</f>
        <v>4.1330451128402765E-2</v>
      </c>
      <c r="J41" s="281">
        <f>F41*H41</f>
        <v>0.48333834840541118</v>
      </c>
      <c r="K41" s="281"/>
      <c r="L41" s="1042">
        <f>D41-J41</f>
        <v>218412941.53666165</v>
      </c>
      <c r="M41" s="497">
        <v>1</v>
      </c>
      <c r="N41" s="641">
        <f>$N$13</f>
        <v>0.14519000000000001</v>
      </c>
      <c r="O41" s="281">
        <f>L41*N41*M41</f>
        <v>31711374.981707908</v>
      </c>
      <c r="P41" s="580">
        <f>IF(M41=0,0,'WP_Cost per Unit'!F39)</f>
        <v>397800</v>
      </c>
      <c r="Q41" s="580"/>
    </row>
    <row r="42" spans="1:17">
      <c r="B42" s="493"/>
      <c r="C42" s="105"/>
      <c r="D42" s="281"/>
      <c r="E42" s="281"/>
      <c r="F42" s="281"/>
      <c r="H42" s="593"/>
      <c r="J42" s="281"/>
      <c r="K42" s="281"/>
      <c r="L42" s="1042"/>
      <c r="M42" s="498"/>
      <c r="N42" s="641"/>
      <c r="O42" s="281"/>
      <c r="P42" s="580"/>
      <c r="Q42" s="580"/>
    </row>
    <row r="43" spans="1:17">
      <c r="A43" s="105">
        <f>A41+1</f>
        <v>16</v>
      </c>
      <c r="B43" s="493" t="str">
        <f>+'WP_Cost per Unit'!B41</f>
        <v>Rocky Mountain</v>
      </c>
      <c r="C43" s="105"/>
      <c r="D43" s="493">
        <f>+'WP_Cost per Unit'!D41</f>
        <v>403569587.74000001</v>
      </c>
      <c r="E43" s="281"/>
      <c r="F43" s="281">
        <f>F$13</f>
        <v>11.694485184877536</v>
      </c>
      <c r="H43" s="593">
        <f>D43/D$49</f>
        <v>7.6367787406436585E-2</v>
      </c>
      <c r="J43" s="281">
        <f>F43*H43</f>
        <v>0.89308195842644988</v>
      </c>
      <c r="K43" s="281"/>
      <c r="L43" s="1042">
        <f>D43-J43</f>
        <v>403569586.84691805</v>
      </c>
      <c r="M43" s="497">
        <v>1</v>
      </c>
      <c r="N43" s="641">
        <f>$N$13</f>
        <v>0.14519000000000001</v>
      </c>
      <c r="O43" s="281">
        <f>L43*N43*M43</f>
        <v>58594268.314304039</v>
      </c>
      <c r="P43" s="580">
        <f>IF(M43=0,0,'WP_Cost per Unit'!F41)</f>
        <v>685100</v>
      </c>
      <c r="Q43" s="580"/>
    </row>
    <row r="44" spans="1:17">
      <c r="B44" s="493"/>
      <c r="C44" s="105"/>
      <c r="D44" s="281"/>
      <c r="E44" s="281"/>
      <c r="F44" s="281"/>
      <c r="H44" s="593"/>
      <c r="J44" s="281"/>
      <c r="K44" s="281"/>
      <c r="L44" s="1042"/>
      <c r="M44" s="498"/>
      <c r="N44" s="641"/>
      <c r="O44" s="281"/>
      <c r="P44" s="580"/>
      <c r="Q44" s="580"/>
    </row>
    <row r="45" spans="1:17">
      <c r="A45" s="105">
        <f>A43+1</f>
        <v>17</v>
      </c>
      <c r="B45" s="493" t="str">
        <f>+'WP_Cost per Unit'!B43</f>
        <v>Cherokee 3,4</v>
      </c>
      <c r="C45" s="105"/>
      <c r="D45" s="493">
        <f>+'WP_Cost per Unit'!D43</f>
        <v>277711782</v>
      </c>
      <c r="E45" s="281"/>
      <c r="F45" s="281">
        <f>F$13</f>
        <v>11.694485184877536</v>
      </c>
      <c r="H45" s="593">
        <f>D45/D$49</f>
        <v>5.2551616802458574E-2</v>
      </c>
      <c r="J45" s="281">
        <f>F45*H45</f>
        <v>0.61456410413771312</v>
      </c>
      <c r="K45" s="281"/>
      <c r="L45" s="1042">
        <f>D45-J45</f>
        <v>277711781.38543588</v>
      </c>
      <c r="M45" s="497">
        <v>0</v>
      </c>
      <c r="N45" s="641">
        <f>$N$13</f>
        <v>0.14519000000000001</v>
      </c>
      <c r="O45" s="281">
        <f>L45*N45*M45</f>
        <v>0</v>
      </c>
      <c r="P45" s="580">
        <f>IF(M45=0,0,'WP_Cost per Unit'!F43)</f>
        <v>0</v>
      </c>
      <c r="Q45" s="580"/>
    </row>
    <row r="46" spans="1:17">
      <c r="B46" s="121"/>
      <c r="C46" s="105"/>
      <c r="D46" s="281"/>
      <c r="E46" s="281"/>
      <c r="F46" s="281"/>
      <c r="H46" s="593"/>
      <c r="J46" s="281"/>
      <c r="K46" s="281"/>
      <c r="L46" s="1042"/>
      <c r="M46" s="498"/>
      <c r="N46" s="641"/>
      <c r="O46" s="281"/>
      <c r="P46" s="581"/>
      <c r="Q46" s="581"/>
    </row>
    <row r="47" spans="1:17">
      <c r="A47" s="105">
        <f>A45+1</f>
        <v>18</v>
      </c>
      <c r="B47" s="493" t="str">
        <f>+'WP_Cost per Unit'!B45</f>
        <v>Cabin Creek</v>
      </c>
      <c r="C47" s="105"/>
      <c r="D47" s="493">
        <f>+'WP_Cost per Unit'!D45</f>
        <v>60826687</v>
      </c>
      <c r="E47" s="281"/>
      <c r="F47" s="281">
        <f>F$13</f>
        <v>11.694485184877536</v>
      </c>
      <c r="H47" s="593">
        <f>D47/D$49</f>
        <v>1.1510281355607334E-2</v>
      </c>
      <c r="J47" s="281">
        <f>F47*H47</f>
        <v>0.1346068147869221</v>
      </c>
      <c r="K47" s="281"/>
      <c r="L47" s="1042">
        <f>D47-J47</f>
        <v>60826686.865393184</v>
      </c>
      <c r="M47" s="497">
        <v>1</v>
      </c>
      <c r="N47" s="641">
        <f>$N$13</f>
        <v>0.14519000000000001</v>
      </c>
      <c r="O47" s="281">
        <f>L47*N47*M47</f>
        <v>8831426.6659864374</v>
      </c>
      <c r="P47" s="580">
        <f>IF(M47=0,0,'WP_Cost per Unit'!F45)</f>
        <v>300000</v>
      </c>
      <c r="Q47" s="580"/>
    </row>
    <row r="48" spans="1:17">
      <c r="B48" s="105"/>
      <c r="C48" s="105"/>
      <c r="O48" s="404"/>
      <c r="P48" s="578"/>
      <c r="Q48" s="578"/>
    </row>
    <row r="49" spans="1:17">
      <c r="A49" s="105">
        <f>A47+1</f>
        <v>19</v>
      </c>
      <c r="C49" s="150" t="s">
        <v>642</v>
      </c>
      <c r="D49" s="419">
        <f>SUM(D13:D47)</f>
        <v>5284552577.0200005</v>
      </c>
      <c r="H49" s="598">
        <f>SUM(H13:H47)</f>
        <v>0.99999999999999989</v>
      </c>
      <c r="I49" s="113"/>
      <c r="J49" s="419">
        <f>SUM(J13:J47)</f>
        <v>11.694485184877534</v>
      </c>
      <c r="K49" s="113"/>
      <c r="L49" s="419">
        <f>SUM(L13:L47)</f>
        <v>5284552565.3255148</v>
      </c>
      <c r="M49" s="113"/>
      <c r="N49" s="113"/>
      <c r="O49" s="419">
        <f>SUM(O13:O47)</f>
        <v>435234192.79254645</v>
      </c>
      <c r="P49" s="579">
        <f>SUM(P13:P47)</f>
        <v>4114240</v>
      </c>
      <c r="Q49" s="579"/>
    </row>
    <row r="50" spans="1:17">
      <c r="B50" s="105"/>
    </row>
    <row r="51" spans="1:17">
      <c r="A51" s="105">
        <f>A49+1</f>
        <v>20</v>
      </c>
      <c r="B51" t="s">
        <v>876</v>
      </c>
      <c r="C51" s="105"/>
    </row>
    <row r="52" spans="1:17">
      <c r="B52" t="s">
        <v>643</v>
      </c>
      <c r="C52" s="105"/>
    </row>
    <row r="53" spans="1:17">
      <c r="A53" s="105">
        <f>A51+1</f>
        <v>21</v>
      </c>
      <c r="B53" t="s">
        <v>1837</v>
      </c>
      <c r="N53" s="150" t="s">
        <v>472</v>
      </c>
      <c r="O53" s="712">
        <f>O49/P49</f>
        <v>105.78726394000994</v>
      </c>
      <c r="P53" t="s">
        <v>336</v>
      </c>
    </row>
    <row r="54" spans="1:17">
      <c r="A54" s="105"/>
      <c r="B54" t="s">
        <v>1776</v>
      </c>
      <c r="C54" s="105"/>
      <c r="O54" s="418"/>
      <c r="P54" s="404"/>
      <c r="Q54" s="404"/>
    </row>
    <row r="55" spans="1:17">
      <c r="A55" s="105">
        <f>A53+1</f>
        <v>22</v>
      </c>
      <c r="B55" t="s">
        <v>1836</v>
      </c>
      <c r="C55" s="105"/>
      <c r="N55" s="1043" t="s">
        <v>127</v>
      </c>
      <c r="O55" s="712">
        <f>ROUND(O53/12,3)</f>
        <v>8.8160000000000007</v>
      </c>
      <c r="P55" t="s">
        <v>649</v>
      </c>
    </row>
    <row r="56" spans="1:17">
      <c r="A56" s="105"/>
      <c r="C56" s="105"/>
      <c r="K56" s="105"/>
      <c r="O56" s="712"/>
    </row>
    <row r="57" spans="1:17">
      <c r="A57" s="105">
        <f>A55+1</f>
        <v>23</v>
      </c>
      <c r="C57" s="105"/>
      <c r="K57" s="105"/>
      <c r="N57" s="1043" t="s">
        <v>128</v>
      </c>
      <c r="O57" s="712">
        <f>ROUND(O53/52,3)</f>
        <v>2.0339999999999998</v>
      </c>
      <c r="P57" t="s">
        <v>755</v>
      </c>
    </row>
    <row r="58" spans="1:17">
      <c r="A58" s="105"/>
      <c r="C58" s="105"/>
      <c r="K58" s="105"/>
      <c r="O58" s="712"/>
    </row>
    <row r="59" spans="1:17">
      <c r="A59" s="105">
        <f>A57+1</f>
        <v>24</v>
      </c>
      <c r="C59" s="105"/>
      <c r="N59" s="1043" t="s">
        <v>202</v>
      </c>
      <c r="O59" s="712">
        <f>ROUND(O57/6,3)</f>
        <v>0.33900000000000002</v>
      </c>
      <c r="P59" s="1044" t="s">
        <v>756</v>
      </c>
      <c r="Q59" s="1044"/>
    </row>
    <row r="60" spans="1:17" s="109" customFormat="1">
      <c r="A60" s="110">
        <f>A59+1</f>
        <v>25</v>
      </c>
      <c r="C60" s="110"/>
      <c r="N60" s="1045" t="s">
        <v>203</v>
      </c>
      <c r="O60" s="1004">
        <f>ROUND(O57/7,3)</f>
        <v>0.29099999999999998</v>
      </c>
      <c r="P60" s="109" t="str">
        <f>"$ per kW - day (Line "&amp;H57&amp;" / 7)"</f>
        <v>$ per kW - day (Line  / 7)</v>
      </c>
      <c r="Q60" s="1046"/>
    </row>
    <row r="61" spans="1:17">
      <c r="N61" s="150"/>
      <c r="O61" s="712"/>
    </row>
    <row r="62" spans="1:17">
      <c r="A62" s="105">
        <f>A60+1</f>
        <v>26</v>
      </c>
      <c r="C62" s="105"/>
      <c r="N62" s="1043" t="s">
        <v>204</v>
      </c>
      <c r="O62" s="712">
        <f>ROUND(((O59/16)*1000),3)</f>
        <v>21.187999999999999</v>
      </c>
      <c r="P62" s="1044" t="s">
        <v>646</v>
      </c>
      <c r="Q62" s="1044"/>
    </row>
    <row r="63" spans="1:17" s="109" customFormat="1">
      <c r="A63" s="110">
        <f>A62+1</f>
        <v>27</v>
      </c>
      <c r="C63" s="110"/>
      <c r="N63" s="1045" t="s">
        <v>205</v>
      </c>
      <c r="O63" s="1004">
        <f>ROUND((O60/24)*1000,3)</f>
        <v>12.125</v>
      </c>
      <c r="P63" s="109" t="s">
        <v>207</v>
      </c>
      <c r="Q63" s="1046"/>
    </row>
    <row r="64" spans="1:17">
      <c r="C64" s="105"/>
      <c r="O64" s="109"/>
    </row>
    <row r="65" spans="1:16">
      <c r="A65" s="105">
        <f>A62+1</f>
        <v>27</v>
      </c>
      <c r="C65" s="105"/>
      <c r="M65" s="150"/>
      <c r="N65" s="1043" t="s">
        <v>131</v>
      </c>
      <c r="O65" s="713">
        <f>O55</f>
        <v>8.8160000000000007</v>
      </c>
      <c r="P65" t="s">
        <v>647</v>
      </c>
    </row>
    <row r="66" spans="1:16">
      <c r="C66" s="105"/>
    </row>
    <row r="67" spans="1:16">
      <c r="C67" s="105"/>
    </row>
    <row r="68" spans="1:16">
      <c r="C68" s="105"/>
    </row>
    <row r="69" spans="1:16">
      <c r="C69" s="105"/>
    </row>
    <row r="70" spans="1:16">
      <c r="C70" s="105"/>
    </row>
    <row r="71" spans="1:16">
      <c r="C71" s="105"/>
    </row>
    <row r="72" spans="1:16">
      <c r="C72" s="105"/>
      <c r="H72" s="1192"/>
    </row>
    <row r="73" spans="1:16">
      <c r="C73" s="105"/>
      <c r="H73" s="1193"/>
    </row>
    <row r="74" spans="1:16">
      <c r="C74" s="105"/>
    </row>
    <row r="75" spans="1:16">
      <c r="C75" s="105"/>
    </row>
    <row r="76" spans="1:16">
      <c r="C76" s="105"/>
    </row>
    <row r="77" spans="1:16">
      <c r="C77" s="105"/>
    </row>
    <row r="78" spans="1:16">
      <c r="C78" s="105"/>
    </row>
    <row r="79" spans="1:16">
      <c r="C79" s="105"/>
    </row>
    <row r="80" spans="1:16">
      <c r="C80" s="105"/>
    </row>
    <row r="81" spans="3:3">
      <c r="C81" s="105"/>
    </row>
    <row r="82" spans="3:3">
      <c r="C82" s="105"/>
    </row>
    <row r="83" spans="3:3">
      <c r="C83" s="105"/>
    </row>
    <row r="84" spans="3:3">
      <c r="C84" s="105"/>
    </row>
    <row r="85" spans="3:3">
      <c r="C85" s="105"/>
    </row>
    <row r="86" spans="3:3">
      <c r="C86" s="105"/>
    </row>
    <row r="87" spans="3:3">
      <c r="C87" s="105"/>
    </row>
    <row r="88" spans="3:3">
      <c r="C88" s="105"/>
    </row>
    <row r="89" spans="3:3">
      <c r="C89" s="105"/>
    </row>
    <row r="90" spans="3:3">
      <c r="C90" s="105"/>
    </row>
    <row r="91" spans="3:3">
      <c r="C91" s="105"/>
    </row>
    <row r="92" spans="3:3">
      <c r="C92" s="105"/>
    </row>
    <row r="93" spans="3:3">
      <c r="C93" s="105"/>
    </row>
    <row r="94" spans="3:3">
      <c r="C94" s="105"/>
    </row>
    <row r="95" spans="3:3">
      <c r="C95" s="105"/>
    </row>
    <row r="96" spans="3:3">
      <c r="C96" s="105"/>
    </row>
    <row r="97" spans="3:3">
      <c r="C97" s="105"/>
    </row>
    <row r="98" spans="3:3">
      <c r="C98" s="105"/>
    </row>
    <row r="99" spans="3:3">
      <c r="C99" s="105"/>
    </row>
    <row r="100" spans="3:3">
      <c r="C100" s="105"/>
    </row>
    <row r="101" spans="3:3">
      <c r="C101" s="105"/>
    </row>
    <row r="102" spans="3:3">
      <c r="C102" s="105"/>
    </row>
    <row r="103" spans="3:3">
      <c r="C103" s="105"/>
    </row>
    <row r="104" spans="3:3">
      <c r="C104" s="105"/>
    </row>
    <row r="105" spans="3:3">
      <c r="C105" s="105"/>
    </row>
    <row r="106" spans="3:3">
      <c r="C106" s="105"/>
    </row>
    <row r="107" spans="3:3">
      <c r="C107" s="105"/>
    </row>
    <row r="108" spans="3:3">
      <c r="C108" s="105"/>
    </row>
    <row r="109" spans="3:3">
      <c r="C109" s="105"/>
    </row>
    <row r="110" spans="3:3">
      <c r="C110" s="105"/>
    </row>
    <row r="111" spans="3:3">
      <c r="C111" s="105"/>
    </row>
    <row r="112" spans="3:3">
      <c r="C112" s="105"/>
    </row>
    <row r="113" spans="3:3">
      <c r="C113" s="105"/>
    </row>
    <row r="114" spans="3:3">
      <c r="C114" s="105"/>
    </row>
    <row r="115" spans="3:3">
      <c r="C115" s="105"/>
    </row>
    <row r="116" spans="3:3">
      <c r="C116" s="105"/>
    </row>
    <row r="117" spans="3:3">
      <c r="C117" s="105"/>
    </row>
    <row r="118" spans="3:3">
      <c r="C118" s="105"/>
    </row>
    <row r="119" spans="3:3">
      <c r="C119" s="105"/>
    </row>
    <row r="120" spans="3:3">
      <c r="C120" s="105"/>
    </row>
    <row r="121" spans="3:3">
      <c r="C121" s="105"/>
    </row>
    <row r="122" spans="3:3">
      <c r="C122" s="105"/>
    </row>
    <row r="123" spans="3:3">
      <c r="C123" s="105"/>
    </row>
    <row r="124" spans="3:3">
      <c r="C124" s="105"/>
    </row>
    <row r="125" spans="3:3">
      <c r="C125" s="105"/>
    </row>
    <row r="126" spans="3:3">
      <c r="C126" s="105"/>
    </row>
    <row r="127" spans="3:3">
      <c r="C127" s="105"/>
    </row>
    <row r="128" spans="3:3">
      <c r="C128" s="105"/>
    </row>
    <row r="129" spans="3:3">
      <c r="C129" s="105"/>
    </row>
    <row r="130" spans="3:3">
      <c r="C130" s="105"/>
    </row>
    <row r="131" spans="3:3">
      <c r="C131" s="105"/>
    </row>
    <row r="132" spans="3:3">
      <c r="C132" s="105"/>
    </row>
    <row r="133" spans="3:3">
      <c r="C133" s="105"/>
    </row>
    <row r="134" spans="3:3">
      <c r="C134" s="105"/>
    </row>
    <row r="135" spans="3:3">
      <c r="C135" s="105"/>
    </row>
    <row r="136" spans="3:3">
      <c r="C136" s="105"/>
    </row>
    <row r="137" spans="3:3">
      <c r="C137" s="105"/>
    </row>
    <row r="138" spans="3:3">
      <c r="C138" s="105"/>
    </row>
    <row r="139" spans="3:3">
      <c r="C139" s="105"/>
    </row>
    <row r="140" spans="3:3">
      <c r="C140" s="105"/>
    </row>
    <row r="141" spans="3:3">
      <c r="C141" s="105"/>
    </row>
    <row r="142" spans="3:3">
      <c r="C142" s="105"/>
    </row>
    <row r="143" spans="3:3">
      <c r="C143" s="105"/>
    </row>
    <row r="144" spans="3:3">
      <c r="C144" s="105"/>
    </row>
    <row r="145" spans="3:3">
      <c r="C145" s="105"/>
    </row>
    <row r="146" spans="3:3">
      <c r="C146" s="105"/>
    </row>
    <row r="147" spans="3:3">
      <c r="C147" s="105"/>
    </row>
    <row r="148" spans="3:3">
      <c r="C148" s="105"/>
    </row>
    <row r="149" spans="3:3">
      <c r="C149" s="105"/>
    </row>
    <row r="150" spans="3:3">
      <c r="C150" s="105"/>
    </row>
    <row r="151" spans="3:3">
      <c r="C151" s="105"/>
    </row>
    <row r="152" spans="3:3">
      <c r="C152" s="105"/>
    </row>
    <row r="153" spans="3:3">
      <c r="C153" s="105"/>
    </row>
    <row r="154" spans="3:3">
      <c r="C154" s="105"/>
    </row>
    <row r="155" spans="3:3">
      <c r="C155" s="105"/>
    </row>
    <row r="156" spans="3:3">
      <c r="C156" s="105"/>
    </row>
    <row r="157" spans="3:3">
      <c r="C157" s="105"/>
    </row>
    <row r="158" spans="3:3">
      <c r="C158" s="105"/>
    </row>
    <row r="159" spans="3:3">
      <c r="C159" s="105"/>
    </row>
    <row r="160" spans="3:3">
      <c r="C160" s="105"/>
    </row>
    <row r="161" spans="3:3">
      <c r="C161" s="105"/>
    </row>
    <row r="162" spans="3:3">
      <c r="C162" s="105"/>
    </row>
    <row r="163" spans="3:3">
      <c r="C163" s="105"/>
    </row>
    <row r="164" spans="3:3">
      <c r="C164" s="105"/>
    </row>
    <row r="165" spans="3:3">
      <c r="C165" s="105"/>
    </row>
    <row r="166" spans="3:3">
      <c r="C166" s="105"/>
    </row>
    <row r="167" spans="3:3">
      <c r="C167" s="105"/>
    </row>
    <row r="168" spans="3:3">
      <c r="C168" s="105"/>
    </row>
    <row r="169" spans="3:3">
      <c r="C169" s="105"/>
    </row>
    <row r="170" spans="3:3">
      <c r="C170" s="105"/>
    </row>
    <row r="171" spans="3:3">
      <c r="C171" s="105"/>
    </row>
    <row r="172" spans="3:3">
      <c r="C172" s="105"/>
    </row>
    <row r="173" spans="3:3">
      <c r="C173" s="105"/>
    </row>
    <row r="174" spans="3:3">
      <c r="C174" s="105"/>
    </row>
    <row r="175" spans="3:3">
      <c r="C175" s="105"/>
    </row>
    <row r="176" spans="3:3">
      <c r="C176" s="105"/>
    </row>
    <row r="177" spans="3:3">
      <c r="C177" s="105"/>
    </row>
    <row r="178" spans="3:3">
      <c r="C178" s="105"/>
    </row>
    <row r="179" spans="3:3">
      <c r="C179" s="105"/>
    </row>
    <row r="180" spans="3:3">
      <c r="C180" s="105"/>
    </row>
    <row r="181" spans="3:3">
      <c r="C181" s="105"/>
    </row>
    <row r="182" spans="3:3">
      <c r="C182" s="105"/>
    </row>
    <row r="183" spans="3:3">
      <c r="C183" s="105"/>
    </row>
    <row r="184" spans="3:3">
      <c r="C184" s="105"/>
    </row>
    <row r="185" spans="3:3">
      <c r="C185" s="105"/>
    </row>
    <row r="186" spans="3:3">
      <c r="C186" s="105"/>
    </row>
    <row r="187" spans="3:3">
      <c r="C187" s="105"/>
    </row>
    <row r="188" spans="3:3">
      <c r="C188" s="105"/>
    </row>
    <row r="189" spans="3:3">
      <c r="C189" s="105"/>
    </row>
    <row r="190" spans="3:3">
      <c r="C190" s="105"/>
    </row>
    <row r="191" spans="3:3">
      <c r="C191" s="105"/>
    </row>
    <row r="192" spans="3:3">
      <c r="C192" s="105"/>
    </row>
    <row r="193" spans="3:3">
      <c r="C193" s="105"/>
    </row>
    <row r="194" spans="3:3">
      <c r="C194" s="105"/>
    </row>
    <row r="195" spans="3:3">
      <c r="C195" s="105"/>
    </row>
    <row r="196" spans="3:3">
      <c r="C196" s="105"/>
    </row>
    <row r="197" spans="3:3">
      <c r="C197" s="105"/>
    </row>
    <row r="198" spans="3:3">
      <c r="C198" s="105"/>
    </row>
    <row r="199" spans="3:3">
      <c r="C199" s="105"/>
    </row>
    <row r="200" spans="3:3">
      <c r="C200" s="105"/>
    </row>
    <row r="201" spans="3:3">
      <c r="C201" s="105"/>
    </row>
    <row r="202" spans="3:3">
      <c r="C202" s="105"/>
    </row>
    <row r="203" spans="3:3">
      <c r="C203" s="105"/>
    </row>
    <row r="204" spans="3:3">
      <c r="C204" s="105"/>
    </row>
    <row r="205" spans="3:3">
      <c r="C205" s="105"/>
    </row>
    <row r="206" spans="3:3">
      <c r="C206" s="105"/>
    </row>
    <row r="207" spans="3:3">
      <c r="C207" s="105"/>
    </row>
    <row r="208" spans="3:3">
      <c r="C208" s="105"/>
    </row>
    <row r="209" spans="3:3">
      <c r="C209" s="105"/>
    </row>
    <row r="210" spans="3:3">
      <c r="C210" s="105"/>
    </row>
    <row r="211" spans="3:3">
      <c r="C211" s="105"/>
    </row>
    <row r="212" spans="3:3">
      <c r="C212" s="105"/>
    </row>
    <row r="213" spans="3:3">
      <c r="C213" s="105"/>
    </row>
    <row r="214" spans="3:3">
      <c r="C214" s="105"/>
    </row>
    <row r="215" spans="3:3">
      <c r="C215" s="105"/>
    </row>
    <row r="216" spans="3:3">
      <c r="C216" s="105"/>
    </row>
    <row r="217" spans="3:3">
      <c r="C217" s="105"/>
    </row>
    <row r="218" spans="3:3">
      <c r="C218" s="105"/>
    </row>
    <row r="219" spans="3:3">
      <c r="C219" s="105"/>
    </row>
    <row r="220" spans="3:3">
      <c r="C220" s="105"/>
    </row>
    <row r="221" spans="3:3">
      <c r="C221" s="105"/>
    </row>
    <row r="222" spans="3:3">
      <c r="C222" s="105"/>
    </row>
    <row r="223" spans="3:3">
      <c r="C223" s="105"/>
    </row>
    <row r="224" spans="3:3">
      <c r="C224" s="105"/>
    </row>
    <row r="225" spans="3:3">
      <c r="C225" s="105"/>
    </row>
    <row r="226" spans="3:3">
      <c r="C226" s="105"/>
    </row>
    <row r="227" spans="3:3">
      <c r="C227" s="105"/>
    </row>
    <row r="228" spans="3:3">
      <c r="C228" s="105"/>
    </row>
    <row r="229" spans="3:3">
      <c r="C229" s="105"/>
    </row>
    <row r="230" spans="3:3">
      <c r="C230" s="105"/>
    </row>
    <row r="231" spans="3:3">
      <c r="C231" s="105"/>
    </row>
    <row r="232" spans="3:3">
      <c r="C232" s="105"/>
    </row>
    <row r="233" spans="3:3">
      <c r="C233" s="105"/>
    </row>
    <row r="234" spans="3:3">
      <c r="C234" s="105"/>
    </row>
    <row r="235" spans="3:3">
      <c r="C235" s="105"/>
    </row>
    <row r="236" spans="3:3">
      <c r="C236" s="105"/>
    </row>
    <row r="237" spans="3:3">
      <c r="C237" s="105"/>
    </row>
    <row r="238" spans="3:3">
      <c r="C238" s="105"/>
    </row>
    <row r="239" spans="3:3">
      <c r="C239" s="105"/>
    </row>
    <row r="240" spans="3:3">
      <c r="C240" s="105"/>
    </row>
    <row r="241" spans="3:3">
      <c r="C241" s="105"/>
    </row>
    <row r="242" spans="3:3">
      <c r="C242" s="105"/>
    </row>
    <row r="243" spans="3:3">
      <c r="C243" s="105"/>
    </row>
    <row r="244" spans="3:3">
      <c r="C244" s="105"/>
    </row>
    <row r="245" spans="3:3">
      <c r="C245" s="105"/>
    </row>
    <row r="246" spans="3:3">
      <c r="C246" s="105"/>
    </row>
    <row r="247" spans="3:3">
      <c r="C247" s="105"/>
    </row>
    <row r="248" spans="3:3">
      <c r="C248" s="105"/>
    </row>
    <row r="249" spans="3:3">
      <c r="C249" s="105"/>
    </row>
    <row r="250" spans="3:3">
      <c r="C250" s="105"/>
    </row>
    <row r="251" spans="3:3">
      <c r="C251" s="105"/>
    </row>
    <row r="252" spans="3:3">
      <c r="C252" s="105"/>
    </row>
    <row r="253" spans="3:3">
      <c r="C253" s="105"/>
    </row>
    <row r="254" spans="3:3">
      <c r="C254" s="105"/>
    </row>
    <row r="255" spans="3:3">
      <c r="C255" s="105"/>
    </row>
    <row r="256" spans="3:3">
      <c r="C256" s="105"/>
    </row>
    <row r="257" spans="3:3">
      <c r="C257" s="105"/>
    </row>
    <row r="258" spans="3:3">
      <c r="C258" s="105"/>
    </row>
    <row r="259" spans="3:3">
      <c r="C259" s="105"/>
    </row>
    <row r="260" spans="3:3">
      <c r="C260" s="105"/>
    </row>
    <row r="261" spans="3:3">
      <c r="C261" s="105"/>
    </row>
    <row r="262" spans="3:3">
      <c r="C262" s="105"/>
    </row>
    <row r="263" spans="3:3">
      <c r="C263" s="105"/>
    </row>
    <row r="264" spans="3:3">
      <c r="C264" s="105"/>
    </row>
    <row r="265" spans="3:3">
      <c r="C265" s="105"/>
    </row>
    <row r="266" spans="3:3">
      <c r="C266" s="105"/>
    </row>
    <row r="267" spans="3:3">
      <c r="C267" s="105"/>
    </row>
    <row r="268" spans="3:3">
      <c r="C268" s="105"/>
    </row>
    <row r="269" spans="3:3">
      <c r="C269" s="105"/>
    </row>
    <row r="270" spans="3:3">
      <c r="C270" s="105"/>
    </row>
    <row r="271" spans="3:3">
      <c r="C271" s="105"/>
    </row>
    <row r="272" spans="3:3">
      <c r="C272" s="105"/>
    </row>
    <row r="273" spans="3:3">
      <c r="C273" s="105"/>
    </row>
    <row r="274" spans="3:3">
      <c r="C274" s="105"/>
    </row>
    <row r="275" spans="3:3">
      <c r="C275" s="105"/>
    </row>
    <row r="276" spans="3:3">
      <c r="C276" s="105"/>
    </row>
    <row r="277" spans="3:3">
      <c r="C277" s="105"/>
    </row>
    <row r="278" spans="3:3">
      <c r="C278" s="105"/>
    </row>
    <row r="279" spans="3:3">
      <c r="C279" s="105"/>
    </row>
    <row r="280" spans="3:3">
      <c r="C280" s="105"/>
    </row>
    <row r="281" spans="3:3">
      <c r="C281" s="105"/>
    </row>
    <row r="282" spans="3:3">
      <c r="C282" s="105"/>
    </row>
    <row r="283" spans="3:3">
      <c r="C283" s="105"/>
    </row>
    <row r="284" spans="3:3">
      <c r="C284" s="105"/>
    </row>
    <row r="285" spans="3:3">
      <c r="C285" s="105"/>
    </row>
    <row r="286" spans="3:3">
      <c r="C286" s="105"/>
    </row>
    <row r="287" spans="3:3">
      <c r="C287" s="105"/>
    </row>
    <row r="288" spans="3:3">
      <c r="C288" s="105"/>
    </row>
    <row r="289" spans="3:3">
      <c r="C289" s="105"/>
    </row>
    <row r="290" spans="3:3">
      <c r="C290" s="105"/>
    </row>
    <row r="291" spans="3:3">
      <c r="C291" s="105"/>
    </row>
    <row r="292" spans="3:3">
      <c r="C292" s="105"/>
    </row>
    <row r="293" spans="3:3">
      <c r="C293" s="105"/>
    </row>
    <row r="294" spans="3:3">
      <c r="C294" s="105"/>
    </row>
    <row r="295" spans="3:3">
      <c r="C295" s="105"/>
    </row>
    <row r="296" spans="3:3">
      <c r="C296" s="105"/>
    </row>
    <row r="297" spans="3:3">
      <c r="C297" s="105"/>
    </row>
    <row r="298" spans="3:3">
      <c r="C298" s="105"/>
    </row>
    <row r="299" spans="3:3">
      <c r="C299" s="105"/>
    </row>
    <row r="300" spans="3:3">
      <c r="C300" s="105"/>
    </row>
    <row r="301" spans="3:3">
      <c r="C301" s="105"/>
    </row>
    <row r="302" spans="3:3">
      <c r="C302" s="105"/>
    </row>
    <row r="303" spans="3:3">
      <c r="C303" s="105"/>
    </row>
    <row r="304" spans="3:3">
      <c r="C304" s="105"/>
    </row>
    <row r="305" spans="3:3">
      <c r="C305" s="105"/>
    </row>
    <row r="306" spans="3:3">
      <c r="C306" s="105"/>
    </row>
    <row r="307" spans="3:3">
      <c r="C307" s="105"/>
    </row>
    <row r="308" spans="3:3">
      <c r="C308" s="105"/>
    </row>
    <row r="309" spans="3:3">
      <c r="C309" s="105"/>
    </row>
    <row r="310" spans="3:3">
      <c r="C310" s="105"/>
    </row>
    <row r="311" spans="3:3">
      <c r="C311" s="105"/>
    </row>
    <row r="312" spans="3:3">
      <c r="C312" s="105"/>
    </row>
    <row r="313" spans="3:3">
      <c r="C313" s="105"/>
    </row>
    <row r="314" spans="3:3">
      <c r="C314" s="105"/>
    </row>
    <row r="315" spans="3:3">
      <c r="C315" s="105"/>
    </row>
    <row r="316" spans="3:3">
      <c r="C316" s="105"/>
    </row>
    <row r="317" spans="3:3">
      <c r="C317" s="105"/>
    </row>
    <row r="318" spans="3:3">
      <c r="C318" s="105"/>
    </row>
    <row r="319" spans="3:3">
      <c r="C319" s="105"/>
    </row>
    <row r="320" spans="3:3">
      <c r="C320" s="105"/>
    </row>
    <row r="321" spans="3:3">
      <c r="C321" s="105"/>
    </row>
    <row r="322" spans="3:3">
      <c r="C322" s="105"/>
    </row>
    <row r="323" spans="3:3">
      <c r="C323" s="105"/>
    </row>
    <row r="324" spans="3:3">
      <c r="C324" s="105"/>
    </row>
    <row r="325" spans="3:3">
      <c r="C325" s="105"/>
    </row>
    <row r="326" spans="3:3">
      <c r="C326" s="105"/>
    </row>
    <row r="327" spans="3:3">
      <c r="C327" s="105"/>
    </row>
    <row r="328" spans="3:3">
      <c r="C328" s="105"/>
    </row>
    <row r="329" spans="3:3">
      <c r="C329" s="105"/>
    </row>
    <row r="330" spans="3:3">
      <c r="C330" s="105"/>
    </row>
    <row r="331" spans="3:3">
      <c r="C331" s="105"/>
    </row>
    <row r="332" spans="3:3">
      <c r="C332" s="105"/>
    </row>
    <row r="333" spans="3:3">
      <c r="C333" s="105"/>
    </row>
    <row r="334" spans="3:3">
      <c r="C334" s="105"/>
    </row>
    <row r="335" spans="3:3">
      <c r="C335" s="105"/>
    </row>
    <row r="336" spans="3:3">
      <c r="C336" s="105"/>
    </row>
    <row r="337" spans="3:3">
      <c r="C337" s="105"/>
    </row>
    <row r="338" spans="3:3">
      <c r="C338" s="105"/>
    </row>
    <row r="339" spans="3:3">
      <c r="C339" s="105"/>
    </row>
    <row r="340" spans="3:3">
      <c r="C340" s="105"/>
    </row>
    <row r="341" spans="3:3">
      <c r="C341" s="105"/>
    </row>
    <row r="342" spans="3:3">
      <c r="C342" s="105"/>
    </row>
    <row r="343" spans="3:3">
      <c r="C343" s="105"/>
    </row>
    <row r="344" spans="3:3">
      <c r="C344" s="105"/>
    </row>
    <row r="345" spans="3:3">
      <c r="C345" s="105"/>
    </row>
    <row r="346" spans="3:3">
      <c r="C346" s="105"/>
    </row>
    <row r="347" spans="3:3">
      <c r="C347" s="105"/>
    </row>
    <row r="348" spans="3:3">
      <c r="C348" s="105"/>
    </row>
    <row r="349" spans="3:3">
      <c r="C349" s="105"/>
    </row>
    <row r="350" spans="3:3">
      <c r="C350" s="105"/>
    </row>
    <row r="351" spans="3:3">
      <c r="C351" s="105"/>
    </row>
    <row r="352" spans="3:3">
      <c r="C352" s="105"/>
    </row>
    <row r="353" spans="3:3">
      <c r="C353" s="105"/>
    </row>
    <row r="354" spans="3:3">
      <c r="C354" s="105"/>
    </row>
    <row r="355" spans="3:3">
      <c r="C355" s="105"/>
    </row>
    <row r="356" spans="3:3">
      <c r="C356" s="105"/>
    </row>
    <row r="357" spans="3:3">
      <c r="C357" s="105"/>
    </row>
    <row r="358" spans="3:3">
      <c r="C358" s="105"/>
    </row>
    <row r="359" spans="3:3">
      <c r="C359" s="105"/>
    </row>
    <row r="360" spans="3:3">
      <c r="C360" s="105"/>
    </row>
    <row r="361" spans="3:3">
      <c r="C361" s="105"/>
    </row>
    <row r="362" spans="3:3">
      <c r="C362" s="105"/>
    </row>
    <row r="363" spans="3:3">
      <c r="C363" s="105"/>
    </row>
    <row r="364" spans="3:3">
      <c r="C364" s="105"/>
    </row>
    <row r="365" spans="3:3">
      <c r="C365" s="105"/>
    </row>
    <row r="366" spans="3:3">
      <c r="C366" s="105"/>
    </row>
    <row r="367" spans="3:3">
      <c r="C367" s="105"/>
    </row>
    <row r="368" spans="3:3">
      <c r="C368" s="105"/>
    </row>
    <row r="369" spans="3:3">
      <c r="C369" s="105"/>
    </row>
    <row r="370" spans="3:3">
      <c r="C370" s="105"/>
    </row>
    <row r="371" spans="3:3">
      <c r="C371" s="105"/>
    </row>
    <row r="372" spans="3:3">
      <c r="C372" s="105"/>
    </row>
    <row r="373" spans="3:3">
      <c r="C373" s="105"/>
    </row>
    <row r="374" spans="3:3">
      <c r="C374" s="105"/>
    </row>
    <row r="375" spans="3:3">
      <c r="C375" s="105"/>
    </row>
    <row r="376" spans="3:3">
      <c r="C376" s="105"/>
    </row>
    <row r="377" spans="3:3">
      <c r="C377" s="105"/>
    </row>
    <row r="378" spans="3:3">
      <c r="C378" s="105"/>
    </row>
    <row r="379" spans="3:3">
      <c r="C379" s="105"/>
    </row>
    <row r="380" spans="3:3">
      <c r="C380" s="105"/>
    </row>
    <row r="381" spans="3:3">
      <c r="C381" s="105"/>
    </row>
    <row r="382" spans="3:3">
      <c r="C382" s="105"/>
    </row>
    <row r="383" spans="3:3">
      <c r="C383" s="105"/>
    </row>
    <row r="384" spans="3:3">
      <c r="C384" s="105"/>
    </row>
    <row r="385" spans="3:3">
      <c r="C385" s="105"/>
    </row>
    <row r="386" spans="3:3">
      <c r="C386" s="105"/>
    </row>
    <row r="387" spans="3:3">
      <c r="C387" s="105"/>
    </row>
    <row r="388" spans="3:3">
      <c r="C388" s="105"/>
    </row>
    <row r="389" spans="3:3">
      <c r="C389" s="105"/>
    </row>
    <row r="390" spans="3:3">
      <c r="C390" s="105"/>
    </row>
    <row r="391" spans="3:3">
      <c r="C391" s="105"/>
    </row>
    <row r="392" spans="3:3">
      <c r="C392" s="105"/>
    </row>
    <row r="393" spans="3:3">
      <c r="C393" s="105"/>
    </row>
    <row r="394" spans="3:3">
      <c r="C394" s="105"/>
    </row>
    <row r="395" spans="3:3">
      <c r="C395" s="105"/>
    </row>
    <row r="396" spans="3:3">
      <c r="C396" s="105"/>
    </row>
    <row r="397" spans="3:3">
      <c r="C397" s="105"/>
    </row>
    <row r="398" spans="3:3">
      <c r="C398" s="105"/>
    </row>
    <row r="399" spans="3:3">
      <c r="C399" s="105"/>
    </row>
    <row r="400" spans="3:3">
      <c r="C400" s="105"/>
    </row>
    <row r="401" spans="3:3">
      <c r="C401" s="105"/>
    </row>
    <row r="402" spans="3:3">
      <c r="C402" s="105"/>
    </row>
    <row r="403" spans="3:3">
      <c r="C403" s="105"/>
    </row>
    <row r="404" spans="3:3">
      <c r="C404" s="105"/>
    </row>
    <row r="405" spans="3:3">
      <c r="C405" s="105"/>
    </row>
    <row r="406" spans="3:3">
      <c r="C406" s="105"/>
    </row>
    <row r="407" spans="3:3">
      <c r="C407" s="105"/>
    </row>
    <row r="408" spans="3:3">
      <c r="C408" s="105"/>
    </row>
    <row r="409" spans="3:3">
      <c r="C409" s="105"/>
    </row>
    <row r="410" spans="3:3">
      <c r="C410" s="105"/>
    </row>
    <row r="411" spans="3:3">
      <c r="C411" s="105"/>
    </row>
    <row r="412" spans="3:3">
      <c r="C412" s="105"/>
    </row>
    <row r="413" spans="3:3">
      <c r="C413" s="105"/>
    </row>
    <row r="414" spans="3:3">
      <c r="C414" s="105"/>
    </row>
    <row r="415" spans="3:3">
      <c r="C415" s="105"/>
    </row>
    <row r="416" spans="3:3">
      <c r="C416" s="105"/>
    </row>
    <row r="417" spans="3:3">
      <c r="C417" s="105"/>
    </row>
    <row r="418" spans="3:3">
      <c r="C418" s="105"/>
    </row>
    <row r="419" spans="3:3">
      <c r="C419" s="105"/>
    </row>
    <row r="420" spans="3:3">
      <c r="C420" s="105"/>
    </row>
    <row r="421" spans="3:3">
      <c r="C421" s="105"/>
    </row>
    <row r="422" spans="3:3">
      <c r="C422" s="105"/>
    </row>
    <row r="423" spans="3:3">
      <c r="C423" s="105"/>
    </row>
    <row r="424" spans="3:3">
      <c r="C424" s="105"/>
    </row>
    <row r="425" spans="3:3">
      <c r="C425" s="105"/>
    </row>
    <row r="426" spans="3:3">
      <c r="C426" s="105"/>
    </row>
    <row r="427" spans="3:3">
      <c r="C427" s="105"/>
    </row>
    <row r="428" spans="3:3">
      <c r="C428" s="105"/>
    </row>
    <row r="429" spans="3:3">
      <c r="C429" s="105"/>
    </row>
    <row r="430" spans="3:3">
      <c r="C430" s="105"/>
    </row>
    <row r="431" spans="3:3">
      <c r="C431" s="105"/>
    </row>
    <row r="432" spans="3:3">
      <c r="C432" s="105"/>
    </row>
    <row r="433" spans="3:3">
      <c r="C433" s="105"/>
    </row>
    <row r="434" spans="3:3">
      <c r="C434" s="105"/>
    </row>
    <row r="435" spans="3:3">
      <c r="C435" s="105"/>
    </row>
    <row r="436" spans="3:3">
      <c r="C436" s="105"/>
    </row>
    <row r="437" spans="3:3">
      <c r="C437" s="105"/>
    </row>
    <row r="438" spans="3:3">
      <c r="C438" s="105"/>
    </row>
    <row r="439" spans="3:3">
      <c r="C439" s="105"/>
    </row>
    <row r="440" spans="3:3">
      <c r="C440" s="105"/>
    </row>
    <row r="441" spans="3:3">
      <c r="C441" s="105"/>
    </row>
    <row r="442" spans="3:3">
      <c r="C442" s="105"/>
    </row>
    <row r="443" spans="3:3">
      <c r="C443" s="105"/>
    </row>
    <row r="444" spans="3:3">
      <c r="C444" s="105"/>
    </row>
    <row r="445" spans="3:3">
      <c r="C445" s="105"/>
    </row>
    <row r="446" spans="3:3">
      <c r="C446" s="105"/>
    </row>
    <row r="447" spans="3:3">
      <c r="C447" s="105"/>
    </row>
    <row r="448" spans="3:3">
      <c r="C448" s="105"/>
    </row>
    <row r="449" spans="3:3">
      <c r="C449" s="105"/>
    </row>
    <row r="450" spans="3:3">
      <c r="C450" s="105"/>
    </row>
    <row r="451" spans="3:3">
      <c r="C451" s="105"/>
    </row>
    <row r="452" spans="3:3">
      <c r="C452" s="105"/>
    </row>
    <row r="453" spans="3:3">
      <c r="C453" s="105"/>
    </row>
    <row r="454" spans="3:3">
      <c r="C454" s="105"/>
    </row>
    <row r="455" spans="3:3">
      <c r="C455" s="105"/>
    </row>
    <row r="456" spans="3:3">
      <c r="C456" s="105"/>
    </row>
    <row r="457" spans="3:3">
      <c r="C457" s="105"/>
    </row>
    <row r="458" spans="3:3">
      <c r="C458" s="105"/>
    </row>
    <row r="459" spans="3:3">
      <c r="C459" s="105"/>
    </row>
    <row r="460" spans="3:3">
      <c r="C460" s="105"/>
    </row>
    <row r="461" spans="3:3">
      <c r="C461" s="105"/>
    </row>
    <row r="462" spans="3:3">
      <c r="C462" s="105"/>
    </row>
    <row r="463" spans="3:3">
      <c r="C463" s="105"/>
    </row>
    <row r="464" spans="3:3">
      <c r="C464" s="105"/>
    </row>
    <row r="465" spans="3:3">
      <c r="C465" s="105"/>
    </row>
    <row r="466" spans="3:3">
      <c r="C466" s="105"/>
    </row>
    <row r="467" spans="3:3">
      <c r="C467" s="105"/>
    </row>
    <row r="468" spans="3:3">
      <c r="C468" s="105"/>
    </row>
    <row r="469" spans="3:3">
      <c r="C469" s="105"/>
    </row>
    <row r="470" spans="3:3">
      <c r="C470" s="105"/>
    </row>
    <row r="471" spans="3:3">
      <c r="C471" s="105"/>
    </row>
    <row r="472" spans="3:3">
      <c r="C472" s="105"/>
    </row>
    <row r="473" spans="3:3">
      <c r="C473" s="105"/>
    </row>
    <row r="474" spans="3:3">
      <c r="C474" s="105"/>
    </row>
    <row r="475" spans="3:3">
      <c r="C475" s="105"/>
    </row>
    <row r="476" spans="3:3">
      <c r="C476" s="105"/>
    </row>
    <row r="477" spans="3:3">
      <c r="C477" s="105"/>
    </row>
    <row r="478" spans="3:3">
      <c r="C478" s="105"/>
    </row>
    <row r="479" spans="3:3">
      <c r="C479" s="105"/>
    </row>
    <row r="480" spans="3:3">
      <c r="C480" s="105"/>
    </row>
    <row r="481" spans="3:3">
      <c r="C481" s="105"/>
    </row>
    <row r="482" spans="3:3">
      <c r="C482" s="105"/>
    </row>
    <row r="483" spans="3:3">
      <c r="C483" s="105"/>
    </row>
    <row r="484" spans="3:3">
      <c r="C484" s="105"/>
    </row>
    <row r="485" spans="3:3">
      <c r="C485" s="105"/>
    </row>
    <row r="486" spans="3:3">
      <c r="C486" s="105"/>
    </row>
    <row r="487" spans="3:3">
      <c r="C487" s="105"/>
    </row>
    <row r="488" spans="3:3">
      <c r="C488" s="105"/>
    </row>
    <row r="489" spans="3:3">
      <c r="C489" s="105"/>
    </row>
    <row r="490" spans="3:3">
      <c r="C490" s="105"/>
    </row>
    <row r="491" spans="3:3">
      <c r="C491" s="105"/>
    </row>
    <row r="492" spans="3:3">
      <c r="C492" s="105"/>
    </row>
    <row r="493" spans="3:3">
      <c r="C493" s="105"/>
    </row>
    <row r="494" spans="3:3">
      <c r="C494" s="105"/>
    </row>
    <row r="495" spans="3:3">
      <c r="C495" s="105"/>
    </row>
    <row r="496" spans="3:3">
      <c r="C496" s="105"/>
    </row>
    <row r="497" spans="3:3">
      <c r="C497" s="105"/>
    </row>
    <row r="498" spans="3:3">
      <c r="C498" s="105"/>
    </row>
    <row r="499" spans="3:3">
      <c r="C499" s="105"/>
    </row>
    <row r="500" spans="3:3">
      <c r="C500" s="105"/>
    </row>
    <row r="501" spans="3:3">
      <c r="C501" s="105"/>
    </row>
    <row r="502" spans="3:3">
      <c r="C502" s="105"/>
    </row>
    <row r="503" spans="3:3">
      <c r="C503" s="105"/>
    </row>
    <row r="504" spans="3:3">
      <c r="C504" s="105"/>
    </row>
    <row r="505" spans="3:3">
      <c r="C505" s="105"/>
    </row>
    <row r="506" spans="3:3">
      <c r="C506" s="105"/>
    </row>
    <row r="507" spans="3:3">
      <c r="C507" s="105"/>
    </row>
    <row r="508" spans="3:3">
      <c r="C508" s="105"/>
    </row>
    <row r="509" spans="3:3">
      <c r="C509" s="105"/>
    </row>
    <row r="510" spans="3:3">
      <c r="C510" s="105"/>
    </row>
    <row r="511" spans="3:3">
      <c r="C511" s="105"/>
    </row>
    <row r="512" spans="3:3">
      <c r="C512" s="105"/>
    </row>
    <row r="513" spans="3:3">
      <c r="C513" s="105"/>
    </row>
    <row r="514" spans="3:3">
      <c r="C514" s="105"/>
    </row>
    <row r="515" spans="3:3">
      <c r="C515" s="105"/>
    </row>
    <row r="516" spans="3:3">
      <c r="C516" s="105"/>
    </row>
    <row r="517" spans="3:3">
      <c r="C517" s="105"/>
    </row>
    <row r="518" spans="3:3">
      <c r="C518" s="105"/>
    </row>
    <row r="519" spans="3:3">
      <c r="C519" s="105"/>
    </row>
    <row r="520" spans="3:3">
      <c r="C520" s="105"/>
    </row>
    <row r="521" spans="3:3">
      <c r="C521" s="105"/>
    </row>
    <row r="522" spans="3:3">
      <c r="C522" s="105"/>
    </row>
    <row r="523" spans="3:3">
      <c r="C523" s="105"/>
    </row>
    <row r="524" spans="3:3">
      <c r="C524" s="105"/>
    </row>
    <row r="525" spans="3:3">
      <c r="C525" s="105"/>
    </row>
    <row r="526" spans="3:3">
      <c r="C526" s="105"/>
    </row>
    <row r="527" spans="3:3">
      <c r="C527" s="105"/>
    </row>
    <row r="528" spans="3:3">
      <c r="C528" s="105"/>
    </row>
    <row r="529" spans="3:3">
      <c r="C529" s="105"/>
    </row>
    <row r="530" spans="3:3">
      <c r="C530" s="105"/>
    </row>
    <row r="531" spans="3:3">
      <c r="C531" s="105"/>
    </row>
    <row r="532" spans="3:3">
      <c r="C532" s="105"/>
    </row>
    <row r="533" spans="3:3">
      <c r="C533" s="105"/>
    </row>
    <row r="534" spans="3:3">
      <c r="C534" s="105"/>
    </row>
    <row r="535" spans="3:3">
      <c r="C535" s="105"/>
    </row>
    <row r="536" spans="3:3">
      <c r="C536" s="105"/>
    </row>
    <row r="537" spans="3:3">
      <c r="C537" s="105"/>
    </row>
    <row r="538" spans="3:3">
      <c r="C538" s="105"/>
    </row>
    <row r="539" spans="3:3">
      <c r="C539" s="105"/>
    </row>
    <row r="540" spans="3:3">
      <c r="C540" s="105"/>
    </row>
    <row r="541" spans="3:3">
      <c r="C541" s="105"/>
    </row>
    <row r="542" spans="3:3">
      <c r="C542" s="105"/>
    </row>
    <row r="543" spans="3:3">
      <c r="C543" s="105"/>
    </row>
    <row r="544" spans="3:3">
      <c r="C544" s="105"/>
    </row>
    <row r="545" spans="3:3">
      <c r="C545" s="105"/>
    </row>
    <row r="546" spans="3:3">
      <c r="C546" s="105"/>
    </row>
    <row r="547" spans="3:3">
      <c r="C547" s="105"/>
    </row>
    <row r="548" spans="3:3">
      <c r="C548" s="105"/>
    </row>
    <row r="549" spans="3:3">
      <c r="C549" s="105"/>
    </row>
    <row r="550" spans="3:3">
      <c r="C550" s="105"/>
    </row>
    <row r="551" spans="3:3">
      <c r="C551" s="105"/>
    </row>
    <row r="552" spans="3:3">
      <c r="C552" s="105"/>
    </row>
    <row r="553" spans="3:3">
      <c r="C553" s="105"/>
    </row>
    <row r="554" spans="3:3">
      <c r="C554" s="105"/>
    </row>
    <row r="555" spans="3:3">
      <c r="C555" s="105"/>
    </row>
    <row r="556" spans="3:3">
      <c r="C556" s="105"/>
    </row>
    <row r="557" spans="3:3">
      <c r="C557" s="105"/>
    </row>
    <row r="558" spans="3:3">
      <c r="C558" s="105"/>
    </row>
    <row r="559" spans="3:3">
      <c r="C559" s="105"/>
    </row>
    <row r="560" spans="3:3">
      <c r="C560" s="105"/>
    </row>
    <row r="561" spans="3:3">
      <c r="C561" s="105"/>
    </row>
    <row r="562" spans="3:3">
      <c r="C562" s="105"/>
    </row>
    <row r="563" spans="3:3">
      <c r="C563" s="105"/>
    </row>
    <row r="564" spans="3:3">
      <c r="C564" s="105"/>
    </row>
    <row r="565" spans="3:3">
      <c r="C565" s="105"/>
    </row>
    <row r="566" spans="3:3">
      <c r="C566" s="105"/>
    </row>
    <row r="567" spans="3:3">
      <c r="C567" s="105"/>
    </row>
    <row r="568" spans="3:3">
      <c r="C568" s="105"/>
    </row>
    <row r="569" spans="3:3">
      <c r="C569" s="105"/>
    </row>
    <row r="570" spans="3:3">
      <c r="C570" s="105"/>
    </row>
    <row r="571" spans="3:3">
      <c r="C571" s="105"/>
    </row>
    <row r="572" spans="3:3">
      <c r="C572" s="105"/>
    </row>
    <row r="573" spans="3:3">
      <c r="C573" s="105"/>
    </row>
    <row r="574" spans="3:3">
      <c r="C574" s="105"/>
    </row>
    <row r="575" spans="3:3">
      <c r="C575" s="105"/>
    </row>
    <row r="576" spans="3:3">
      <c r="C576" s="105"/>
    </row>
    <row r="577" spans="3:3">
      <c r="C577" s="105"/>
    </row>
    <row r="578" spans="3:3">
      <c r="C578" s="105"/>
    </row>
    <row r="579" spans="3:3">
      <c r="C579" s="105"/>
    </row>
    <row r="580" spans="3:3">
      <c r="C580" s="105"/>
    </row>
    <row r="581" spans="3:3">
      <c r="C581" s="105"/>
    </row>
    <row r="582" spans="3:3">
      <c r="C582" s="105"/>
    </row>
    <row r="583" spans="3:3">
      <c r="C583" s="105"/>
    </row>
    <row r="584" spans="3:3">
      <c r="C584" s="105"/>
    </row>
    <row r="585" spans="3:3">
      <c r="C585" s="105"/>
    </row>
    <row r="586" spans="3:3">
      <c r="C586" s="105"/>
    </row>
    <row r="587" spans="3:3">
      <c r="C587" s="105"/>
    </row>
    <row r="588" spans="3:3">
      <c r="C588" s="105"/>
    </row>
    <row r="589" spans="3:3">
      <c r="C589" s="105"/>
    </row>
    <row r="590" spans="3:3">
      <c r="C590" s="105"/>
    </row>
    <row r="591" spans="3:3">
      <c r="C591" s="105"/>
    </row>
    <row r="592" spans="3:3">
      <c r="C592" s="105"/>
    </row>
    <row r="593" spans="3:3">
      <c r="C593" s="105"/>
    </row>
    <row r="594" spans="3:3">
      <c r="C594" s="105"/>
    </row>
    <row r="595" spans="3:3">
      <c r="C595" s="105"/>
    </row>
    <row r="596" spans="3:3">
      <c r="C596" s="105"/>
    </row>
    <row r="597" spans="3:3">
      <c r="C597" s="105"/>
    </row>
    <row r="598" spans="3:3">
      <c r="C598" s="105"/>
    </row>
    <row r="599" spans="3:3">
      <c r="C599" s="105"/>
    </row>
    <row r="600" spans="3:3">
      <c r="C600" s="105"/>
    </row>
    <row r="601" spans="3:3">
      <c r="C601" s="105"/>
    </row>
    <row r="602" spans="3:3">
      <c r="C602" s="105"/>
    </row>
    <row r="603" spans="3:3">
      <c r="C603" s="105"/>
    </row>
    <row r="604" spans="3:3">
      <c r="C604" s="105"/>
    </row>
    <row r="605" spans="3:3">
      <c r="C605" s="105"/>
    </row>
    <row r="606" spans="3:3">
      <c r="C606" s="105"/>
    </row>
    <row r="607" spans="3:3">
      <c r="C607" s="105"/>
    </row>
    <row r="608" spans="3:3">
      <c r="C608" s="105"/>
    </row>
    <row r="609" spans="3:3">
      <c r="C609" s="105"/>
    </row>
    <row r="610" spans="3:3">
      <c r="C610" s="105"/>
    </row>
    <row r="611" spans="3:3">
      <c r="C611" s="105"/>
    </row>
    <row r="612" spans="3:3">
      <c r="C612" s="105"/>
    </row>
    <row r="613" spans="3:3">
      <c r="C613" s="105"/>
    </row>
    <row r="614" spans="3:3">
      <c r="C614" s="105"/>
    </row>
    <row r="615" spans="3:3">
      <c r="C615" s="105"/>
    </row>
    <row r="616" spans="3:3">
      <c r="C616" s="105"/>
    </row>
    <row r="617" spans="3:3">
      <c r="C617" s="105"/>
    </row>
    <row r="618" spans="3:3">
      <c r="C618" s="105"/>
    </row>
    <row r="619" spans="3:3">
      <c r="C619" s="105"/>
    </row>
    <row r="620" spans="3:3">
      <c r="C620" s="105"/>
    </row>
    <row r="621" spans="3:3">
      <c r="C621" s="105"/>
    </row>
    <row r="622" spans="3:3">
      <c r="C622" s="105"/>
    </row>
    <row r="623" spans="3:3">
      <c r="C623" s="105"/>
    </row>
    <row r="624" spans="3:3">
      <c r="C624" s="105"/>
    </row>
    <row r="625" spans="3:3">
      <c r="C625" s="105"/>
    </row>
    <row r="626" spans="3:3">
      <c r="C626" s="105"/>
    </row>
    <row r="627" spans="3:3">
      <c r="C627" s="105"/>
    </row>
  </sheetData>
  <phoneticPr fontId="2" type="noConversion"/>
  <printOptions horizontalCentered="1"/>
  <pageMargins left="0.75" right="0.75" top="1" bottom="1" header="0.5" footer="0.5"/>
  <pageSetup scale="56" orientation="landscape" r:id="rId1"/>
  <headerFooter alignWithMargins="0">
    <oddHeader>&amp;RPage &amp;P of &amp;N</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pageSetUpPr fitToPage="1"/>
  </sheetPr>
  <dimension ref="A1:X69"/>
  <sheetViews>
    <sheetView topLeftCell="A25" workbookViewId="0">
      <selection activeCell="P13" sqref="P13"/>
    </sheetView>
  </sheetViews>
  <sheetFormatPr defaultRowHeight="12.75"/>
  <cols>
    <col min="2" max="2" width="18.5703125" customWidth="1"/>
    <col min="3" max="3" width="3.5703125" customWidth="1"/>
    <col min="4" max="4" width="15.28515625" customWidth="1"/>
    <col min="5" max="5" width="3.5703125" customWidth="1"/>
    <col min="6" max="6" width="16.85546875" customWidth="1"/>
    <col min="7" max="7" width="3.5703125" customWidth="1"/>
    <col min="8" max="8" width="13.28515625" customWidth="1"/>
    <col min="9" max="9" width="3.5703125" customWidth="1"/>
    <col min="10" max="10" width="17" customWidth="1"/>
    <col min="11" max="11" width="3.5703125" customWidth="1"/>
    <col min="12" max="12" width="15.85546875" customWidth="1"/>
    <col min="13" max="13" width="15.5703125" customWidth="1"/>
    <col min="14" max="14" width="19.5703125" customWidth="1"/>
    <col min="15" max="15" width="18.7109375" customWidth="1"/>
    <col min="16" max="16" width="15.42578125" customWidth="1"/>
    <col min="17" max="17" width="21" customWidth="1"/>
    <col min="258" max="258" width="18.5703125" customWidth="1"/>
    <col min="259" max="259" width="3.5703125" customWidth="1"/>
    <col min="260" max="260" width="15.28515625" customWidth="1"/>
    <col min="261" max="261" width="3.5703125" customWidth="1"/>
    <col min="262" max="262" width="16.85546875" customWidth="1"/>
    <col min="263" max="263" width="3.5703125" customWidth="1"/>
    <col min="264" max="264" width="13.28515625" customWidth="1"/>
    <col min="265" max="265" width="3.5703125" customWidth="1"/>
    <col min="266" max="266" width="17" customWidth="1"/>
    <col min="267" max="267" width="3.5703125" customWidth="1"/>
    <col min="268" max="268" width="15.85546875" customWidth="1"/>
    <col min="269" max="269" width="15.5703125" customWidth="1"/>
    <col min="270" max="270" width="19.5703125" customWidth="1"/>
    <col min="271" max="271" width="18.7109375" customWidth="1"/>
    <col min="272" max="272" width="15.42578125" customWidth="1"/>
    <col min="273" max="273" width="21" customWidth="1"/>
    <col min="514" max="514" width="18.5703125" customWidth="1"/>
    <col min="515" max="515" width="3.5703125" customWidth="1"/>
    <col min="516" max="516" width="15.28515625" customWidth="1"/>
    <col min="517" max="517" width="3.5703125" customWidth="1"/>
    <col min="518" max="518" width="16.85546875" customWidth="1"/>
    <col min="519" max="519" width="3.5703125" customWidth="1"/>
    <col min="520" max="520" width="13.28515625" customWidth="1"/>
    <col min="521" max="521" width="3.5703125" customWidth="1"/>
    <col min="522" max="522" width="17" customWidth="1"/>
    <col min="523" max="523" width="3.5703125" customWidth="1"/>
    <col min="524" max="524" width="15.85546875" customWidth="1"/>
    <col min="525" max="525" width="15.5703125" customWidth="1"/>
    <col min="526" max="526" width="19.5703125" customWidth="1"/>
    <col min="527" max="527" width="18.7109375" customWidth="1"/>
    <col min="528" max="528" width="15.42578125" customWidth="1"/>
    <col min="529" max="529" width="21" customWidth="1"/>
    <col min="770" max="770" width="18.5703125" customWidth="1"/>
    <col min="771" max="771" width="3.5703125" customWidth="1"/>
    <col min="772" max="772" width="15.28515625" customWidth="1"/>
    <col min="773" max="773" width="3.5703125" customWidth="1"/>
    <col min="774" max="774" width="16.85546875" customWidth="1"/>
    <col min="775" max="775" width="3.5703125" customWidth="1"/>
    <col min="776" max="776" width="13.28515625" customWidth="1"/>
    <col min="777" max="777" width="3.5703125" customWidth="1"/>
    <col min="778" max="778" width="17" customWidth="1"/>
    <col min="779" max="779" width="3.5703125" customWidth="1"/>
    <col min="780" max="780" width="15.85546875" customWidth="1"/>
    <col min="781" max="781" width="15.5703125" customWidth="1"/>
    <col min="782" max="782" width="19.5703125" customWidth="1"/>
    <col min="783" max="783" width="18.7109375" customWidth="1"/>
    <col min="784" max="784" width="15.42578125" customWidth="1"/>
    <col min="785" max="785" width="21" customWidth="1"/>
    <col min="1026" max="1026" width="18.5703125" customWidth="1"/>
    <col min="1027" max="1027" width="3.5703125" customWidth="1"/>
    <col min="1028" max="1028" width="15.28515625" customWidth="1"/>
    <col min="1029" max="1029" width="3.5703125" customWidth="1"/>
    <col min="1030" max="1030" width="16.85546875" customWidth="1"/>
    <col min="1031" max="1031" width="3.5703125" customWidth="1"/>
    <col min="1032" max="1032" width="13.28515625" customWidth="1"/>
    <col min="1033" max="1033" width="3.5703125" customWidth="1"/>
    <col min="1034" max="1034" width="17" customWidth="1"/>
    <col min="1035" max="1035" width="3.5703125" customWidth="1"/>
    <col min="1036" max="1036" width="15.85546875" customWidth="1"/>
    <col min="1037" max="1037" width="15.5703125" customWidth="1"/>
    <col min="1038" max="1038" width="19.5703125" customWidth="1"/>
    <col min="1039" max="1039" width="18.7109375" customWidth="1"/>
    <col min="1040" max="1040" width="15.42578125" customWidth="1"/>
    <col min="1041" max="1041" width="21" customWidth="1"/>
    <col min="1282" max="1282" width="18.5703125" customWidth="1"/>
    <col min="1283" max="1283" width="3.5703125" customWidth="1"/>
    <col min="1284" max="1284" width="15.28515625" customWidth="1"/>
    <col min="1285" max="1285" width="3.5703125" customWidth="1"/>
    <col min="1286" max="1286" width="16.85546875" customWidth="1"/>
    <col min="1287" max="1287" width="3.5703125" customWidth="1"/>
    <col min="1288" max="1288" width="13.28515625" customWidth="1"/>
    <col min="1289" max="1289" width="3.5703125" customWidth="1"/>
    <col min="1290" max="1290" width="17" customWidth="1"/>
    <col min="1291" max="1291" width="3.5703125" customWidth="1"/>
    <col min="1292" max="1292" width="15.85546875" customWidth="1"/>
    <col min="1293" max="1293" width="15.5703125" customWidth="1"/>
    <col min="1294" max="1294" width="19.5703125" customWidth="1"/>
    <col min="1295" max="1295" width="18.7109375" customWidth="1"/>
    <col min="1296" max="1296" width="15.42578125" customWidth="1"/>
    <col min="1297" max="1297" width="21" customWidth="1"/>
    <col min="1538" max="1538" width="18.5703125" customWidth="1"/>
    <col min="1539" max="1539" width="3.5703125" customWidth="1"/>
    <col min="1540" max="1540" width="15.28515625" customWidth="1"/>
    <col min="1541" max="1541" width="3.5703125" customWidth="1"/>
    <col min="1542" max="1542" width="16.85546875" customWidth="1"/>
    <col min="1543" max="1543" width="3.5703125" customWidth="1"/>
    <col min="1544" max="1544" width="13.28515625" customWidth="1"/>
    <col min="1545" max="1545" width="3.5703125" customWidth="1"/>
    <col min="1546" max="1546" width="17" customWidth="1"/>
    <col min="1547" max="1547" width="3.5703125" customWidth="1"/>
    <col min="1548" max="1548" width="15.85546875" customWidth="1"/>
    <col min="1549" max="1549" width="15.5703125" customWidth="1"/>
    <col min="1550" max="1550" width="19.5703125" customWidth="1"/>
    <col min="1551" max="1551" width="18.7109375" customWidth="1"/>
    <col min="1552" max="1552" width="15.42578125" customWidth="1"/>
    <col min="1553" max="1553" width="21" customWidth="1"/>
    <col min="1794" max="1794" width="18.5703125" customWidth="1"/>
    <col min="1795" max="1795" width="3.5703125" customWidth="1"/>
    <col min="1796" max="1796" width="15.28515625" customWidth="1"/>
    <col min="1797" max="1797" width="3.5703125" customWidth="1"/>
    <col min="1798" max="1798" width="16.85546875" customWidth="1"/>
    <col min="1799" max="1799" width="3.5703125" customWidth="1"/>
    <col min="1800" max="1800" width="13.28515625" customWidth="1"/>
    <col min="1801" max="1801" width="3.5703125" customWidth="1"/>
    <col min="1802" max="1802" width="17" customWidth="1"/>
    <col min="1803" max="1803" width="3.5703125" customWidth="1"/>
    <col min="1804" max="1804" width="15.85546875" customWidth="1"/>
    <col min="1805" max="1805" width="15.5703125" customWidth="1"/>
    <col min="1806" max="1806" width="19.5703125" customWidth="1"/>
    <col min="1807" max="1807" width="18.7109375" customWidth="1"/>
    <col min="1808" max="1808" width="15.42578125" customWidth="1"/>
    <col min="1809" max="1809" width="21" customWidth="1"/>
    <col min="2050" max="2050" width="18.5703125" customWidth="1"/>
    <col min="2051" max="2051" width="3.5703125" customWidth="1"/>
    <col min="2052" max="2052" width="15.28515625" customWidth="1"/>
    <col min="2053" max="2053" width="3.5703125" customWidth="1"/>
    <col min="2054" max="2054" width="16.85546875" customWidth="1"/>
    <col min="2055" max="2055" width="3.5703125" customWidth="1"/>
    <col min="2056" max="2056" width="13.28515625" customWidth="1"/>
    <col min="2057" max="2057" width="3.5703125" customWidth="1"/>
    <col min="2058" max="2058" width="17" customWidth="1"/>
    <col min="2059" max="2059" width="3.5703125" customWidth="1"/>
    <col min="2060" max="2060" width="15.85546875" customWidth="1"/>
    <col min="2061" max="2061" width="15.5703125" customWidth="1"/>
    <col min="2062" max="2062" width="19.5703125" customWidth="1"/>
    <col min="2063" max="2063" width="18.7109375" customWidth="1"/>
    <col min="2064" max="2064" width="15.42578125" customWidth="1"/>
    <col min="2065" max="2065" width="21" customWidth="1"/>
    <col min="2306" max="2306" width="18.5703125" customWidth="1"/>
    <col min="2307" max="2307" width="3.5703125" customWidth="1"/>
    <col min="2308" max="2308" width="15.28515625" customWidth="1"/>
    <col min="2309" max="2309" width="3.5703125" customWidth="1"/>
    <col min="2310" max="2310" width="16.85546875" customWidth="1"/>
    <col min="2311" max="2311" width="3.5703125" customWidth="1"/>
    <col min="2312" max="2312" width="13.28515625" customWidth="1"/>
    <col min="2313" max="2313" width="3.5703125" customWidth="1"/>
    <col min="2314" max="2314" width="17" customWidth="1"/>
    <col min="2315" max="2315" width="3.5703125" customWidth="1"/>
    <col min="2316" max="2316" width="15.85546875" customWidth="1"/>
    <col min="2317" max="2317" width="15.5703125" customWidth="1"/>
    <col min="2318" max="2318" width="19.5703125" customWidth="1"/>
    <col min="2319" max="2319" width="18.7109375" customWidth="1"/>
    <col min="2320" max="2320" width="15.42578125" customWidth="1"/>
    <col min="2321" max="2321" width="21" customWidth="1"/>
    <col min="2562" max="2562" width="18.5703125" customWidth="1"/>
    <col min="2563" max="2563" width="3.5703125" customWidth="1"/>
    <col min="2564" max="2564" width="15.28515625" customWidth="1"/>
    <col min="2565" max="2565" width="3.5703125" customWidth="1"/>
    <col min="2566" max="2566" width="16.85546875" customWidth="1"/>
    <col min="2567" max="2567" width="3.5703125" customWidth="1"/>
    <col min="2568" max="2568" width="13.28515625" customWidth="1"/>
    <col min="2569" max="2569" width="3.5703125" customWidth="1"/>
    <col min="2570" max="2570" width="17" customWidth="1"/>
    <col min="2571" max="2571" width="3.5703125" customWidth="1"/>
    <col min="2572" max="2572" width="15.85546875" customWidth="1"/>
    <col min="2573" max="2573" width="15.5703125" customWidth="1"/>
    <col min="2574" max="2574" width="19.5703125" customWidth="1"/>
    <col min="2575" max="2575" width="18.7109375" customWidth="1"/>
    <col min="2576" max="2576" width="15.42578125" customWidth="1"/>
    <col min="2577" max="2577" width="21" customWidth="1"/>
    <col min="2818" max="2818" width="18.5703125" customWidth="1"/>
    <col min="2819" max="2819" width="3.5703125" customWidth="1"/>
    <col min="2820" max="2820" width="15.28515625" customWidth="1"/>
    <col min="2821" max="2821" width="3.5703125" customWidth="1"/>
    <col min="2822" max="2822" width="16.85546875" customWidth="1"/>
    <col min="2823" max="2823" width="3.5703125" customWidth="1"/>
    <col min="2824" max="2824" width="13.28515625" customWidth="1"/>
    <col min="2825" max="2825" width="3.5703125" customWidth="1"/>
    <col min="2826" max="2826" width="17" customWidth="1"/>
    <col min="2827" max="2827" width="3.5703125" customWidth="1"/>
    <col min="2828" max="2828" width="15.85546875" customWidth="1"/>
    <col min="2829" max="2829" width="15.5703125" customWidth="1"/>
    <col min="2830" max="2830" width="19.5703125" customWidth="1"/>
    <col min="2831" max="2831" width="18.7109375" customWidth="1"/>
    <col min="2832" max="2832" width="15.42578125" customWidth="1"/>
    <col min="2833" max="2833" width="21" customWidth="1"/>
    <col min="3074" max="3074" width="18.5703125" customWidth="1"/>
    <col min="3075" max="3075" width="3.5703125" customWidth="1"/>
    <col min="3076" max="3076" width="15.28515625" customWidth="1"/>
    <col min="3077" max="3077" width="3.5703125" customWidth="1"/>
    <col min="3078" max="3078" width="16.85546875" customWidth="1"/>
    <col min="3079" max="3079" width="3.5703125" customWidth="1"/>
    <col min="3080" max="3080" width="13.28515625" customWidth="1"/>
    <col min="3081" max="3081" width="3.5703125" customWidth="1"/>
    <col min="3082" max="3082" width="17" customWidth="1"/>
    <col min="3083" max="3083" width="3.5703125" customWidth="1"/>
    <col min="3084" max="3084" width="15.85546875" customWidth="1"/>
    <col min="3085" max="3085" width="15.5703125" customWidth="1"/>
    <col min="3086" max="3086" width="19.5703125" customWidth="1"/>
    <col min="3087" max="3087" width="18.7109375" customWidth="1"/>
    <col min="3088" max="3088" width="15.42578125" customWidth="1"/>
    <col min="3089" max="3089" width="21" customWidth="1"/>
    <col min="3330" max="3330" width="18.5703125" customWidth="1"/>
    <col min="3331" max="3331" width="3.5703125" customWidth="1"/>
    <col min="3332" max="3332" width="15.28515625" customWidth="1"/>
    <col min="3333" max="3333" width="3.5703125" customWidth="1"/>
    <col min="3334" max="3334" width="16.85546875" customWidth="1"/>
    <col min="3335" max="3335" width="3.5703125" customWidth="1"/>
    <col min="3336" max="3336" width="13.28515625" customWidth="1"/>
    <col min="3337" max="3337" width="3.5703125" customWidth="1"/>
    <col min="3338" max="3338" width="17" customWidth="1"/>
    <col min="3339" max="3339" width="3.5703125" customWidth="1"/>
    <col min="3340" max="3340" width="15.85546875" customWidth="1"/>
    <col min="3341" max="3341" width="15.5703125" customWidth="1"/>
    <col min="3342" max="3342" width="19.5703125" customWidth="1"/>
    <col min="3343" max="3343" width="18.7109375" customWidth="1"/>
    <col min="3344" max="3344" width="15.42578125" customWidth="1"/>
    <col min="3345" max="3345" width="21" customWidth="1"/>
    <col min="3586" max="3586" width="18.5703125" customWidth="1"/>
    <col min="3587" max="3587" width="3.5703125" customWidth="1"/>
    <col min="3588" max="3588" width="15.28515625" customWidth="1"/>
    <col min="3589" max="3589" width="3.5703125" customWidth="1"/>
    <col min="3590" max="3590" width="16.85546875" customWidth="1"/>
    <col min="3591" max="3591" width="3.5703125" customWidth="1"/>
    <col min="3592" max="3592" width="13.28515625" customWidth="1"/>
    <col min="3593" max="3593" width="3.5703125" customWidth="1"/>
    <col min="3594" max="3594" width="17" customWidth="1"/>
    <col min="3595" max="3595" width="3.5703125" customWidth="1"/>
    <col min="3596" max="3596" width="15.85546875" customWidth="1"/>
    <col min="3597" max="3597" width="15.5703125" customWidth="1"/>
    <col min="3598" max="3598" width="19.5703125" customWidth="1"/>
    <col min="3599" max="3599" width="18.7109375" customWidth="1"/>
    <col min="3600" max="3600" width="15.42578125" customWidth="1"/>
    <col min="3601" max="3601" width="21" customWidth="1"/>
    <col min="3842" max="3842" width="18.5703125" customWidth="1"/>
    <col min="3843" max="3843" width="3.5703125" customWidth="1"/>
    <col min="3844" max="3844" width="15.28515625" customWidth="1"/>
    <col min="3845" max="3845" width="3.5703125" customWidth="1"/>
    <col min="3846" max="3846" width="16.85546875" customWidth="1"/>
    <col min="3847" max="3847" width="3.5703125" customWidth="1"/>
    <col min="3848" max="3848" width="13.28515625" customWidth="1"/>
    <col min="3849" max="3849" width="3.5703125" customWidth="1"/>
    <col min="3850" max="3850" width="17" customWidth="1"/>
    <col min="3851" max="3851" width="3.5703125" customWidth="1"/>
    <col min="3852" max="3852" width="15.85546875" customWidth="1"/>
    <col min="3853" max="3853" width="15.5703125" customWidth="1"/>
    <col min="3854" max="3854" width="19.5703125" customWidth="1"/>
    <col min="3855" max="3855" width="18.7109375" customWidth="1"/>
    <col min="3856" max="3856" width="15.42578125" customWidth="1"/>
    <col min="3857" max="3857" width="21" customWidth="1"/>
    <col min="4098" max="4098" width="18.5703125" customWidth="1"/>
    <col min="4099" max="4099" width="3.5703125" customWidth="1"/>
    <col min="4100" max="4100" width="15.28515625" customWidth="1"/>
    <col min="4101" max="4101" width="3.5703125" customWidth="1"/>
    <col min="4102" max="4102" width="16.85546875" customWidth="1"/>
    <col min="4103" max="4103" width="3.5703125" customWidth="1"/>
    <col min="4104" max="4104" width="13.28515625" customWidth="1"/>
    <col min="4105" max="4105" width="3.5703125" customWidth="1"/>
    <col min="4106" max="4106" width="17" customWidth="1"/>
    <col min="4107" max="4107" width="3.5703125" customWidth="1"/>
    <col min="4108" max="4108" width="15.85546875" customWidth="1"/>
    <col min="4109" max="4109" width="15.5703125" customWidth="1"/>
    <col min="4110" max="4110" width="19.5703125" customWidth="1"/>
    <col min="4111" max="4111" width="18.7109375" customWidth="1"/>
    <col min="4112" max="4112" width="15.42578125" customWidth="1"/>
    <col min="4113" max="4113" width="21" customWidth="1"/>
    <col min="4354" max="4354" width="18.5703125" customWidth="1"/>
    <col min="4355" max="4355" width="3.5703125" customWidth="1"/>
    <col min="4356" max="4356" width="15.28515625" customWidth="1"/>
    <col min="4357" max="4357" width="3.5703125" customWidth="1"/>
    <col min="4358" max="4358" width="16.85546875" customWidth="1"/>
    <col min="4359" max="4359" width="3.5703125" customWidth="1"/>
    <col min="4360" max="4360" width="13.28515625" customWidth="1"/>
    <col min="4361" max="4361" width="3.5703125" customWidth="1"/>
    <col min="4362" max="4362" width="17" customWidth="1"/>
    <col min="4363" max="4363" width="3.5703125" customWidth="1"/>
    <col min="4364" max="4364" width="15.85546875" customWidth="1"/>
    <col min="4365" max="4365" width="15.5703125" customWidth="1"/>
    <col min="4366" max="4366" width="19.5703125" customWidth="1"/>
    <col min="4367" max="4367" width="18.7109375" customWidth="1"/>
    <col min="4368" max="4368" width="15.42578125" customWidth="1"/>
    <col min="4369" max="4369" width="21" customWidth="1"/>
    <col min="4610" max="4610" width="18.5703125" customWidth="1"/>
    <col min="4611" max="4611" width="3.5703125" customWidth="1"/>
    <col min="4612" max="4612" width="15.28515625" customWidth="1"/>
    <col min="4613" max="4613" width="3.5703125" customWidth="1"/>
    <col min="4614" max="4614" width="16.85546875" customWidth="1"/>
    <col min="4615" max="4615" width="3.5703125" customWidth="1"/>
    <col min="4616" max="4616" width="13.28515625" customWidth="1"/>
    <col min="4617" max="4617" width="3.5703125" customWidth="1"/>
    <col min="4618" max="4618" width="17" customWidth="1"/>
    <col min="4619" max="4619" width="3.5703125" customWidth="1"/>
    <col min="4620" max="4620" width="15.85546875" customWidth="1"/>
    <col min="4621" max="4621" width="15.5703125" customWidth="1"/>
    <col min="4622" max="4622" width="19.5703125" customWidth="1"/>
    <col min="4623" max="4623" width="18.7109375" customWidth="1"/>
    <col min="4624" max="4624" width="15.42578125" customWidth="1"/>
    <col min="4625" max="4625" width="21" customWidth="1"/>
    <col min="4866" max="4866" width="18.5703125" customWidth="1"/>
    <col min="4867" max="4867" width="3.5703125" customWidth="1"/>
    <col min="4868" max="4868" width="15.28515625" customWidth="1"/>
    <col min="4869" max="4869" width="3.5703125" customWidth="1"/>
    <col min="4870" max="4870" width="16.85546875" customWidth="1"/>
    <col min="4871" max="4871" width="3.5703125" customWidth="1"/>
    <col min="4872" max="4872" width="13.28515625" customWidth="1"/>
    <col min="4873" max="4873" width="3.5703125" customWidth="1"/>
    <col min="4874" max="4874" width="17" customWidth="1"/>
    <col min="4875" max="4875" width="3.5703125" customWidth="1"/>
    <col min="4876" max="4876" width="15.85546875" customWidth="1"/>
    <col min="4877" max="4877" width="15.5703125" customWidth="1"/>
    <col min="4878" max="4878" width="19.5703125" customWidth="1"/>
    <col min="4879" max="4879" width="18.7109375" customWidth="1"/>
    <col min="4880" max="4880" width="15.42578125" customWidth="1"/>
    <col min="4881" max="4881" width="21" customWidth="1"/>
    <col min="5122" max="5122" width="18.5703125" customWidth="1"/>
    <col min="5123" max="5123" width="3.5703125" customWidth="1"/>
    <col min="5124" max="5124" width="15.28515625" customWidth="1"/>
    <col min="5125" max="5125" width="3.5703125" customWidth="1"/>
    <col min="5126" max="5126" width="16.85546875" customWidth="1"/>
    <col min="5127" max="5127" width="3.5703125" customWidth="1"/>
    <col min="5128" max="5128" width="13.28515625" customWidth="1"/>
    <col min="5129" max="5129" width="3.5703125" customWidth="1"/>
    <col min="5130" max="5130" width="17" customWidth="1"/>
    <col min="5131" max="5131" width="3.5703125" customWidth="1"/>
    <col min="5132" max="5132" width="15.85546875" customWidth="1"/>
    <col min="5133" max="5133" width="15.5703125" customWidth="1"/>
    <col min="5134" max="5134" width="19.5703125" customWidth="1"/>
    <col min="5135" max="5135" width="18.7109375" customWidth="1"/>
    <col min="5136" max="5136" width="15.42578125" customWidth="1"/>
    <col min="5137" max="5137" width="21" customWidth="1"/>
    <col min="5378" max="5378" width="18.5703125" customWidth="1"/>
    <col min="5379" max="5379" width="3.5703125" customWidth="1"/>
    <col min="5380" max="5380" width="15.28515625" customWidth="1"/>
    <col min="5381" max="5381" width="3.5703125" customWidth="1"/>
    <col min="5382" max="5382" width="16.85546875" customWidth="1"/>
    <col min="5383" max="5383" width="3.5703125" customWidth="1"/>
    <col min="5384" max="5384" width="13.28515625" customWidth="1"/>
    <col min="5385" max="5385" width="3.5703125" customWidth="1"/>
    <col min="5386" max="5386" width="17" customWidth="1"/>
    <col min="5387" max="5387" width="3.5703125" customWidth="1"/>
    <col min="5388" max="5388" width="15.85546875" customWidth="1"/>
    <col min="5389" max="5389" width="15.5703125" customWidth="1"/>
    <col min="5390" max="5390" width="19.5703125" customWidth="1"/>
    <col min="5391" max="5391" width="18.7109375" customWidth="1"/>
    <col min="5392" max="5392" width="15.42578125" customWidth="1"/>
    <col min="5393" max="5393" width="21" customWidth="1"/>
    <col min="5634" max="5634" width="18.5703125" customWidth="1"/>
    <col min="5635" max="5635" width="3.5703125" customWidth="1"/>
    <col min="5636" max="5636" width="15.28515625" customWidth="1"/>
    <col min="5637" max="5637" width="3.5703125" customWidth="1"/>
    <col min="5638" max="5638" width="16.85546875" customWidth="1"/>
    <col min="5639" max="5639" width="3.5703125" customWidth="1"/>
    <col min="5640" max="5640" width="13.28515625" customWidth="1"/>
    <col min="5641" max="5641" width="3.5703125" customWidth="1"/>
    <col min="5642" max="5642" width="17" customWidth="1"/>
    <col min="5643" max="5643" width="3.5703125" customWidth="1"/>
    <col min="5644" max="5644" width="15.85546875" customWidth="1"/>
    <col min="5645" max="5645" width="15.5703125" customWidth="1"/>
    <col min="5646" max="5646" width="19.5703125" customWidth="1"/>
    <col min="5647" max="5647" width="18.7109375" customWidth="1"/>
    <col min="5648" max="5648" width="15.42578125" customWidth="1"/>
    <col min="5649" max="5649" width="21" customWidth="1"/>
    <col min="5890" max="5890" width="18.5703125" customWidth="1"/>
    <col min="5891" max="5891" width="3.5703125" customWidth="1"/>
    <col min="5892" max="5892" width="15.28515625" customWidth="1"/>
    <col min="5893" max="5893" width="3.5703125" customWidth="1"/>
    <col min="5894" max="5894" width="16.85546875" customWidth="1"/>
    <col min="5895" max="5895" width="3.5703125" customWidth="1"/>
    <col min="5896" max="5896" width="13.28515625" customWidth="1"/>
    <col min="5897" max="5897" width="3.5703125" customWidth="1"/>
    <col min="5898" max="5898" width="17" customWidth="1"/>
    <col min="5899" max="5899" width="3.5703125" customWidth="1"/>
    <col min="5900" max="5900" width="15.85546875" customWidth="1"/>
    <col min="5901" max="5901" width="15.5703125" customWidth="1"/>
    <col min="5902" max="5902" width="19.5703125" customWidth="1"/>
    <col min="5903" max="5903" width="18.7109375" customWidth="1"/>
    <col min="5904" max="5904" width="15.42578125" customWidth="1"/>
    <col min="5905" max="5905" width="21" customWidth="1"/>
    <col min="6146" max="6146" width="18.5703125" customWidth="1"/>
    <col min="6147" max="6147" width="3.5703125" customWidth="1"/>
    <col min="6148" max="6148" width="15.28515625" customWidth="1"/>
    <col min="6149" max="6149" width="3.5703125" customWidth="1"/>
    <col min="6150" max="6150" width="16.85546875" customWidth="1"/>
    <col min="6151" max="6151" width="3.5703125" customWidth="1"/>
    <col min="6152" max="6152" width="13.28515625" customWidth="1"/>
    <col min="6153" max="6153" width="3.5703125" customWidth="1"/>
    <col min="6154" max="6154" width="17" customWidth="1"/>
    <col min="6155" max="6155" width="3.5703125" customWidth="1"/>
    <col min="6156" max="6156" width="15.85546875" customWidth="1"/>
    <col min="6157" max="6157" width="15.5703125" customWidth="1"/>
    <col min="6158" max="6158" width="19.5703125" customWidth="1"/>
    <col min="6159" max="6159" width="18.7109375" customWidth="1"/>
    <col min="6160" max="6160" width="15.42578125" customWidth="1"/>
    <col min="6161" max="6161" width="21" customWidth="1"/>
    <col min="6402" max="6402" width="18.5703125" customWidth="1"/>
    <col min="6403" max="6403" width="3.5703125" customWidth="1"/>
    <col min="6404" max="6404" width="15.28515625" customWidth="1"/>
    <col min="6405" max="6405" width="3.5703125" customWidth="1"/>
    <col min="6406" max="6406" width="16.85546875" customWidth="1"/>
    <col min="6407" max="6407" width="3.5703125" customWidth="1"/>
    <col min="6408" max="6408" width="13.28515625" customWidth="1"/>
    <col min="6409" max="6409" width="3.5703125" customWidth="1"/>
    <col min="6410" max="6410" width="17" customWidth="1"/>
    <col min="6411" max="6411" width="3.5703125" customWidth="1"/>
    <col min="6412" max="6412" width="15.85546875" customWidth="1"/>
    <col min="6413" max="6413" width="15.5703125" customWidth="1"/>
    <col min="6414" max="6414" width="19.5703125" customWidth="1"/>
    <col min="6415" max="6415" width="18.7109375" customWidth="1"/>
    <col min="6416" max="6416" width="15.42578125" customWidth="1"/>
    <col min="6417" max="6417" width="21" customWidth="1"/>
    <col min="6658" max="6658" width="18.5703125" customWidth="1"/>
    <col min="6659" max="6659" width="3.5703125" customWidth="1"/>
    <col min="6660" max="6660" width="15.28515625" customWidth="1"/>
    <col min="6661" max="6661" width="3.5703125" customWidth="1"/>
    <col min="6662" max="6662" width="16.85546875" customWidth="1"/>
    <col min="6663" max="6663" width="3.5703125" customWidth="1"/>
    <col min="6664" max="6664" width="13.28515625" customWidth="1"/>
    <col min="6665" max="6665" width="3.5703125" customWidth="1"/>
    <col min="6666" max="6666" width="17" customWidth="1"/>
    <col min="6667" max="6667" width="3.5703125" customWidth="1"/>
    <col min="6668" max="6668" width="15.85546875" customWidth="1"/>
    <col min="6669" max="6669" width="15.5703125" customWidth="1"/>
    <col min="6670" max="6670" width="19.5703125" customWidth="1"/>
    <col min="6671" max="6671" width="18.7109375" customWidth="1"/>
    <col min="6672" max="6672" width="15.42578125" customWidth="1"/>
    <col min="6673" max="6673" width="21" customWidth="1"/>
    <col min="6914" max="6914" width="18.5703125" customWidth="1"/>
    <col min="6915" max="6915" width="3.5703125" customWidth="1"/>
    <col min="6916" max="6916" width="15.28515625" customWidth="1"/>
    <col min="6917" max="6917" width="3.5703125" customWidth="1"/>
    <col min="6918" max="6918" width="16.85546875" customWidth="1"/>
    <col min="6919" max="6919" width="3.5703125" customWidth="1"/>
    <col min="6920" max="6920" width="13.28515625" customWidth="1"/>
    <col min="6921" max="6921" width="3.5703125" customWidth="1"/>
    <col min="6922" max="6922" width="17" customWidth="1"/>
    <col min="6923" max="6923" width="3.5703125" customWidth="1"/>
    <col min="6924" max="6924" width="15.85546875" customWidth="1"/>
    <col min="6925" max="6925" width="15.5703125" customWidth="1"/>
    <col min="6926" max="6926" width="19.5703125" customWidth="1"/>
    <col min="6927" max="6927" width="18.7109375" customWidth="1"/>
    <col min="6928" max="6928" width="15.42578125" customWidth="1"/>
    <col min="6929" max="6929" width="21" customWidth="1"/>
    <col min="7170" max="7170" width="18.5703125" customWidth="1"/>
    <col min="7171" max="7171" width="3.5703125" customWidth="1"/>
    <col min="7172" max="7172" width="15.28515625" customWidth="1"/>
    <col min="7173" max="7173" width="3.5703125" customWidth="1"/>
    <col min="7174" max="7174" width="16.85546875" customWidth="1"/>
    <col min="7175" max="7175" width="3.5703125" customWidth="1"/>
    <col min="7176" max="7176" width="13.28515625" customWidth="1"/>
    <col min="7177" max="7177" width="3.5703125" customWidth="1"/>
    <col min="7178" max="7178" width="17" customWidth="1"/>
    <col min="7179" max="7179" width="3.5703125" customWidth="1"/>
    <col min="7180" max="7180" width="15.85546875" customWidth="1"/>
    <col min="7181" max="7181" width="15.5703125" customWidth="1"/>
    <col min="7182" max="7182" width="19.5703125" customWidth="1"/>
    <col min="7183" max="7183" width="18.7109375" customWidth="1"/>
    <col min="7184" max="7184" width="15.42578125" customWidth="1"/>
    <col min="7185" max="7185" width="21" customWidth="1"/>
    <col min="7426" max="7426" width="18.5703125" customWidth="1"/>
    <col min="7427" max="7427" width="3.5703125" customWidth="1"/>
    <col min="7428" max="7428" width="15.28515625" customWidth="1"/>
    <col min="7429" max="7429" width="3.5703125" customWidth="1"/>
    <col min="7430" max="7430" width="16.85546875" customWidth="1"/>
    <col min="7431" max="7431" width="3.5703125" customWidth="1"/>
    <col min="7432" max="7432" width="13.28515625" customWidth="1"/>
    <col min="7433" max="7433" width="3.5703125" customWidth="1"/>
    <col min="7434" max="7434" width="17" customWidth="1"/>
    <col min="7435" max="7435" width="3.5703125" customWidth="1"/>
    <col min="7436" max="7436" width="15.85546875" customWidth="1"/>
    <col min="7437" max="7437" width="15.5703125" customWidth="1"/>
    <col min="7438" max="7438" width="19.5703125" customWidth="1"/>
    <col min="7439" max="7439" width="18.7109375" customWidth="1"/>
    <col min="7440" max="7440" width="15.42578125" customWidth="1"/>
    <col min="7441" max="7441" width="21" customWidth="1"/>
    <col min="7682" max="7682" width="18.5703125" customWidth="1"/>
    <col min="7683" max="7683" width="3.5703125" customWidth="1"/>
    <col min="7684" max="7684" width="15.28515625" customWidth="1"/>
    <col min="7685" max="7685" width="3.5703125" customWidth="1"/>
    <col min="7686" max="7686" width="16.85546875" customWidth="1"/>
    <col min="7687" max="7687" width="3.5703125" customWidth="1"/>
    <col min="7688" max="7688" width="13.28515625" customWidth="1"/>
    <col min="7689" max="7689" width="3.5703125" customWidth="1"/>
    <col min="7690" max="7690" width="17" customWidth="1"/>
    <col min="7691" max="7691" width="3.5703125" customWidth="1"/>
    <col min="7692" max="7692" width="15.85546875" customWidth="1"/>
    <col min="7693" max="7693" width="15.5703125" customWidth="1"/>
    <col min="7694" max="7694" width="19.5703125" customWidth="1"/>
    <col min="7695" max="7695" width="18.7109375" customWidth="1"/>
    <col min="7696" max="7696" width="15.42578125" customWidth="1"/>
    <col min="7697" max="7697" width="21" customWidth="1"/>
    <col min="7938" max="7938" width="18.5703125" customWidth="1"/>
    <col min="7939" max="7939" width="3.5703125" customWidth="1"/>
    <col min="7940" max="7940" width="15.28515625" customWidth="1"/>
    <col min="7941" max="7941" width="3.5703125" customWidth="1"/>
    <col min="7942" max="7942" width="16.85546875" customWidth="1"/>
    <col min="7943" max="7943" width="3.5703125" customWidth="1"/>
    <col min="7944" max="7944" width="13.28515625" customWidth="1"/>
    <col min="7945" max="7945" width="3.5703125" customWidth="1"/>
    <col min="7946" max="7946" width="17" customWidth="1"/>
    <col min="7947" max="7947" width="3.5703125" customWidth="1"/>
    <col min="7948" max="7948" width="15.85546875" customWidth="1"/>
    <col min="7949" max="7949" width="15.5703125" customWidth="1"/>
    <col min="7950" max="7950" width="19.5703125" customWidth="1"/>
    <col min="7951" max="7951" width="18.7109375" customWidth="1"/>
    <col min="7952" max="7952" width="15.42578125" customWidth="1"/>
    <col min="7953" max="7953" width="21" customWidth="1"/>
    <col min="8194" max="8194" width="18.5703125" customWidth="1"/>
    <col min="8195" max="8195" width="3.5703125" customWidth="1"/>
    <col min="8196" max="8196" width="15.28515625" customWidth="1"/>
    <col min="8197" max="8197" width="3.5703125" customWidth="1"/>
    <col min="8198" max="8198" width="16.85546875" customWidth="1"/>
    <col min="8199" max="8199" width="3.5703125" customWidth="1"/>
    <col min="8200" max="8200" width="13.28515625" customWidth="1"/>
    <col min="8201" max="8201" width="3.5703125" customWidth="1"/>
    <col min="8202" max="8202" width="17" customWidth="1"/>
    <col min="8203" max="8203" width="3.5703125" customWidth="1"/>
    <col min="8204" max="8204" width="15.85546875" customWidth="1"/>
    <col min="8205" max="8205" width="15.5703125" customWidth="1"/>
    <col min="8206" max="8206" width="19.5703125" customWidth="1"/>
    <col min="8207" max="8207" width="18.7109375" customWidth="1"/>
    <col min="8208" max="8208" width="15.42578125" customWidth="1"/>
    <col min="8209" max="8209" width="21" customWidth="1"/>
    <col min="8450" max="8450" width="18.5703125" customWidth="1"/>
    <col min="8451" max="8451" width="3.5703125" customWidth="1"/>
    <col min="8452" max="8452" width="15.28515625" customWidth="1"/>
    <col min="8453" max="8453" width="3.5703125" customWidth="1"/>
    <col min="8454" max="8454" width="16.85546875" customWidth="1"/>
    <col min="8455" max="8455" width="3.5703125" customWidth="1"/>
    <col min="8456" max="8456" width="13.28515625" customWidth="1"/>
    <col min="8457" max="8457" width="3.5703125" customWidth="1"/>
    <col min="8458" max="8458" width="17" customWidth="1"/>
    <col min="8459" max="8459" width="3.5703125" customWidth="1"/>
    <col min="8460" max="8460" width="15.85546875" customWidth="1"/>
    <col min="8461" max="8461" width="15.5703125" customWidth="1"/>
    <col min="8462" max="8462" width="19.5703125" customWidth="1"/>
    <col min="8463" max="8463" width="18.7109375" customWidth="1"/>
    <col min="8464" max="8464" width="15.42578125" customWidth="1"/>
    <col min="8465" max="8465" width="21" customWidth="1"/>
    <col min="8706" max="8706" width="18.5703125" customWidth="1"/>
    <col min="8707" max="8707" width="3.5703125" customWidth="1"/>
    <col min="8708" max="8708" width="15.28515625" customWidth="1"/>
    <col min="8709" max="8709" width="3.5703125" customWidth="1"/>
    <col min="8710" max="8710" width="16.85546875" customWidth="1"/>
    <col min="8711" max="8711" width="3.5703125" customWidth="1"/>
    <col min="8712" max="8712" width="13.28515625" customWidth="1"/>
    <col min="8713" max="8713" width="3.5703125" customWidth="1"/>
    <col min="8714" max="8714" width="17" customWidth="1"/>
    <col min="8715" max="8715" width="3.5703125" customWidth="1"/>
    <col min="8716" max="8716" width="15.85546875" customWidth="1"/>
    <col min="8717" max="8717" width="15.5703125" customWidth="1"/>
    <col min="8718" max="8718" width="19.5703125" customWidth="1"/>
    <col min="8719" max="8719" width="18.7109375" customWidth="1"/>
    <col min="8720" max="8720" width="15.42578125" customWidth="1"/>
    <col min="8721" max="8721" width="21" customWidth="1"/>
    <col min="8962" max="8962" width="18.5703125" customWidth="1"/>
    <col min="8963" max="8963" width="3.5703125" customWidth="1"/>
    <col min="8964" max="8964" width="15.28515625" customWidth="1"/>
    <col min="8965" max="8965" width="3.5703125" customWidth="1"/>
    <col min="8966" max="8966" width="16.85546875" customWidth="1"/>
    <col min="8967" max="8967" width="3.5703125" customWidth="1"/>
    <col min="8968" max="8968" width="13.28515625" customWidth="1"/>
    <col min="8969" max="8969" width="3.5703125" customWidth="1"/>
    <col min="8970" max="8970" width="17" customWidth="1"/>
    <col min="8971" max="8971" width="3.5703125" customWidth="1"/>
    <col min="8972" max="8972" width="15.85546875" customWidth="1"/>
    <col min="8973" max="8973" width="15.5703125" customWidth="1"/>
    <col min="8974" max="8974" width="19.5703125" customWidth="1"/>
    <col min="8975" max="8975" width="18.7109375" customWidth="1"/>
    <col min="8976" max="8976" width="15.42578125" customWidth="1"/>
    <col min="8977" max="8977" width="21" customWidth="1"/>
    <col min="9218" max="9218" width="18.5703125" customWidth="1"/>
    <col min="9219" max="9219" width="3.5703125" customWidth="1"/>
    <col min="9220" max="9220" width="15.28515625" customWidth="1"/>
    <col min="9221" max="9221" width="3.5703125" customWidth="1"/>
    <col min="9222" max="9222" width="16.85546875" customWidth="1"/>
    <col min="9223" max="9223" width="3.5703125" customWidth="1"/>
    <col min="9224" max="9224" width="13.28515625" customWidth="1"/>
    <col min="9225" max="9225" width="3.5703125" customWidth="1"/>
    <col min="9226" max="9226" width="17" customWidth="1"/>
    <col min="9227" max="9227" width="3.5703125" customWidth="1"/>
    <col min="9228" max="9228" width="15.85546875" customWidth="1"/>
    <col min="9229" max="9229" width="15.5703125" customWidth="1"/>
    <col min="9230" max="9230" width="19.5703125" customWidth="1"/>
    <col min="9231" max="9231" width="18.7109375" customWidth="1"/>
    <col min="9232" max="9232" width="15.42578125" customWidth="1"/>
    <col min="9233" max="9233" width="21" customWidth="1"/>
    <col min="9474" max="9474" width="18.5703125" customWidth="1"/>
    <col min="9475" max="9475" width="3.5703125" customWidth="1"/>
    <col min="9476" max="9476" width="15.28515625" customWidth="1"/>
    <col min="9477" max="9477" width="3.5703125" customWidth="1"/>
    <col min="9478" max="9478" width="16.85546875" customWidth="1"/>
    <col min="9479" max="9479" width="3.5703125" customWidth="1"/>
    <col min="9480" max="9480" width="13.28515625" customWidth="1"/>
    <col min="9481" max="9481" width="3.5703125" customWidth="1"/>
    <col min="9482" max="9482" width="17" customWidth="1"/>
    <col min="9483" max="9483" width="3.5703125" customWidth="1"/>
    <col min="9484" max="9484" width="15.85546875" customWidth="1"/>
    <col min="9485" max="9485" width="15.5703125" customWidth="1"/>
    <col min="9486" max="9486" width="19.5703125" customWidth="1"/>
    <col min="9487" max="9487" width="18.7109375" customWidth="1"/>
    <col min="9488" max="9488" width="15.42578125" customWidth="1"/>
    <col min="9489" max="9489" width="21" customWidth="1"/>
    <col min="9730" max="9730" width="18.5703125" customWidth="1"/>
    <col min="9731" max="9731" width="3.5703125" customWidth="1"/>
    <col min="9732" max="9732" width="15.28515625" customWidth="1"/>
    <col min="9733" max="9733" width="3.5703125" customWidth="1"/>
    <col min="9734" max="9734" width="16.85546875" customWidth="1"/>
    <col min="9735" max="9735" width="3.5703125" customWidth="1"/>
    <col min="9736" max="9736" width="13.28515625" customWidth="1"/>
    <col min="9737" max="9737" width="3.5703125" customWidth="1"/>
    <col min="9738" max="9738" width="17" customWidth="1"/>
    <col min="9739" max="9739" width="3.5703125" customWidth="1"/>
    <col min="9740" max="9740" width="15.85546875" customWidth="1"/>
    <col min="9741" max="9741" width="15.5703125" customWidth="1"/>
    <col min="9742" max="9742" width="19.5703125" customWidth="1"/>
    <col min="9743" max="9743" width="18.7109375" customWidth="1"/>
    <col min="9744" max="9744" width="15.42578125" customWidth="1"/>
    <col min="9745" max="9745" width="21" customWidth="1"/>
    <col min="9986" max="9986" width="18.5703125" customWidth="1"/>
    <col min="9987" max="9987" width="3.5703125" customWidth="1"/>
    <col min="9988" max="9988" width="15.28515625" customWidth="1"/>
    <col min="9989" max="9989" width="3.5703125" customWidth="1"/>
    <col min="9990" max="9990" width="16.85546875" customWidth="1"/>
    <col min="9991" max="9991" width="3.5703125" customWidth="1"/>
    <col min="9992" max="9992" width="13.28515625" customWidth="1"/>
    <col min="9993" max="9993" width="3.5703125" customWidth="1"/>
    <col min="9994" max="9994" width="17" customWidth="1"/>
    <col min="9995" max="9995" width="3.5703125" customWidth="1"/>
    <col min="9996" max="9996" width="15.85546875" customWidth="1"/>
    <col min="9997" max="9997" width="15.5703125" customWidth="1"/>
    <col min="9998" max="9998" width="19.5703125" customWidth="1"/>
    <col min="9999" max="9999" width="18.7109375" customWidth="1"/>
    <col min="10000" max="10000" width="15.42578125" customWidth="1"/>
    <col min="10001" max="10001" width="21" customWidth="1"/>
    <col min="10242" max="10242" width="18.5703125" customWidth="1"/>
    <col min="10243" max="10243" width="3.5703125" customWidth="1"/>
    <col min="10244" max="10244" width="15.28515625" customWidth="1"/>
    <col min="10245" max="10245" width="3.5703125" customWidth="1"/>
    <col min="10246" max="10246" width="16.85546875" customWidth="1"/>
    <col min="10247" max="10247" width="3.5703125" customWidth="1"/>
    <col min="10248" max="10248" width="13.28515625" customWidth="1"/>
    <col min="10249" max="10249" width="3.5703125" customWidth="1"/>
    <col min="10250" max="10250" width="17" customWidth="1"/>
    <col min="10251" max="10251" width="3.5703125" customWidth="1"/>
    <col min="10252" max="10252" width="15.85546875" customWidth="1"/>
    <col min="10253" max="10253" width="15.5703125" customWidth="1"/>
    <col min="10254" max="10254" width="19.5703125" customWidth="1"/>
    <col min="10255" max="10255" width="18.7109375" customWidth="1"/>
    <col min="10256" max="10256" width="15.42578125" customWidth="1"/>
    <col min="10257" max="10257" width="21" customWidth="1"/>
    <col min="10498" max="10498" width="18.5703125" customWidth="1"/>
    <col min="10499" max="10499" width="3.5703125" customWidth="1"/>
    <col min="10500" max="10500" width="15.28515625" customWidth="1"/>
    <col min="10501" max="10501" width="3.5703125" customWidth="1"/>
    <col min="10502" max="10502" width="16.85546875" customWidth="1"/>
    <col min="10503" max="10503" width="3.5703125" customWidth="1"/>
    <col min="10504" max="10504" width="13.28515625" customWidth="1"/>
    <col min="10505" max="10505" width="3.5703125" customWidth="1"/>
    <col min="10506" max="10506" width="17" customWidth="1"/>
    <col min="10507" max="10507" width="3.5703125" customWidth="1"/>
    <col min="10508" max="10508" width="15.85546875" customWidth="1"/>
    <col min="10509" max="10509" width="15.5703125" customWidth="1"/>
    <col min="10510" max="10510" width="19.5703125" customWidth="1"/>
    <col min="10511" max="10511" width="18.7109375" customWidth="1"/>
    <col min="10512" max="10512" width="15.42578125" customWidth="1"/>
    <col min="10513" max="10513" width="21" customWidth="1"/>
    <col min="10754" max="10754" width="18.5703125" customWidth="1"/>
    <col min="10755" max="10755" width="3.5703125" customWidth="1"/>
    <col min="10756" max="10756" width="15.28515625" customWidth="1"/>
    <col min="10757" max="10757" width="3.5703125" customWidth="1"/>
    <col min="10758" max="10758" width="16.85546875" customWidth="1"/>
    <col min="10759" max="10759" width="3.5703125" customWidth="1"/>
    <col min="10760" max="10760" width="13.28515625" customWidth="1"/>
    <col min="10761" max="10761" width="3.5703125" customWidth="1"/>
    <col min="10762" max="10762" width="17" customWidth="1"/>
    <col min="10763" max="10763" width="3.5703125" customWidth="1"/>
    <col min="10764" max="10764" width="15.85546875" customWidth="1"/>
    <col min="10765" max="10765" width="15.5703125" customWidth="1"/>
    <col min="10766" max="10766" width="19.5703125" customWidth="1"/>
    <col min="10767" max="10767" width="18.7109375" customWidth="1"/>
    <col min="10768" max="10768" width="15.42578125" customWidth="1"/>
    <col min="10769" max="10769" width="21" customWidth="1"/>
    <col min="11010" max="11010" width="18.5703125" customWidth="1"/>
    <col min="11011" max="11011" width="3.5703125" customWidth="1"/>
    <col min="11012" max="11012" width="15.28515625" customWidth="1"/>
    <col min="11013" max="11013" width="3.5703125" customWidth="1"/>
    <col min="11014" max="11014" width="16.85546875" customWidth="1"/>
    <col min="11015" max="11015" width="3.5703125" customWidth="1"/>
    <col min="11016" max="11016" width="13.28515625" customWidth="1"/>
    <col min="11017" max="11017" width="3.5703125" customWidth="1"/>
    <col min="11018" max="11018" width="17" customWidth="1"/>
    <col min="11019" max="11019" width="3.5703125" customWidth="1"/>
    <col min="11020" max="11020" width="15.85546875" customWidth="1"/>
    <col min="11021" max="11021" width="15.5703125" customWidth="1"/>
    <col min="11022" max="11022" width="19.5703125" customWidth="1"/>
    <col min="11023" max="11023" width="18.7109375" customWidth="1"/>
    <col min="11024" max="11024" width="15.42578125" customWidth="1"/>
    <col min="11025" max="11025" width="21" customWidth="1"/>
    <col min="11266" max="11266" width="18.5703125" customWidth="1"/>
    <col min="11267" max="11267" width="3.5703125" customWidth="1"/>
    <col min="11268" max="11268" width="15.28515625" customWidth="1"/>
    <col min="11269" max="11269" width="3.5703125" customWidth="1"/>
    <col min="11270" max="11270" width="16.85546875" customWidth="1"/>
    <col min="11271" max="11271" width="3.5703125" customWidth="1"/>
    <col min="11272" max="11272" width="13.28515625" customWidth="1"/>
    <col min="11273" max="11273" width="3.5703125" customWidth="1"/>
    <col min="11274" max="11274" width="17" customWidth="1"/>
    <col min="11275" max="11275" width="3.5703125" customWidth="1"/>
    <col min="11276" max="11276" width="15.85546875" customWidth="1"/>
    <col min="11277" max="11277" width="15.5703125" customWidth="1"/>
    <col min="11278" max="11278" width="19.5703125" customWidth="1"/>
    <col min="11279" max="11279" width="18.7109375" customWidth="1"/>
    <col min="11280" max="11280" width="15.42578125" customWidth="1"/>
    <col min="11281" max="11281" width="21" customWidth="1"/>
    <col min="11522" max="11522" width="18.5703125" customWidth="1"/>
    <col min="11523" max="11523" width="3.5703125" customWidth="1"/>
    <col min="11524" max="11524" width="15.28515625" customWidth="1"/>
    <col min="11525" max="11525" width="3.5703125" customWidth="1"/>
    <col min="11526" max="11526" width="16.85546875" customWidth="1"/>
    <col min="11527" max="11527" width="3.5703125" customWidth="1"/>
    <col min="11528" max="11528" width="13.28515625" customWidth="1"/>
    <col min="11529" max="11529" width="3.5703125" customWidth="1"/>
    <col min="11530" max="11530" width="17" customWidth="1"/>
    <col min="11531" max="11531" width="3.5703125" customWidth="1"/>
    <col min="11532" max="11532" width="15.85546875" customWidth="1"/>
    <col min="11533" max="11533" width="15.5703125" customWidth="1"/>
    <col min="11534" max="11534" width="19.5703125" customWidth="1"/>
    <col min="11535" max="11535" width="18.7109375" customWidth="1"/>
    <col min="11536" max="11536" width="15.42578125" customWidth="1"/>
    <col min="11537" max="11537" width="21" customWidth="1"/>
    <col min="11778" max="11778" width="18.5703125" customWidth="1"/>
    <col min="11779" max="11779" width="3.5703125" customWidth="1"/>
    <col min="11780" max="11780" width="15.28515625" customWidth="1"/>
    <col min="11781" max="11781" width="3.5703125" customWidth="1"/>
    <col min="11782" max="11782" width="16.85546875" customWidth="1"/>
    <col min="11783" max="11783" width="3.5703125" customWidth="1"/>
    <col min="11784" max="11784" width="13.28515625" customWidth="1"/>
    <col min="11785" max="11785" width="3.5703125" customWidth="1"/>
    <col min="11786" max="11786" width="17" customWidth="1"/>
    <col min="11787" max="11787" width="3.5703125" customWidth="1"/>
    <col min="11788" max="11788" width="15.85546875" customWidth="1"/>
    <col min="11789" max="11789" width="15.5703125" customWidth="1"/>
    <col min="11790" max="11790" width="19.5703125" customWidth="1"/>
    <col min="11791" max="11791" width="18.7109375" customWidth="1"/>
    <col min="11792" max="11792" width="15.42578125" customWidth="1"/>
    <col min="11793" max="11793" width="21" customWidth="1"/>
    <col min="12034" max="12034" width="18.5703125" customWidth="1"/>
    <col min="12035" max="12035" width="3.5703125" customWidth="1"/>
    <col min="12036" max="12036" width="15.28515625" customWidth="1"/>
    <col min="12037" max="12037" width="3.5703125" customWidth="1"/>
    <col min="12038" max="12038" width="16.85546875" customWidth="1"/>
    <col min="12039" max="12039" width="3.5703125" customWidth="1"/>
    <col min="12040" max="12040" width="13.28515625" customWidth="1"/>
    <col min="12041" max="12041" width="3.5703125" customWidth="1"/>
    <col min="12042" max="12042" width="17" customWidth="1"/>
    <col min="12043" max="12043" width="3.5703125" customWidth="1"/>
    <col min="12044" max="12044" width="15.85546875" customWidth="1"/>
    <col min="12045" max="12045" width="15.5703125" customWidth="1"/>
    <col min="12046" max="12046" width="19.5703125" customWidth="1"/>
    <col min="12047" max="12047" width="18.7109375" customWidth="1"/>
    <col min="12048" max="12048" width="15.42578125" customWidth="1"/>
    <col min="12049" max="12049" width="21" customWidth="1"/>
    <col min="12290" max="12290" width="18.5703125" customWidth="1"/>
    <col min="12291" max="12291" width="3.5703125" customWidth="1"/>
    <col min="12292" max="12292" width="15.28515625" customWidth="1"/>
    <col min="12293" max="12293" width="3.5703125" customWidth="1"/>
    <col min="12294" max="12294" width="16.85546875" customWidth="1"/>
    <col min="12295" max="12295" width="3.5703125" customWidth="1"/>
    <col min="12296" max="12296" width="13.28515625" customWidth="1"/>
    <col min="12297" max="12297" width="3.5703125" customWidth="1"/>
    <col min="12298" max="12298" width="17" customWidth="1"/>
    <col min="12299" max="12299" width="3.5703125" customWidth="1"/>
    <col min="12300" max="12300" width="15.85546875" customWidth="1"/>
    <col min="12301" max="12301" width="15.5703125" customWidth="1"/>
    <col min="12302" max="12302" width="19.5703125" customWidth="1"/>
    <col min="12303" max="12303" width="18.7109375" customWidth="1"/>
    <col min="12304" max="12304" width="15.42578125" customWidth="1"/>
    <col min="12305" max="12305" width="21" customWidth="1"/>
    <col min="12546" max="12546" width="18.5703125" customWidth="1"/>
    <col min="12547" max="12547" width="3.5703125" customWidth="1"/>
    <col min="12548" max="12548" width="15.28515625" customWidth="1"/>
    <col min="12549" max="12549" width="3.5703125" customWidth="1"/>
    <col min="12550" max="12550" width="16.85546875" customWidth="1"/>
    <col min="12551" max="12551" width="3.5703125" customWidth="1"/>
    <col min="12552" max="12552" width="13.28515625" customWidth="1"/>
    <col min="12553" max="12553" width="3.5703125" customWidth="1"/>
    <col min="12554" max="12554" width="17" customWidth="1"/>
    <col min="12555" max="12555" width="3.5703125" customWidth="1"/>
    <col min="12556" max="12556" width="15.85546875" customWidth="1"/>
    <col min="12557" max="12557" width="15.5703125" customWidth="1"/>
    <col min="12558" max="12558" width="19.5703125" customWidth="1"/>
    <col min="12559" max="12559" width="18.7109375" customWidth="1"/>
    <col min="12560" max="12560" width="15.42578125" customWidth="1"/>
    <col min="12561" max="12561" width="21" customWidth="1"/>
    <col min="12802" max="12802" width="18.5703125" customWidth="1"/>
    <col min="12803" max="12803" width="3.5703125" customWidth="1"/>
    <col min="12804" max="12804" width="15.28515625" customWidth="1"/>
    <col min="12805" max="12805" width="3.5703125" customWidth="1"/>
    <col min="12806" max="12806" width="16.85546875" customWidth="1"/>
    <col min="12807" max="12807" width="3.5703125" customWidth="1"/>
    <col min="12808" max="12808" width="13.28515625" customWidth="1"/>
    <col min="12809" max="12809" width="3.5703125" customWidth="1"/>
    <col min="12810" max="12810" width="17" customWidth="1"/>
    <col min="12811" max="12811" width="3.5703125" customWidth="1"/>
    <col min="12812" max="12812" width="15.85546875" customWidth="1"/>
    <col min="12813" max="12813" width="15.5703125" customWidth="1"/>
    <col min="12814" max="12814" width="19.5703125" customWidth="1"/>
    <col min="12815" max="12815" width="18.7109375" customWidth="1"/>
    <col min="12816" max="12816" width="15.42578125" customWidth="1"/>
    <col min="12817" max="12817" width="21" customWidth="1"/>
    <col min="13058" max="13058" width="18.5703125" customWidth="1"/>
    <col min="13059" max="13059" width="3.5703125" customWidth="1"/>
    <col min="13060" max="13060" width="15.28515625" customWidth="1"/>
    <col min="13061" max="13061" width="3.5703125" customWidth="1"/>
    <col min="13062" max="13062" width="16.85546875" customWidth="1"/>
    <col min="13063" max="13063" width="3.5703125" customWidth="1"/>
    <col min="13064" max="13064" width="13.28515625" customWidth="1"/>
    <col min="13065" max="13065" width="3.5703125" customWidth="1"/>
    <col min="13066" max="13066" width="17" customWidth="1"/>
    <col min="13067" max="13067" width="3.5703125" customWidth="1"/>
    <col min="13068" max="13068" width="15.85546875" customWidth="1"/>
    <col min="13069" max="13069" width="15.5703125" customWidth="1"/>
    <col min="13070" max="13070" width="19.5703125" customWidth="1"/>
    <col min="13071" max="13071" width="18.7109375" customWidth="1"/>
    <col min="13072" max="13072" width="15.42578125" customWidth="1"/>
    <col min="13073" max="13073" width="21" customWidth="1"/>
    <col min="13314" max="13314" width="18.5703125" customWidth="1"/>
    <col min="13315" max="13315" width="3.5703125" customWidth="1"/>
    <col min="13316" max="13316" width="15.28515625" customWidth="1"/>
    <col min="13317" max="13317" width="3.5703125" customWidth="1"/>
    <col min="13318" max="13318" width="16.85546875" customWidth="1"/>
    <col min="13319" max="13319" width="3.5703125" customWidth="1"/>
    <col min="13320" max="13320" width="13.28515625" customWidth="1"/>
    <col min="13321" max="13321" width="3.5703125" customWidth="1"/>
    <col min="13322" max="13322" width="17" customWidth="1"/>
    <col min="13323" max="13323" width="3.5703125" customWidth="1"/>
    <col min="13324" max="13324" width="15.85546875" customWidth="1"/>
    <col min="13325" max="13325" width="15.5703125" customWidth="1"/>
    <col min="13326" max="13326" width="19.5703125" customWidth="1"/>
    <col min="13327" max="13327" width="18.7109375" customWidth="1"/>
    <col min="13328" max="13328" width="15.42578125" customWidth="1"/>
    <col min="13329" max="13329" width="21" customWidth="1"/>
    <col min="13570" max="13570" width="18.5703125" customWidth="1"/>
    <col min="13571" max="13571" width="3.5703125" customWidth="1"/>
    <col min="13572" max="13572" width="15.28515625" customWidth="1"/>
    <col min="13573" max="13573" width="3.5703125" customWidth="1"/>
    <col min="13574" max="13574" width="16.85546875" customWidth="1"/>
    <col min="13575" max="13575" width="3.5703125" customWidth="1"/>
    <col min="13576" max="13576" width="13.28515625" customWidth="1"/>
    <col min="13577" max="13577" width="3.5703125" customWidth="1"/>
    <col min="13578" max="13578" width="17" customWidth="1"/>
    <col min="13579" max="13579" width="3.5703125" customWidth="1"/>
    <col min="13580" max="13580" width="15.85546875" customWidth="1"/>
    <col min="13581" max="13581" width="15.5703125" customWidth="1"/>
    <col min="13582" max="13582" width="19.5703125" customWidth="1"/>
    <col min="13583" max="13583" width="18.7109375" customWidth="1"/>
    <col min="13584" max="13584" width="15.42578125" customWidth="1"/>
    <col min="13585" max="13585" width="21" customWidth="1"/>
    <col min="13826" max="13826" width="18.5703125" customWidth="1"/>
    <col min="13827" max="13827" width="3.5703125" customWidth="1"/>
    <col min="13828" max="13828" width="15.28515625" customWidth="1"/>
    <col min="13829" max="13829" width="3.5703125" customWidth="1"/>
    <col min="13830" max="13830" width="16.85546875" customWidth="1"/>
    <col min="13831" max="13831" width="3.5703125" customWidth="1"/>
    <col min="13832" max="13832" width="13.28515625" customWidth="1"/>
    <col min="13833" max="13833" width="3.5703125" customWidth="1"/>
    <col min="13834" max="13834" width="17" customWidth="1"/>
    <col min="13835" max="13835" width="3.5703125" customWidth="1"/>
    <col min="13836" max="13836" width="15.85546875" customWidth="1"/>
    <col min="13837" max="13837" width="15.5703125" customWidth="1"/>
    <col min="13838" max="13838" width="19.5703125" customWidth="1"/>
    <col min="13839" max="13839" width="18.7109375" customWidth="1"/>
    <col min="13840" max="13840" width="15.42578125" customWidth="1"/>
    <col min="13841" max="13841" width="21" customWidth="1"/>
    <col min="14082" max="14082" width="18.5703125" customWidth="1"/>
    <col min="14083" max="14083" width="3.5703125" customWidth="1"/>
    <col min="14084" max="14084" width="15.28515625" customWidth="1"/>
    <col min="14085" max="14085" width="3.5703125" customWidth="1"/>
    <col min="14086" max="14086" width="16.85546875" customWidth="1"/>
    <col min="14087" max="14087" width="3.5703125" customWidth="1"/>
    <col min="14088" max="14088" width="13.28515625" customWidth="1"/>
    <col min="14089" max="14089" width="3.5703125" customWidth="1"/>
    <col min="14090" max="14090" width="17" customWidth="1"/>
    <col min="14091" max="14091" width="3.5703125" customWidth="1"/>
    <col min="14092" max="14092" width="15.85546875" customWidth="1"/>
    <col min="14093" max="14093" width="15.5703125" customWidth="1"/>
    <col min="14094" max="14094" width="19.5703125" customWidth="1"/>
    <col min="14095" max="14095" width="18.7109375" customWidth="1"/>
    <col min="14096" max="14096" width="15.42578125" customWidth="1"/>
    <col min="14097" max="14097" width="21" customWidth="1"/>
    <col min="14338" max="14338" width="18.5703125" customWidth="1"/>
    <col min="14339" max="14339" width="3.5703125" customWidth="1"/>
    <col min="14340" max="14340" width="15.28515625" customWidth="1"/>
    <col min="14341" max="14341" width="3.5703125" customWidth="1"/>
    <col min="14342" max="14342" width="16.85546875" customWidth="1"/>
    <col min="14343" max="14343" width="3.5703125" customWidth="1"/>
    <col min="14344" max="14344" width="13.28515625" customWidth="1"/>
    <col min="14345" max="14345" width="3.5703125" customWidth="1"/>
    <col min="14346" max="14346" width="17" customWidth="1"/>
    <col min="14347" max="14347" width="3.5703125" customWidth="1"/>
    <col min="14348" max="14348" width="15.85546875" customWidth="1"/>
    <col min="14349" max="14349" width="15.5703125" customWidth="1"/>
    <col min="14350" max="14350" width="19.5703125" customWidth="1"/>
    <col min="14351" max="14351" width="18.7109375" customWidth="1"/>
    <col min="14352" max="14352" width="15.42578125" customWidth="1"/>
    <col min="14353" max="14353" width="21" customWidth="1"/>
    <col min="14594" max="14594" width="18.5703125" customWidth="1"/>
    <col min="14595" max="14595" width="3.5703125" customWidth="1"/>
    <col min="14596" max="14596" width="15.28515625" customWidth="1"/>
    <col min="14597" max="14597" width="3.5703125" customWidth="1"/>
    <col min="14598" max="14598" width="16.85546875" customWidth="1"/>
    <col min="14599" max="14599" width="3.5703125" customWidth="1"/>
    <col min="14600" max="14600" width="13.28515625" customWidth="1"/>
    <col min="14601" max="14601" width="3.5703125" customWidth="1"/>
    <col min="14602" max="14602" width="17" customWidth="1"/>
    <col min="14603" max="14603" width="3.5703125" customWidth="1"/>
    <col min="14604" max="14604" width="15.85546875" customWidth="1"/>
    <col min="14605" max="14605" width="15.5703125" customWidth="1"/>
    <col min="14606" max="14606" width="19.5703125" customWidth="1"/>
    <col min="14607" max="14607" width="18.7109375" customWidth="1"/>
    <col min="14608" max="14608" width="15.42578125" customWidth="1"/>
    <col min="14609" max="14609" width="21" customWidth="1"/>
    <col min="14850" max="14850" width="18.5703125" customWidth="1"/>
    <col min="14851" max="14851" width="3.5703125" customWidth="1"/>
    <col min="14852" max="14852" width="15.28515625" customWidth="1"/>
    <col min="14853" max="14853" width="3.5703125" customWidth="1"/>
    <col min="14854" max="14854" width="16.85546875" customWidth="1"/>
    <col min="14855" max="14855" width="3.5703125" customWidth="1"/>
    <col min="14856" max="14856" width="13.28515625" customWidth="1"/>
    <col min="14857" max="14857" width="3.5703125" customWidth="1"/>
    <col min="14858" max="14858" width="17" customWidth="1"/>
    <col min="14859" max="14859" width="3.5703125" customWidth="1"/>
    <col min="14860" max="14860" width="15.85546875" customWidth="1"/>
    <col min="14861" max="14861" width="15.5703125" customWidth="1"/>
    <col min="14862" max="14862" width="19.5703125" customWidth="1"/>
    <col min="14863" max="14863" width="18.7109375" customWidth="1"/>
    <col min="14864" max="14864" width="15.42578125" customWidth="1"/>
    <col min="14865" max="14865" width="21" customWidth="1"/>
    <col min="15106" max="15106" width="18.5703125" customWidth="1"/>
    <col min="15107" max="15107" width="3.5703125" customWidth="1"/>
    <col min="15108" max="15108" width="15.28515625" customWidth="1"/>
    <col min="15109" max="15109" width="3.5703125" customWidth="1"/>
    <col min="15110" max="15110" width="16.85546875" customWidth="1"/>
    <col min="15111" max="15111" width="3.5703125" customWidth="1"/>
    <col min="15112" max="15112" width="13.28515625" customWidth="1"/>
    <col min="15113" max="15113" width="3.5703125" customWidth="1"/>
    <col min="15114" max="15114" width="17" customWidth="1"/>
    <col min="15115" max="15115" width="3.5703125" customWidth="1"/>
    <col min="15116" max="15116" width="15.85546875" customWidth="1"/>
    <col min="15117" max="15117" width="15.5703125" customWidth="1"/>
    <col min="15118" max="15118" width="19.5703125" customWidth="1"/>
    <col min="15119" max="15119" width="18.7109375" customWidth="1"/>
    <col min="15120" max="15120" width="15.42578125" customWidth="1"/>
    <col min="15121" max="15121" width="21" customWidth="1"/>
    <col min="15362" max="15362" width="18.5703125" customWidth="1"/>
    <col min="15363" max="15363" width="3.5703125" customWidth="1"/>
    <col min="15364" max="15364" width="15.28515625" customWidth="1"/>
    <col min="15365" max="15365" width="3.5703125" customWidth="1"/>
    <col min="15366" max="15366" width="16.85546875" customWidth="1"/>
    <col min="15367" max="15367" width="3.5703125" customWidth="1"/>
    <col min="15368" max="15368" width="13.28515625" customWidth="1"/>
    <col min="15369" max="15369" width="3.5703125" customWidth="1"/>
    <col min="15370" max="15370" width="17" customWidth="1"/>
    <col min="15371" max="15371" width="3.5703125" customWidth="1"/>
    <col min="15372" max="15372" width="15.85546875" customWidth="1"/>
    <col min="15373" max="15373" width="15.5703125" customWidth="1"/>
    <col min="15374" max="15374" width="19.5703125" customWidth="1"/>
    <col min="15375" max="15375" width="18.7109375" customWidth="1"/>
    <col min="15376" max="15376" width="15.42578125" customWidth="1"/>
    <col min="15377" max="15377" width="21" customWidth="1"/>
    <col min="15618" max="15618" width="18.5703125" customWidth="1"/>
    <col min="15619" max="15619" width="3.5703125" customWidth="1"/>
    <col min="15620" max="15620" width="15.28515625" customWidth="1"/>
    <col min="15621" max="15621" width="3.5703125" customWidth="1"/>
    <col min="15622" max="15622" width="16.85546875" customWidth="1"/>
    <col min="15623" max="15623" width="3.5703125" customWidth="1"/>
    <col min="15624" max="15624" width="13.28515625" customWidth="1"/>
    <col min="15625" max="15625" width="3.5703125" customWidth="1"/>
    <col min="15626" max="15626" width="17" customWidth="1"/>
    <col min="15627" max="15627" width="3.5703125" customWidth="1"/>
    <col min="15628" max="15628" width="15.85546875" customWidth="1"/>
    <col min="15629" max="15629" width="15.5703125" customWidth="1"/>
    <col min="15630" max="15630" width="19.5703125" customWidth="1"/>
    <col min="15631" max="15631" width="18.7109375" customWidth="1"/>
    <col min="15632" max="15632" width="15.42578125" customWidth="1"/>
    <col min="15633" max="15633" width="21" customWidth="1"/>
    <col min="15874" max="15874" width="18.5703125" customWidth="1"/>
    <col min="15875" max="15875" width="3.5703125" customWidth="1"/>
    <col min="15876" max="15876" width="15.28515625" customWidth="1"/>
    <col min="15877" max="15877" width="3.5703125" customWidth="1"/>
    <col min="15878" max="15878" width="16.85546875" customWidth="1"/>
    <col min="15879" max="15879" width="3.5703125" customWidth="1"/>
    <col min="15880" max="15880" width="13.28515625" customWidth="1"/>
    <col min="15881" max="15881" width="3.5703125" customWidth="1"/>
    <col min="15882" max="15882" width="17" customWidth="1"/>
    <col min="15883" max="15883" width="3.5703125" customWidth="1"/>
    <col min="15884" max="15884" width="15.85546875" customWidth="1"/>
    <col min="15885" max="15885" width="15.5703125" customWidth="1"/>
    <col min="15886" max="15886" width="19.5703125" customWidth="1"/>
    <col min="15887" max="15887" width="18.7109375" customWidth="1"/>
    <col min="15888" max="15888" width="15.42578125" customWidth="1"/>
    <col min="15889" max="15889" width="21" customWidth="1"/>
    <col min="16130" max="16130" width="18.5703125" customWidth="1"/>
    <col min="16131" max="16131" width="3.5703125" customWidth="1"/>
    <col min="16132" max="16132" width="15.28515625" customWidth="1"/>
    <col min="16133" max="16133" width="3.5703125" customWidth="1"/>
    <col min="16134" max="16134" width="16.85546875" customWidth="1"/>
    <col min="16135" max="16135" width="3.5703125" customWidth="1"/>
    <col min="16136" max="16136" width="13.28515625" customWidth="1"/>
    <col min="16137" max="16137" width="3.5703125" customWidth="1"/>
    <col min="16138" max="16138" width="17" customWidth="1"/>
    <col min="16139" max="16139" width="3.5703125" customWidth="1"/>
    <col min="16140" max="16140" width="15.85546875" customWidth="1"/>
    <col min="16141" max="16141" width="15.5703125" customWidth="1"/>
    <col min="16142" max="16142" width="19.5703125" customWidth="1"/>
    <col min="16143" max="16143" width="18.7109375" customWidth="1"/>
    <col min="16144" max="16144" width="15.42578125" customWidth="1"/>
    <col min="16145" max="16145" width="21" customWidth="1"/>
  </cols>
  <sheetData>
    <row r="1" spans="1:17">
      <c r="A1" s="847" t="s">
        <v>779</v>
      </c>
      <c r="C1" s="105"/>
      <c r="O1" s="402"/>
      <c r="Q1" s="781" t="s">
        <v>215</v>
      </c>
    </row>
    <row r="2" spans="1:17">
      <c r="A2" s="847" t="s">
        <v>383</v>
      </c>
      <c r="C2" s="105"/>
      <c r="O2" s="402"/>
      <c r="Q2" s="781" t="str">
        <f ca="1">MID(CELL("filename",$A$1),FIND("]",CELL("filename",$A$1))+1,LEN(CELL("filename",$A$1))-FIND("]",CELL("filename",$A$1)))</f>
        <v>Schedule 6</v>
      </c>
    </row>
    <row r="3" spans="1:17" ht="12" customHeight="1">
      <c r="A3" s="847" t="s">
        <v>504</v>
      </c>
      <c r="B3" s="403"/>
      <c r="C3" s="105"/>
      <c r="O3" s="402"/>
    </row>
    <row r="4" spans="1:17">
      <c r="A4" s="847" t="s">
        <v>752</v>
      </c>
      <c r="C4" s="105"/>
      <c r="D4" s="105"/>
      <c r="E4" s="105"/>
      <c r="F4" s="105"/>
    </row>
    <row r="6" spans="1:17">
      <c r="B6" s="105"/>
      <c r="H6" s="416"/>
      <c r="I6" s="416"/>
      <c r="J6" s="416"/>
      <c r="K6" s="416"/>
      <c r="L6" s="416"/>
    </row>
    <row r="7" spans="1:17" s="105" customFormat="1">
      <c r="J7" s="105" t="s">
        <v>454</v>
      </c>
      <c r="L7" s="110" t="s">
        <v>455</v>
      </c>
      <c r="M7" s="1039" t="s">
        <v>456</v>
      </c>
      <c r="N7" s="411"/>
      <c r="O7" s="1039" t="s">
        <v>474</v>
      </c>
      <c r="P7" s="411"/>
      <c r="Q7" s="411"/>
    </row>
    <row r="8" spans="1:17">
      <c r="E8" s="201"/>
      <c r="F8" s="105" t="s">
        <v>454</v>
      </c>
      <c r="G8" s="201"/>
      <c r="H8" s="105" t="s">
        <v>460</v>
      </c>
      <c r="I8" s="201"/>
      <c r="J8" s="105" t="s">
        <v>461</v>
      </c>
      <c r="K8" s="105"/>
      <c r="L8" s="1047" t="s">
        <v>475</v>
      </c>
      <c r="M8" s="1039" t="s">
        <v>463</v>
      </c>
      <c r="N8" s="201" t="s">
        <v>457</v>
      </c>
      <c r="O8" s="1039" t="s">
        <v>476</v>
      </c>
      <c r="P8" s="411" t="s">
        <v>459</v>
      </c>
      <c r="Q8" s="411"/>
    </row>
    <row r="9" spans="1:17">
      <c r="C9" s="167"/>
      <c r="D9" s="143"/>
      <c r="E9" s="201"/>
      <c r="F9" s="105" t="s">
        <v>461</v>
      </c>
      <c r="G9" s="201"/>
      <c r="H9" s="105" t="s">
        <v>431</v>
      </c>
      <c r="I9" s="201"/>
      <c r="J9" s="105" t="s">
        <v>467</v>
      </c>
      <c r="K9" s="105"/>
      <c r="L9" s="1047" t="s">
        <v>477</v>
      </c>
      <c r="M9" s="1039" t="s">
        <v>475</v>
      </c>
      <c r="N9" s="201" t="s">
        <v>464</v>
      </c>
      <c r="O9" s="1039" t="s">
        <v>478</v>
      </c>
      <c r="P9" s="411" t="s">
        <v>432</v>
      </c>
      <c r="Q9" s="411"/>
    </row>
    <row r="10" spans="1:17">
      <c r="A10" s="425" t="s">
        <v>868</v>
      </c>
      <c r="B10" s="425" t="s">
        <v>466</v>
      </c>
      <c r="C10" s="215"/>
      <c r="D10" s="436" t="s">
        <v>428</v>
      </c>
      <c r="E10" s="436"/>
      <c r="F10" s="714" t="s">
        <v>799</v>
      </c>
      <c r="G10" s="436"/>
      <c r="H10" s="436" t="s">
        <v>1341</v>
      </c>
      <c r="I10" s="436"/>
      <c r="J10" s="436" t="s">
        <v>470</v>
      </c>
      <c r="K10" s="436"/>
      <c r="L10" s="715" t="s">
        <v>471</v>
      </c>
      <c r="M10" s="1040" t="s">
        <v>1777</v>
      </c>
      <c r="N10" s="714" t="s">
        <v>803</v>
      </c>
      <c r="O10" s="1040" t="s">
        <v>644</v>
      </c>
      <c r="P10" s="715" t="s">
        <v>469</v>
      </c>
      <c r="Q10" s="592"/>
    </row>
    <row r="11" spans="1:17">
      <c r="D11" s="110" t="s">
        <v>1333</v>
      </c>
      <c r="E11" s="109"/>
      <c r="F11" s="110" t="s">
        <v>1334</v>
      </c>
      <c r="G11" s="110"/>
      <c r="H11" s="537" t="s">
        <v>1342</v>
      </c>
      <c r="I11" s="110"/>
      <c r="J11" s="110" t="s">
        <v>1335</v>
      </c>
      <c r="K11" s="110"/>
      <c r="L11" s="110" t="s">
        <v>1336</v>
      </c>
      <c r="M11" s="711" t="s">
        <v>1337</v>
      </c>
      <c r="N11" s="115" t="s">
        <v>1338</v>
      </c>
      <c r="O11" s="115" t="s">
        <v>1339</v>
      </c>
      <c r="P11" s="115" t="s">
        <v>1340</v>
      </c>
      <c r="Q11" s="1039"/>
    </row>
    <row r="12" spans="1:17">
      <c r="N12" s="417"/>
      <c r="O12" s="167"/>
      <c r="P12" s="417"/>
      <c r="Q12" s="417"/>
    </row>
    <row r="13" spans="1:17">
      <c r="A13" s="105">
        <v>1</v>
      </c>
      <c r="B13" s="493" t="str">
        <f>+'WP_Cost per Unit'!B11</f>
        <v>Arapahoe</v>
      </c>
      <c r="D13" s="493">
        <f>+'WP_Cost per Unit'!D11</f>
        <v>0</v>
      </c>
      <c r="E13" s="281"/>
      <c r="F13" s="493">
        <f>'Schedule 5'!F13</f>
        <v>11.694485184877536</v>
      </c>
      <c r="H13" s="593">
        <f>D13/D$49</f>
        <v>0</v>
      </c>
      <c r="I13" s="402"/>
      <c r="J13" s="222">
        <f>F13*H13</f>
        <v>0</v>
      </c>
      <c r="K13" s="281"/>
      <c r="L13" s="493">
        <f>D13-J13</f>
        <v>0</v>
      </c>
      <c r="M13" s="497">
        <v>0</v>
      </c>
      <c r="N13" s="641">
        <f>WP_FCR!F28</f>
        <v>0.14519000000000001</v>
      </c>
      <c r="O13" s="493">
        <f>L13*M13*N13</f>
        <v>0</v>
      </c>
      <c r="P13" s="580">
        <f>IF(M13=0,0,'WP_Cost per Unit'!F11)</f>
        <v>0</v>
      </c>
      <c r="Q13" s="580"/>
    </row>
    <row r="14" spans="1:17">
      <c r="A14" s="105"/>
      <c r="B14" s="493"/>
      <c r="D14" s="281"/>
      <c r="E14" s="281"/>
      <c r="F14" s="281"/>
      <c r="H14" s="593"/>
      <c r="I14" s="402"/>
      <c r="J14" s="281"/>
      <c r="K14" s="281"/>
      <c r="L14" s="281"/>
      <c r="M14" s="498"/>
      <c r="N14" s="641"/>
      <c r="O14" s="281"/>
      <c r="P14" s="580"/>
      <c r="Q14" s="580"/>
    </row>
    <row r="15" spans="1:17">
      <c r="A15" s="105">
        <f>A13+1</f>
        <v>2</v>
      </c>
      <c r="B15" s="493" t="str">
        <f>+'WP_Cost per Unit'!B13</f>
        <v>Cherokee 5,6,7</v>
      </c>
      <c r="D15" s="281">
        <f>+'WP_Cost per Unit'!D13</f>
        <v>584050070</v>
      </c>
      <c r="E15" s="281"/>
      <c r="F15" s="281">
        <f>'Schedule 5'!F15</f>
        <v>11.694485184877536</v>
      </c>
      <c r="H15" s="593">
        <f>D15/D$49</f>
        <v>0.11052024963092529</v>
      </c>
      <c r="I15" s="402"/>
      <c r="J15" s="134">
        <f>F15*H15</f>
        <v>1.2924774219378228</v>
      </c>
      <c r="K15" s="281"/>
      <c r="L15" s="281">
        <f>D15-J15</f>
        <v>584050068.70752263</v>
      </c>
      <c r="M15" s="497">
        <v>0</v>
      </c>
      <c r="N15" s="641">
        <f>$N$13</f>
        <v>0.14519000000000001</v>
      </c>
      <c r="O15" s="281">
        <f>L15*M15*N15</f>
        <v>0</v>
      </c>
      <c r="P15" s="580">
        <f>IF(M15=0,0,'WP_Cost per Unit'!F13)</f>
        <v>0</v>
      </c>
      <c r="Q15" s="580"/>
    </row>
    <row r="16" spans="1:17">
      <c r="B16" s="493"/>
      <c r="D16" s="281"/>
      <c r="E16" s="281"/>
      <c r="F16" s="281"/>
      <c r="H16" s="640"/>
      <c r="I16" s="402"/>
      <c r="J16" s="281"/>
      <c r="K16" s="281"/>
      <c r="L16" s="281"/>
      <c r="M16" s="498"/>
      <c r="N16" s="641"/>
      <c r="O16" s="281"/>
      <c r="P16" s="580"/>
      <c r="Q16" s="580"/>
    </row>
    <row r="17" spans="1:17">
      <c r="A17" s="105">
        <f>A15+1</f>
        <v>3</v>
      </c>
      <c r="B17" s="493" t="str">
        <f>+'WP_Cost per Unit'!B15</f>
        <v>Comanche</v>
      </c>
      <c r="D17" s="281">
        <f>+'WP_Cost per Unit'!D15</f>
        <v>1569696317.0899997</v>
      </c>
      <c r="E17" s="281"/>
      <c r="F17" s="281">
        <f>'Schedule 5'!F17</f>
        <v>11.694485184877536</v>
      </c>
      <c r="H17" s="593">
        <f>D17/D$49</f>
        <v>0.29703485663400542</v>
      </c>
      <c r="I17" s="402"/>
      <c r="J17" s="134">
        <f>F17*H17</f>
        <v>3.473669730298599</v>
      </c>
      <c r="K17" s="281"/>
      <c r="L17" s="281">
        <f>D17-J17</f>
        <v>1569696313.6163299</v>
      </c>
      <c r="M17" s="497">
        <v>0</v>
      </c>
      <c r="N17" s="641">
        <f>$N$13</f>
        <v>0.14519000000000001</v>
      </c>
      <c r="O17" s="281">
        <f>L17*M17*N17</f>
        <v>0</v>
      </c>
      <c r="P17" s="580">
        <f>IF(M17=0,0,'WP_Cost per Unit'!F15)</f>
        <v>0</v>
      </c>
      <c r="Q17" s="580"/>
    </row>
    <row r="18" spans="1:17">
      <c r="B18" s="493"/>
      <c r="D18" s="281"/>
      <c r="E18" s="281"/>
      <c r="F18" s="281"/>
      <c r="H18" s="594"/>
      <c r="I18" s="1048"/>
      <c r="J18" s="281"/>
      <c r="K18" s="1049"/>
      <c r="L18" s="1049"/>
      <c r="M18" s="498"/>
      <c r="N18" s="641"/>
      <c r="O18" s="1049"/>
      <c r="P18" s="580"/>
      <c r="Q18" s="580"/>
    </row>
    <row r="19" spans="1:17">
      <c r="A19" s="105">
        <f>A17+1</f>
        <v>4</v>
      </c>
      <c r="B19" s="493" t="str">
        <f>+'WP_Cost per Unit'!B17</f>
        <v>Craig</v>
      </c>
      <c r="C19" s="105"/>
      <c r="D19" s="281">
        <f>+'WP_Cost per Unit'!D17</f>
        <v>98149468.760000005</v>
      </c>
      <c r="E19" s="281"/>
      <c r="F19" s="281">
        <f>'Schedule 5'!F19</f>
        <v>11.694485184877536</v>
      </c>
      <c r="H19" s="593">
        <f>D19/D$49</f>
        <v>1.8572900416736367E-2</v>
      </c>
      <c r="J19" s="134">
        <f>F19*H19</f>
        <v>0.21720050876372926</v>
      </c>
      <c r="K19" s="281"/>
      <c r="L19" s="281">
        <f>D19-J19</f>
        <v>98149468.542799503</v>
      </c>
      <c r="M19" s="497">
        <v>0</v>
      </c>
      <c r="N19" s="641">
        <f>$N$13</f>
        <v>0.14519000000000001</v>
      </c>
      <c r="O19" s="281">
        <f>L19*M19*N19</f>
        <v>0</v>
      </c>
      <c r="P19" s="580">
        <f>IF(M19=0,0,'WP_Cost per Unit'!F17)</f>
        <v>0</v>
      </c>
      <c r="Q19" s="580"/>
    </row>
    <row r="20" spans="1:17">
      <c r="B20" s="493"/>
      <c r="C20" s="105"/>
      <c r="D20" s="494"/>
      <c r="E20" s="494"/>
      <c r="F20" s="494"/>
      <c r="H20" s="593"/>
      <c r="J20" s="281"/>
      <c r="K20" s="281"/>
      <c r="L20" s="281"/>
      <c r="M20" s="498"/>
      <c r="N20" s="641"/>
      <c r="O20" s="281"/>
      <c r="P20" s="581"/>
      <c r="Q20" s="581"/>
    </row>
    <row r="21" spans="1:17">
      <c r="A21" s="105">
        <f>A19+1</f>
        <v>5</v>
      </c>
      <c r="B21" s="493" t="str">
        <f>+'WP_Cost per Unit'!B19</f>
        <v>Hayden</v>
      </c>
      <c r="C21" s="105"/>
      <c r="D21" s="281">
        <f>+'WP_Cost per Unit'!D19</f>
        <v>337843976.63999999</v>
      </c>
      <c r="E21" s="281"/>
      <c r="F21" s="281">
        <f>'Schedule 5'!F21</f>
        <v>11.694485184877536</v>
      </c>
      <c r="H21" s="593">
        <f>D21/D$49</f>
        <v>6.3930478827880791E-2</v>
      </c>
      <c r="J21" s="134">
        <f>F21*H21</f>
        <v>0.74763403751477886</v>
      </c>
      <c r="K21" s="281"/>
      <c r="L21" s="281">
        <f>D21-J21</f>
        <v>337843975.89236593</v>
      </c>
      <c r="M21" s="497">
        <v>0</v>
      </c>
      <c r="N21" s="641">
        <f>$N$13</f>
        <v>0.14519000000000001</v>
      </c>
      <c r="O21" s="281">
        <f>L21*M21*N21</f>
        <v>0</v>
      </c>
      <c r="P21" s="580">
        <f>IF(M21=0,0,'WP_Cost per Unit'!F19)</f>
        <v>0</v>
      </c>
      <c r="Q21" s="580"/>
    </row>
    <row r="22" spans="1:17">
      <c r="B22" s="493"/>
      <c r="C22" s="105"/>
      <c r="D22" s="494"/>
      <c r="E22" s="494"/>
      <c r="F22" s="494"/>
      <c r="H22" s="593"/>
      <c r="J22" s="281"/>
      <c r="K22" s="281"/>
      <c r="L22" s="281"/>
      <c r="M22" s="498"/>
      <c r="N22" s="641"/>
      <c r="O22" s="281"/>
      <c r="P22" s="581"/>
      <c r="Q22" s="581"/>
    </row>
    <row r="23" spans="1:17">
      <c r="A23" s="105">
        <f>A21+1</f>
        <v>6</v>
      </c>
      <c r="B23" s="493" t="str">
        <f>+'WP_Cost per Unit'!B21</f>
        <v>Pawnee</v>
      </c>
      <c r="C23" s="105"/>
      <c r="D23" s="281">
        <f>+'WP_Cost per Unit'!D21</f>
        <v>958133869.62</v>
      </c>
      <c r="E23" s="281"/>
      <c r="F23" s="281">
        <f>'Schedule 5'!F23</f>
        <v>11.694485184877536</v>
      </c>
      <c r="H23" s="593">
        <f>D23/D$49</f>
        <v>0.18130841838653802</v>
      </c>
      <c r="J23" s="134">
        <f>F23*H23</f>
        <v>2.1203086127149469</v>
      </c>
      <c r="K23" s="281"/>
      <c r="L23" s="281">
        <f>D23-J23</f>
        <v>958133867.49969137</v>
      </c>
      <c r="M23" s="497">
        <v>0</v>
      </c>
      <c r="N23" s="641">
        <f>$N$13</f>
        <v>0.14519000000000001</v>
      </c>
      <c r="O23" s="281">
        <f>L23*M23*N23</f>
        <v>0</v>
      </c>
      <c r="P23" s="580">
        <f>IF(M23=0,0,'WP_Cost per Unit'!F21)</f>
        <v>0</v>
      </c>
      <c r="Q23" s="580"/>
    </row>
    <row r="24" spans="1:17">
      <c r="B24" s="493"/>
      <c r="C24" s="105"/>
      <c r="D24" s="494"/>
      <c r="E24" s="494"/>
      <c r="F24" s="494"/>
      <c r="H24" s="593"/>
      <c r="J24" s="281"/>
      <c r="K24" s="281"/>
      <c r="L24" s="281"/>
      <c r="M24" s="498"/>
      <c r="N24" s="641"/>
      <c r="O24" s="281"/>
      <c r="P24" s="581"/>
      <c r="Q24" s="581"/>
    </row>
    <row r="25" spans="1:17">
      <c r="A25" s="105">
        <f>A23+1</f>
        <v>7</v>
      </c>
      <c r="B25" s="493" t="str">
        <f>+'WP_Cost per Unit'!B23</f>
        <v>Valmont 5</v>
      </c>
      <c r="C25" s="105"/>
      <c r="D25" s="281">
        <f>+'WP_Cost per Unit'!D23</f>
        <v>141513680.36000001</v>
      </c>
      <c r="E25" s="281"/>
      <c r="F25" s="281">
        <f>'Schedule 5'!F25</f>
        <v>11.694485184877536</v>
      </c>
      <c r="H25" s="593">
        <f>D25/D$49</f>
        <v>2.677874395182963E-2</v>
      </c>
      <c r="J25" s="134">
        <f>F25*H25</f>
        <v>0.31316362441430051</v>
      </c>
      <c r="K25" s="281"/>
      <c r="L25" s="281">
        <f>D25-J25</f>
        <v>141513680.04683638</v>
      </c>
      <c r="M25" s="497">
        <v>0</v>
      </c>
      <c r="N25" s="641">
        <f>$N$13</f>
        <v>0.14519000000000001</v>
      </c>
      <c r="O25" s="281">
        <f>L25*M25*N25</f>
        <v>0</v>
      </c>
      <c r="P25" s="580">
        <f>IF(M25=0,0,'WP_Cost per Unit'!F23)</f>
        <v>0</v>
      </c>
      <c r="Q25" s="580"/>
    </row>
    <row r="26" spans="1:17">
      <c r="B26" s="493"/>
      <c r="C26" s="105"/>
      <c r="D26" s="494"/>
      <c r="E26" s="494"/>
      <c r="F26" s="494"/>
      <c r="H26" s="593"/>
      <c r="J26" s="281"/>
      <c r="K26" s="281"/>
      <c r="L26" s="281"/>
      <c r="M26" s="498"/>
      <c r="N26" s="641"/>
      <c r="O26" s="281"/>
      <c r="P26" s="581"/>
      <c r="Q26" s="581"/>
    </row>
    <row r="27" spans="1:17">
      <c r="A27" s="105">
        <f>A25+1</f>
        <v>8</v>
      </c>
      <c r="B27" s="493" t="str">
        <f>+'WP_Cost per Unit'!B25</f>
        <v>Zuni</v>
      </c>
      <c r="C27" s="105"/>
      <c r="D27" s="281">
        <f>+'WP_Cost per Unit'!D25</f>
        <v>0</v>
      </c>
      <c r="E27" s="281"/>
      <c r="F27" s="281">
        <f>'Schedule 5'!F27</f>
        <v>11.694485184877536</v>
      </c>
      <c r="H27" s="593">
        <f>D27/D$49</f>
        <v>0</v>
      </c>
      <c r="J27" s="134">
        <f>F27*H27</f>
        <v>0</v>
      </c>
      <c r="K27" s="281"/>
      <c r="L27" s="281">
        <f>D27-J27</f>
        <v>0</v>
      </c>
      <c r="M27" s="497">
        <v>0</v>
      </c>
      <c r="N27" s="641">
        <f>$N$13</f>
        <v>0.14519000000000001</v>
      </c>
      <c r="O27" s="281">
        <f>L27*M27*N27</f>
        <v>0</v>
      </c>
      <c r="P27" s="580">
        <f>IF(M27=0,0,'WP_Cost per Unit'!F25)</f>
        <v>0</v>
      </c>
      <c r="Q27" s="580"/>
    </row>
    <row r="28" spans="1:17">
      <c r="B28" s="493"/>
      <c r="C28" s="105"/>
      <c r="D28" s="494"/>
      <c r="E28" s="494"/>
      <c r="F28" s="494"/>
      <c r="H28" s="593"/>
      <c r="J28" s="281"/>
      <c r="K28" s="281"/>
      <c r="L28" s="281"/>
      <c r="M28" s="498"/>
      <c r="N28" s="641"/>
      <c r="O28" s="281"/>
      <c r="P28" s="581"/>
      <c r="Q28" s="581"/>
    </row>
    <row r="29" spans="1:17">
      <c r="A29" s="105">
        <f>A27+1</f>
        <v>9</v>
      </c>
      <c r="B29" s="493" t="str">
        <f>+'WP_Cost per Unit'!B27</f>
        <v>Alamosa</v>
      </c>
      <c r="C29" s="105"/>
      <c r="D29" s="281">
        <f>+'WP_Cost per Unit'!D27</f>
        <v>9655556</v>
      </c>
      <c r="E29" s="281"/>
      <c r="F29" s="281">
        <f>'Schedule 5'!F29</f>
        <v>11.694485184877536</v>
      </c>
      <c r="H29" s="593">
        <f>D29/D$49</f>
        <v>1.8271283820672746E-3</v>
      </c>
      <c r="J29" s="134">
        <f>F29*H29</f>
        <v>2.1367325794955004E-2</v>
      </c>
      <c r="K29" s="281"/>
      <c r="L29" s="281">
        <f>D29-J29</f>
        <v>9655555.9786326736</v>
      </c>
      <c r="M29" s="497">
        <v>1</v>
      </c>
      <c r="N29" s="641">
        <f>$N$13</f>
        <v>0.14519000000000001</v>
      </c>
      <c r="O29" s="281">
        <f>L29*M29*N29</f>
        <v>1401890.1725376779</v>
      </c>
      <c r="P29" s="580">
        <f>IF(M29=0,0,'WP_Cost per Unit'!F27)</f>
        <v>53280</v>
      </c>
      <c r="Q29" s="580"/>
    </row>
    <row r="30" spans="1:17">
      <c r="B30" s="493"/>
      <c r="C30" s="105"/>
      <c r="D30" s="494"/>
      <c r="E30" s="494"/>
      <c r="F30" s="494"/>
      <c r="H30" s="593"/>
      <c r="J30" s="281"/>
      <c r="K30" s="281"/>
      <c r="L30" s="281"/>
      <c r="M30" s="498"/>
      <c r="N30" s="641"/>
      <c r="O30" s="281"/>
      <c r="P30" s="581"/>
      <c r="Q30" s="581"/>
    </row>
    <row r="31" spans="1:17">
      <c r="A31" s="105">
        <f>A29+1</f>
        <v>10</v>
      </c>
      <c r="B31" s="493" t="str">
        <f>+'WP_Cost per Unit'!B29</f>
        <v>Fort Lupton</v>
      </c>
      <c r="C31" s="105"/>
      <c r="D31" s="281">
        <f>+'WP_Cost per Unit'!D29</f>
        <v>13770078</v>
      </c>
      <c r="E31" s="281"/>
      <c r="F31" s="281">
        <f>'Schedule 5'!F31</f>
        <v>11.694485184877536</v>
      </c>
      <c r="H31" s="593">
        <f>D31/D$49</f>
        <v>2.6057225847046172E-3</v>
      </c>
      <c r="J31" s="134">
        <f>F31*H31</f>
        <v>3.0472584162728945E-2</v>
      </c>
      <c r="K31" s="281"/>
      <c r="L31" s="281">
        <f>D31-J31</f>
        <v>13770077.969527416</v>
      </c>
      <c r="M31" s="497">
        <v>1</v>
      </c>
      <c r="N31" s="641">
        <f>$N$13</f>
        <v>0.14519000000000001</v>
      </c>
      <c r="O31" s="281">
        <f>L31*M31*N31</f>
        <v>1999277.6203956858</v>
      </c>
      <c r="P31" s="580">
        <f>IF(M31=0,0,'WP_Cost per Unit'!F29)</f>
        <v>100800</v>
      </c>
      <c r="Q31" s="580"/>
    </row>
    <row r="32" spans="1:17">
      <c r="B32" s="493"/>
      <c r="C32" s="105"/>
      <c r="D32" s="494"/>
      <c r="E32" s="494"/>
      <c r="F32" s="494"/>
      <c r="H32" s="593"/>
      <c r="J32" s="281"/>
      <c r="K32" s="281"/>
      <c r="L32" s="281"/>
      <c r="M32" s="498"/>
      <c r="N32" s="641"/>
      <c r="O32" s="281"/>
      <c r="P32" s="581"/>
      <c r="Q32" s="581"/>
    </row>
    <row r="33" spans="1:17">
      <c r="A33" s="105">
        <f>A31+1</f>
        <v>11</v>
      </c>
      <c r="B33" s="493" t="str">
        <f>+'WP_Cost per Unit'!B31</f>
        <v>Fruita</v>
      </c>
      <c r="C33" s="105"/>
      <c r="D33" s="281">
        <f>+'WP_Cost per Unit'!D31</f>
        <v>3463907</v>
      </c>
      <c r="E33" s="281"/>
      <c r="F33" s="281">
        <f>'Schedule 5'!F33</f>
        <v>11.694485184877536</v>
      </c>
      <c r="H33" s="593">
        <f>D33/D$49</f>
        <v>6.5547781945871444E-4</v>
      </c>
      <c r="J33" s="134">
        <f>F33*H33</f>
        <v>7.6654756486757682E-3</v>
      </c>
      <c r="K33" s="281"/>
      <c r="L33" s="281">
        <f>D33-J33</f>
        <v>3463906.9923345242</v>
      </c>
      <c r="M33" s="497">
        <v>1</v>
      </c>
      <c r="N33" s="641">
        <f>$N$13</f>
        <v>0.14519000000000001</v>
      </c>
      <c r="O33" s="281">
        <f>L33*M33*N33</f>
        <v>502924.65621704963</v>
      </c>
      <c r="P33" s="580">
        <f>IF(M33=0,0,'WP_Cost per Unit'!F31)</f>
        <v>26640</v>
      </c>
      <c r="Q33" s="580"/>
    </row>
    <row r="34" spans="1:17">
      <c r="B34" s="493"/>
      <c r="C34" s="105"/>
      <c r="D34" s="494"/>
      <c r="E34" s="494"/>
      <c r="F34" s="494"/>
      <c r="H34" s="593"/>
      <c r="J34" s="281"/>
      <c r="K34" s="281"/>
      <c r="L34" s="281"/>
      <c r="M34" s="498"/>
      <c r="N34" s="641"/>
      <c r="O34" s="281"/>
      <c r="P34" s="581"/>
      <c r="Q34" s="581"/>
    </row>
    <row r="35" spans="1:17">
      <c r="A35" s="105">
        <f>A33+1</f>
        <v>12</v>
      </c>
      <c r="B35" s="493" t="str">
        <f>+'WP_Cost per Unit'!B33</f>
        <v>Valmont 6</v>
      </c>
      <c r="C35" s="105"/>
      <c r="D35" s="281">
        <f>+'WP_Cost per Unit'!D33</f>
        <v>9643969</v>
      </c>
      <c r="E35" s="281"/>
      <c r="F35" s="281">
        <f>'Schedule 5'!F35</f>
        <v>11.694485184877536</v>
      </c>
      <c r="H35" s="593">
        <f>D35/D$49</f>
        <v>1.8249357650327908E-3</v>
      </c>
      <c r="J35" s="134">
        <f>F35*H35</f>
        <v>2.1341684267529124E-2</v>
      </c>
      <c r="K35" s="495"/>
      <c r="L35" s="281">
        <f>D35-J35</f>
        <v>9643968.9786583167</v>
      </c>
      <c r="M35" s="497">
        <v>0</v>
      </c>
      <c r="N35" s="641">
        <f>$N$13</f>
        <v>0.14519000000000001</v>
      </c>
      <c r="O35" s="281">
        <f>L35*M35*N35</f>
        <v>0</v>
      </c>
      <c r="P35" s="580">
        <f>IF(M35=0,0,'WP_Cost per Unit'!F33)</f>
        <v>0</v>
      </c>
      <c r="Q35" s="580"/>
    </row>
    <row r="36" spans="1:17">
      <c r="B36" s="493"/>
      <c r="C36" s="105"/>
      <c r="D36" s="494"/>
      <c r="E36" s="494"/>
      <c r="F36" s="494"/>
      <c r="H36" s="593"/>
      <c r="J36" s="281"/>
      <c r="K36" s="495"/>
      <c r="L36" s="281"/>
      <c r="M36" s="498"/>
      <c r="N36" s="641"/>
      <c r="O36" s="281"/>
      <c r="P36" s="581"/>
      <c r="Q36" s="581"/>
    </row>
    <row r="37" spans="1:17">
      <c r="A37" s="105">
        <f>A35+1</f>
        <v>13</v>
      </c>
      <c r="B37" s="493" t="str">
        <f>+'WP_Cost per Unit'!B35</f>
        <v>Fort St. Vrain 1-4</v>
      </c>
      <c r="C37" s="105"/>
      <c r="D37" s="281">
        <f>+'WP_Cost per Unit'!D35</f>
        <v>432452931.79000002</v>
      </c>
      <c r="E37" s="281"/>
      <c r="F37" s="281">
        <f>'Schedule 5'!F37</f>
        <v>11.694485184877536</v>
      </c>
      <c r="H37" s="593">
        <f>D37/D$49</f>
        <v>8.1833405096683423E-2</v>
      </c>
      <c r="J37" s="134">
        <f>F37*H37</f>
        <v>0.95699954353124617</v>
      </c>
      <c r="K37" s="495"/>
      <c r="L37" s="281">
        <f>D37-J37</f>
        <v>432452930.83300048</v>
      </c>
      <c r="M37" s="497">
        <v>0</v>
      </c>
      <c r="N37" s="641">
        <f>$N$13</f>
        <v>0.14519000000000001</v>
      </c>
      <c r="O37" s="281">
        <f>L37*M37*N37</f>
        <v>0</v>
      </c>
      <c r="P37" s="580">
        <f>IF(M37=0,0,'WP_Cost per Unit'!F35)</f>
        <v>0</v>
      </c>
      <c r="Q37" s="580"/>
    </row>
    <row r="38" spans="1:17">
      <c r="B38" s="493"/>
      <c r="C38" s="105"/>
      <c r="D38" s="494"/>
      <c r="E38" s="494"/>
      <c r="F38" s="494"/>
      <c r="H38" s="640"/>
      <c r="J38" s="281"/>
      <c r="K38" s="281"/>
      <c r="L38" s="281"/>
      <c r="M38" s="498"/>
      <c r="N38" s="641"/>
      <c r="O38" s="281"/>
      <c r="P38" s="581"/>
      <c r="Q38" s="581"/>
    </row>
    <row r="39" spans="1:17">
      <c r="A39" s="105">
        <f>A37+1</f>
        <v>14</v>
      </c>
      <c r="B39" s="493" t="str">
        <f>+'WP_Cost per Unit'!B37</f>
        <v>Fort St. Vrain 5-6</v>
      </c>
      <c r="C39" s="105"/>
      <c r="D39" s="281">
        <f>+'WP_Cost per Unit'!D37</f>
        <v>165657754</v>
      </c>
      <c r="E39" s="281"/>
      <c r="F39" s="281">
        <f>'Schedule 5'!F39</f>
        <v>11.694485184877536</v>
      </c>
      <c r="H39" s="593">
        <f>D39/D$49</f>
        <v>3.1347545811232266E-2</v>
      </c>
      <c r="J39" s="134">
        <f>F39*H39</f>
        <v>0.36659341007172558</v>
      </c>
      <c r="K39" s="281"/>
      <c r="L39" s="281">
        <f>D39-J39</f>
        <v>165657753.63340658</v>
      </c>
      <c r="M39" s="497">
        <v>0</v>
      </c>
      <c r="N39" s="641">
        <f>$N$13</f>
        <v>0.14519000000000001</v>
      </c>
      <c r="O39" s="281">
        <f>L39*M39*N39</f>
        <v>0</v>
      </c>
      <c r="P39" s="580">
        <f>IF(M39=0,0,'WP_Cost per Unit'!F37)</f>
        <v>0</v>
      </c>
      <c r="Q39" s="580"/>
    </row>
    <row r="40" spans="1:17">
      <c r="B40" s="493"/>
      <c r="C40" s="105"/>
      <c r="D40" s="281"/>
      <c r="E40" s="281"/>
      <c r="F40" s="281"/>
      <c r="H40" s="593"/>
      <c r="J40" s="134"/>
      <c r="K40" s="281"/>
      <c r="L40" s="281"/>
      <c r="M40" s="498"/>
      <c r="N40" s="641"/>
      <c r="O40" s="281"/>
      <c r="P40" s="580"/>
      <c r="Q40" s="580"/>
    </row>
    <row r="41" spans="1:17">
      <c r="A41" s="105">
        <f>A39+1</f>
        <v>15</v>
      </c>
      <c r="B41" s="493" t="str">
        <f>+'WP_Cost per Unit'!B39</f>
        <v>Blue Spruce</v>
      </c>
      <c r="C41" s="105"/>
      <c r="D41" s="281">
        <f>+'WP_Cost per Unit'!D39</f>
        <v>218412942.02000001</v>
      </c>
      <c r="E41" s="281"/>
      <c r="F41" s="281">
        <f>'Schedule 5'!F41</f>
        <v>11.694485184877536</v>
      </c>
      <c r="H41" s="593">
        <f>D41/D$49</f>
        <v>4.1330451128402765E-2</v>
      </c>
      <c r="J41" s="134">
        <f>F41*H41</f>
        <v>0.48333834840541118</v>
      </c>
      <c r="K41" s="281"/>
      <c r="L41" s="281">
        <f>D41-J41</f>
        <v>218412941.53666165</v>
      </c>
      <c r="M41" s="497">
        <v>0</v>
      </c>
      <c r="N41" s="641">
        <f>$N$13</f>
        <v>0.14519000000000001</v>
      </c>
      <c r="O41" s="281">
        <f>L41*M41*N41</f>
        <v>0</v>
      </c>
      <c r="P41" s="580">
        <f>IF(M41=0,0,'WP_Cost per Unit'!F39)</f>
        <v>0</v>
      </c>
      <c r="Q41" s="580"/>
    </row>
    <row r="42" spans="1:17">
      <c r="B42" s="493"/>
      <c r="C42" s="105"/>
      <c r="D42" s="281"/>
      <c r="E42" s="281"/>
      <c r="F42" s="281"/>
      <c r="H42" s="593"/>
      <c r="J42" s="134"/>
      <c r="K42" s="281"/>
      <c r="L42" s="281"/>
      <c r="M42" s="498"/>
      <c r="N42" s="641"/>
      <c r="O42" s="281"/>
      <c r="P42" s="580"/>
      <c r="Q42" s="580"/>
    </row>
    <row r="43" spans="1:17">
      <c r="A43" s="105">
        <f>A41+1</f>
        <v>16</v>
      </c>
      <c r="B43" s="493" t="str">
        <f>+'WP_Cost per Unit'!B41</f>
        <v>Rocky Mountain</v>
      </c>
      <c r="C43" s="105"/>
      <c r="D43" s="281">
        <f>+'WP_Cost per Unit'!D41</f>
        <v>403569587.74000001</v>
      </c>
      <c r="E43" s="281"/>
      <c r="F43" s="281">
        <f>'Schedule 5'!F43</f>
        <v>11.694485184877536</v>
      </c>
      <c r="H43" s="593">
        <f>D43/D$49</f>
        <v>7.6367787406436585E-2</v>
      </c>
      <c r="J43" s="134">
        <f>F43*H43</f>
        <v>0.89308195842644988</v>
      </c>
      <c r="K43" s="281"/>
      <c r="L43" s="281">
        <f>D43-J43</f>
        <v>403569586.84691805</v>
      </c>
      <c r="M43" s="497">
        <v>0</v>
      </c>
      <c r="N43" s="641">
        <f>$N$13</f>
        <v>0.14519000000000001</v>
      </c>
      <c r="O43" s="281">
        <f>L43*M43*N43</f>
        <v>0</v>
      </c>
      <c r="P43" s="580">
        <f>IF(M43=0,0,'WP_Cost per Unit'!F41)</f>
        <v>0</v>
      </c>
      <c r="Q43" s="580"/>
    </row>
    <row r="44" spans="1:17">
      <c r="B44" s="493"/>
      <c r="C44" s="105"/>
      <c r="D44" s="281"/>
      <c r="E44" s="281"/>
      <c r="F44" s="281"/>
      <c r="H44" s="593"/>
      <c r="J44" s="134"/>
      <c r="K44" s="281"/>
      <c r="L44" s="281"/>
      <c r="M44" s="498"/>
      <c r="N44" s="641"/>
      <c r="O44" s="281"/>
      <c r="P44" s="580"/>
      <c r="Q44" s="580"/>
    </row>
    <row r="45" spans="1:17">
      <c r="A45" s="105">
        <f>A43+1</f>
        <v>17</v>
      </c>
      <c r="B45" s="493" t="str">
        <f>+'WP_Cost per Unit'!B43</f>
        <v>Cherokee 3,4</v>
      </c>
      <c r="C45" s="105"/>
      <c r="D45" s="281">
        <f>+'WP_Cost per Unit'!D43</f>
        <v>277711782</v>
      </c>
      <c r="E45" s="281"/>
      <c r="F45" s="281">
        <f>'Schedule 5'!F45</f>
        <v>11.694485184877536</v>
      </c>
      <c r="H45" s="593">
        <f>D45/D$49</f>
        <v>5.2551616802458574E-2</v>
      </c>
      <c r="J45" s="134">
        <f>F45*H45</f>
        <v>0.61456410413771312</v>
      </c>
      <c r="K45" s="281"/>
      <c r="L45" s="281">
        <f>D45-J45</f>
        <v>277711781.38543588</v>
      </c>
      <c r="M45" s="497">
        <v>0</v>
      </c>
      <c r="N45" s="641">
        <f>$N$13</f>
        <v>0.14519000000000001</v>
      </c>
      <c r="O45" s="281">
        <f>L45*M45*N45</f>
        <v>0</v>
      </c>
      <c r="P45" s="580">
        <f>IF(M45=0,0,'WP_Cost per Unit'!F43)</f>
        <v>0</v>
      </c>
      <c r="Q45" s="580"/>
    </row>
    <row r="46" spans="1:17">
      <c r="B46" s="418"/>
      <c r="C46" s="105"/>
      <c r="D46" s="494"/>
      <c r="E46" s="494"/>
      <c r="F46" s="494"/>
      <c r="H46" s="593"/>
      <c r="J46" s="281"/>
      <c r="K46" s="281"/>
      <c r="L46" s="281"/>
      <c r="M46" s="498"/>
      <c r="N46" s="641"/>
      <c r="O46" s="281"/>
      <c r="P46" s="581"/>
      <c r="Q46" s="581"/>
    </row>
    <row r="47" spans="1:17">
      <c r="A47" s="105">
        <f>A45+1</f>
        <v>18</v>
      </c>
      <c r="B47" s="493" t="str">
        <f>+'WP_Cost per Unit'!B45</f>
        <v>Cabin Creek</v>
      </c>
      <c r="C47" s="105"/>
      <c r="D47" s="281">
        <f>+'WP_Cost per Unit'!D45</f>
        <v>60826687</v>
      </c>
      <c r="E47" s="281"/>
      <c r="F47" s="281">
        <f>'Schedule 5'!F47</f>
        <v>11.694485184877536</v>
      </c>
      <c r="H47" s="593">
        <f>D47/D$49</f>
        <v>1.1510281355607334E-2</v>
      </c>
      <c r="J47" s="134">
        <f>F47*H47</f>
        <v>0.1346068147869221</v>
      </c>
      <c r="K47" s="281"/>
      <c r="L47" s="281">
        <f>D47-J47</f>
        <v>60826686.865393184</v>
      </c>
      <c r="M47" s="497">
        <v>1</v>
      </c>
      <c r="N47" s="641">
        <f>$N$13</f>
        <v>0.14519000000000001</v>
      </c>
      <c r="O47" s="281">
        <f>L47*M47*N47</f>
        <v>8831426.6659864374</v>
      </c>
      <c r="P47" s="580">
        <f>IF(M47=0,0,'WP_Cost per Unit'!F45)</f>
        <v>300000</v>
      </c>
      <c r="Q47" s="580"/>
    </row>
    <row r="48" spans="1:17">
      <c r="B48" s="105"/>
      <c r="C48" s="105"/>
      <c r="D48" s="412"/>
      <c r="E48" s="412"/>
      <c r="F48" s="412"/>
      <c r="M48" s="414"/>
      <c r="P48" s="578"/>
      <c r="Q48" s="578"/>
    </row>
    <row r="49" spans="1:24">
      <c r="A49" s="105">
        <f>A47+1</f>
        <v>19</v>
      </c>
      <c r="C49" s="150" t="s">
        <v>642</v>
      </c>
      <c r="D49" s="496">
        <f>SUM(D13:D47)</f>
        <v>5284552577.0200005</v>
      </c>
      <c r="E49" s="413"/>
      <c r="F49" s="413"/>
      <c r="G49" s="113"/>
      <c r="H49" s="599">
        <f>SUM(H13:H47)</f>
        <v>0.99999999999999989</v>
      </c>
      <c r="I49" s="113"/>
      <c r="J49" s="419">
        <f>SUM(J13:J47)</f>
        <v>11.694485184877534</v>
      </c>
      <c r="K49" s="113"/>
      <c r="L49" s="419">
        <f>SUM(L13:L47)</f>
        <v>5284552565.3255148</v>
      </c>
      <c r="M49" s="113"/>
      <c r="N49" s="113"/>
      <c r="O49" s="419">
        <f>SUM(O13:O47)</f>
        <v>12735519.115136851</v>
      </c>
      <c r="P49" s="579">
        <f>SUM(P13:P47)</f>
        <v>480720</v>
      </c>
      <c r="Q49" s="579"/>
    </row>
    <row r="50" spans="1:24">
      <c r="H50" s="1048"/>
    </row>
    <row r="51" spans="1:24">
      <c r="A51" s="105">
        <f>A49+1</f>
        <v>20</v>
      </c>
      <c r="B51" s="963" t="s">
        <v>89</v>
      </c>
      <c r="H51" s="1048"/>
    </row>
    <row r="52" spans="1:24">
      <c r="B52" t="s">
        <v>643</v>
      </c>
      <c r="H52" s="1048"/>
    </row>
    <row r="53" spans="1:24">
      <c r="A53" s="105">
        <f>A51+1</f>
        <v>21</v>
      </c>
      <c r="B53" t="s">
        <v>1837</v>
      </c>
      <c r="J53" s="121"/>
      <c r="N53" s="150" t="s">
        <v>472</v>
      </c>
      <c r="O53" s="712">
        <f>O49/P49</f>
        <v>26.49259260096699</v>
      </c>
      <c r="P53" t="s">
        <v>336</v>
      </c>
    </row>
    <row r="54" spans="1:24">
      <c r="B54" t="s">
        <v>1776</v>
      </c>
      <c r="O54" s="713"/>
      <c r="P54" s="404"/>
      <c r="Q54" s="404"/>
      <c r="X54" s="1193"/>
    </row>
    <row r="55" spans="1:24">
      <c r="A55" s="105">
        <f>A53+1</f>
        <v>22</v>
      </c>
      <c r="B55" t="s">
        <v>1836</v>
      </c>
      <c r="N55" s="1043" t="s">
        <v>127</v>
      </c>
      <c r="O55" s="712">
        <f>ROUND(O53/12,3)</f>
        <v>2.2080000000000002</v>
      </c>
      <c r="P55" t="s">
        <v>649</v>
      </c>
    </row>
    <row r="56" spans="1:24">
      <c r="O56" s="712"/>
    </row>
    <row r="57" spans="1:24">
      <c r="A57" s="105">
        <f>A55+1</f>
        <v>23</v>
      </c>
      <c r="N57" s="1043" t="s">
        <v>128</v>
      </c>
      <c r="O57" s="712">
        <f>ROUND(O53/52,3)</f>
        <v>0.50900000000000001</v>
      </c>
      <c r="P57" t="s">
        <v>755</v>
      </c>
    </row>
    <row r="58" spans="1:24">
      <c r="O58" s="712"/>
    </row>
    <row r="59" spans="1:24">
      <c r="A59" s="105">
        <f>A57+1</f>
        <v>24</v>
      </c>
      <c r="C59" s="105"/>
      <c r="N59" s="1043" t="s">
        <v>202</v>
      </c>
      <c r="O59" s="712">
        <f>ROUND(O57/6,3)</f>
        <v>8.5000000000000006E-2</v>
      </c>
      <c r="P59" s="1044" t="s">
        <v>756</v>
      </c>
      <c r="Q59" s="1044"/>
    </row>
    <row r="60" spans="1:24" s="109" customFormat="1">
      <c r="A60" s="110">
        <f>A59+1</f>
        <v>25</v>
      </c>
      <c r="C60" s="110"/>
      <c r="N60" s="1045" t="s">
        <v>203</v>
      </c>
      <c r="O60" s="1004">
        <f>ROUND(O57/7,3)</f>
        <v>7.2999999999999995E-2</v>
      </c>
      <c r="P60" s="109" t="str">
        <f>"$ per kW - day (Line "&amp;H57&amp;" / 7)"</f>
        <v>$ per kW - day (Line  / 7)</v>
      </c>
      <c r="Q60" s="1046"/>
    </row>
    <row r="61" spans="1:24">
      <c r="N61" s="150"/>
      <c r="O61" s="712"/>
    </row>
    <row r="62" spans="1:24">
      <c r="A62" s="105">
        <f>A60+1</f>
        <v>26</v>
      </c>
      <c r="C62" s="105"/>
      <c r="N62" s="1043" t="s">
        <v>204</v>
      </c>
      <c r="O62" s="712">
        <f>ROUND(((O59/16)*1000),3)</f>
        <v>5.3129999999999997</v>
      </c>
      <c r="P62" s="1044" t="s">
        <v>646</v>
      </c>
      <c r="Q62" s="1044"/>
    </row>
    <row r="63" spans="1:24" s="109" customFormat="1">
      <c r="A63" s="110">
        <f>A62+1</f>
        <v>27</v>
      </c>
      <c r="C63" s="110"/>
      <c r="N63" s="1045" t="s">
        <v>205</v>
      </c>
      <c r="O63" s="1004">
        <f>ROUND((O60/24)*1000,3)</f>
        <v>3.0419999999999998</v>
      </c>
      <c r="P63" s="109" t="s">
        <v>207</v>
      </c>
      <c r="Q63" s="1046"/>
    </row>
    <row r="64" spans="1:24">
      <c r="C64" s="105"/>
      <c r="O64" s="109"/>
      <c r="P64" s="404"/>
      <c r="Q64" s="404"/>
    </row>
    <row r="65" spans="1:17">
      <c r="A65" s="105">
        <f>A62+1</f>
        <v>27</v>
      </c>
      <c r="N65" s="1043" t="s">
        <v>131</v>
      </c>
      <c r="O65" s="713">
        <f>O55</f>
        <v>2.2080000000000002</v>
      </c>
      <c r="P65" t="s">
        <v>647</v>
      </c>
    </row>
    <row r="69" spans="1:17">
      <c r="O69" s="109"/>
      <c r="P69" s="109"/>
      <c r="Q69" s="109"/>
    </row>
  </sheetData>
  <phoneticPr fontId="2" type="noConversion"/>
  <printOptions horizontalCentered="1"/>
  <pageMargins left="0.75" right="0.75" top="1" bottom="1" header="0.5" footer="0.5"/>
  <pageSetup scale="57" orientation="landscape" r:id="rId1"/>
  <headerFooter alignWithMargins="0">
    <oddHeader>&amp;RPage &amp;P of &amp;N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dimension ref="A1:T309"/>
  <sheetViews>
    <sheetView topLeftCell="A157" workbookViewId="0">
      <selection activeCell="H219" sqref="H219"/>
    </sheetView>
  </sheetViews>
  <sheetFormatPr defaultColWidth="10.28515625" defaultRowHeight="12"/>
  <cols>
    <col min="1" max="1" width="7.42578125" style="384" customWidth="1"/>
    <col min="2" max="2" width="3.5703125" style="384" customWidth="1"/>
    <col min="3" max="3" width="4.85546875" style="384" customWidth="1"/>
    <col min="4" max="4" width="13.5703125" style="384" customWidth="1"/>
    <col min="5" max="5" width="36.5703125" style="384" customWidth="1"/>
    <col min="6" max="6" width="15" style="384" customWidth="1"/>
    <col min="7" max="7" width="12.7109375" style="384" customWidth="1"/>
    <col min="8" max="8" width="16" style="384" customWidth="1"/>
    <col min="9" max="9" width="20.42578125" style="1051" bestFit="1" customWidth="1"/>
    <col min="10" max="10" width="17.28515625" style="384" customWidth="1"/>
    <col min="11" max="256" width="10.28515625" style="384"/>
    <col min="257" max="257" width="7.42578125" style="384" customWidth="1"/>
    <col min="258" max="258" width="3.5703125" style="384" customWidth="1"/>
    <col min="259" max="259" width="4.85546875" style="384" customWidth="1"/>
    <col min="260" max="260" width="13.5703125" style="384" customWidth="1"/>
    <col min="261" max="261" width="36.5703125" style="384" customWidth="1"/>
    <col min="262" max="262" width="15" style="384" customWidth="1"/>
    <col min="263" max="263" width="12.7109375" style="384" customWidth="1"/>
    <col min="264" max="264" width="16" style="384" customWidth="1"/>
    <col min="265" max="265" width="20.42578125" style="384" bestFit="1" customWidth="1"/>
    <col min="266" max="266" width="17.28515625" style="384" customWidth="1"/>
    <col min="267" max="512" width="10.28515625" style="384"/>
    <col min="513" max="513" width="7.42578125" style="384" customWidth="1"/>
    <col min="514" max="514" width="3.5703125" style="384" customWidth="1"/>
    <col min="515" max="515" width="4.85546875" style="384" customWidth="1"/>
    <col min="516" max="516" width="13.5703125" style="384" customWidth="1"/>
    <col min="517" max="517" width="36.5703125" style="384" customWidth="1"/>
    <col min="518" max="518" width="15" style="384" customWidth="1"/>
    <col min="519" max="519" width="12.7109375" style="384" customWidth="1"/>
    <col min="520" max="520" width="16" style="384" customWidth="1"/>
    <col min="521" max="521" width="20.42578125" style="384" bestFit="1" customWidth="1"/>
    <col min="522" max="522" width="17.28515625" style="384" customWidth="1"/>
    <col min="523" max="768" width="10.28515625" style="384"/>
    <col min="769" max="769" width="7.42578125" style="384" customWidth="1"/>
    <col min="770" max="770" width="3.5703125" style="384" customWidth="1"/>
    <col min="771" max="771" width="4.85546875" style="384" customWidth="1"/>
    <col min="772" max="772" width="13.5703125" style="384" customWidth="1"/>
    <col min="773" max="773" width="36.5703125" style="384" customWidth="1"/>
    <col min="774" max="774" width="15" style="384" customWidth="1"/>
    <col min="775" max="775" width="12.7109375" style="384" customWidth="1"/>
    <col min="776" max="776" width="16" style="384" customWidth="1"/>
    <col min="777" max="777" width="20.42578125" style="384" bestFit="1" customWidth="1"/>
    <col min="778" max="778" width="17.28515625" style="384" customWidth="1"/>
    <col min="779" max="1024" width="10.28515625" style="384"/>
    <col min="1025" max="1025" width="7.42578125" style="384" customWidth="1"/>
    <col min="1026" max="1026" width="3.5703125" style="384" customWidth="1"/>
    <col min="1027" max="1027" width="4.85546875" style="384" customWidth="1"/>
    <col min="1028" max="1028" width="13.5703125" style="384" customWidth="1"/>
    <col min="1029" max="1029" width="36.5703125" style="384" customWidth="1"/>
    <col min="1030" max="1030" width="15" style="384" customWidth="1"/>
    <col min="1031" max="1031" width="12.7109375" style="384" customWidth="1"/>
    <col min="1032" max="1032" width="16" style="384" customWidth="1"/>
    <col min="1033" max="1033" width="20.42578125" style="384" bestFit="1" customWidth="1"/>
    <col min="1034" max="1034" width="17.28515625" style="384" customWidth="1"/>
    <col min="1035" max="1280" width="10.28515625" style="384"/>
    <col min="1281" max="1281" width="7.42578125" style="384" customWidth="1"/>
    <col min="1282" max="1282" width="3.5703125" style="384" customWidth="1"/>
    <col min="1283" max="1283" width="4.85546875" style="384" customWidth="1"/>
    <col min="1284" max="1284" width="13.5703125" style="384" customWidth="1"/>
    <col min="1285" max="1285" width="36.5703125" style="384" customWidth="1"/>
    <col min="1286" max="1286" width="15" style="384" customWidth="1"/>
    <col min="1287" max="1287" width="12.7109375" style="384" customWidth="1"/>
    <col min="1288" max="1288" width="16" style="384" customWidth="1"/>
    <col min="1289" max="1289" width="20.42578125" style="384" bestFit="1" customWidth="1"/>
    <col min="1290" max="1290" width="17.28515625" style="384" customWidth="1"/>
    <col min="1291" max="1536" width="10.28515625" style="384"/>
    <col min="1537" max="1537" width="7.42578125" style="384" customWidth="1"/>
    <col min="1538" max="1538" width="3.5703125" style="384" customWidth="1"/>
    <col min="1539" max="1539" width="4.85546875" style="384" customWidth="1"/>
    <col min="1540" max="1540" width="13.5703125" style="384" customWidth="1"/>
    <col min="1541" max="1541" width="36.5703125" style="384" customWidth="1"/>
    <col min="1542" max="1542" width="15" style="384" customWidth="1"/>
    <col min="1543" max="1543" width="12.7109375" style="384" customWidth="1"/>
    <col min="1544" max="1544" width="16" style="384" customWidth="1"/>
    <col min="1545" max="1545" width="20.42578125" style="384" bestFit="1" customWidth="1"/>
    <col min="1546" max="1546" width="17.28515625" style="384" customWidth="1"/>
    <col min="1547" max="1792" width="10.28515625" style="384"/>
    <col min="1793" max="1793" width="7.42578125" style="384" customWidth="1"/>
    <col min="1794" max="1794" width="3.5703125" style="384" customWidth="1"/>
    <col min="1795" max="1795" width="4.85546875" style="384" customWidth="1"/>
    <col min="1796" max="1796" width="13.5703125" style="384" customWidth="1"/>
    <col min="1797" max="1797" width="36.5703125" style="384" customWidth="1"/>
    <col min="1798" max="1798" width="15" style="384" customWidth="1"/>
    <col min="1799" max="1799" width="12.7109375" style="384" customWidth="1"/>
    <col min="1800" max="1800" width="16" style="384" customWidth="1"/>
    <col min="1801" max="1801" width="20.42578125" style="384" bestFit="1" customWidth="1"/>
    <col min="1802" max="1802" width="17.28515625" style="384" customWidth="1"/>
    <col min="1803" max="2048" width="10.28515625" style="384"/>
    <col min="2049" max="2049" width="7.42578125" style="384" customWidth="1"/>
    <col min="2050" max="2050" width="3.5703125" style="384" customWidth="1"/>
    <col min="2051" max="2051" width="4.85546875" style="384" customWidth="1"/>
    <col min="2052" max="2052" width="13.5703125" style="384" customWidth="1"/>
    <col min="2053" max="2053" width="36.5703125" style="384" customWidth="1"/>
    <col min="2054" max="2054" width="15" style="384" customWidth="1"/>
    <col min="2055" max="2055" width="12.7109375" style="384" customWidth="1"/>
    <col min="2056" max="2056" width="16" style="384" customWidth="1"/>
    <col min="2057" max="2057" width="20.42578125" style="384" bestFit="1" customWidth="1"/>
    <col min="2058" max="2058" width="17.28515625" style="384" customWidth="1"/>
    <col min="2059" max="2304" width="10.28515625" style="384"/>
    <col min="2305" max="2305" width="7.42578125" style="384" customWidth="1"/>
    <col min="2306" max="2306" width="3.5703125" style="384" customWidth="1"/>
    <col min="2307" max="2307" width="4.85546875" style="384" customWidth="1"/>
    <col min="2308" max="2308" width="13.5703125" style="384" customWidth="1"/>
    <col min="2309" max="2309" width="36.5703125" style="384" customWidth="1"/>
    <col min="2310" max="2310" width="15" style="384" customWidth="1"/>
    <col min="2311" max="2311" width="12.7109375" style="384" customWidth="1"/>
    <col min="2312" max="2312" width="16" style="384" customWidth="1"/>
    <col min="2313" max="2313" width="20.42578125" style="384" bestFit="1" customWidth="1"/>
    <col min="2314" max="2314" width="17.28515625" style="384" customWidth="1"/>
    <col min="2315" max="2560" width="10.28515625" style="384"/>
    <col min="2561" max="2561" width="7.42578125" style="384" customWidth="1"/>
    <col min="2562" max="2562" width="3.5703125" style="384" customWidth="1"/>
    <col min="2563" max="2563" width="4.85546875" style="384" customWidth="1"/>
    <col min="2564" max="2564" width="13.5703125" style="384" customWidth="1"/>
    <col min="2565" max="2565" width="36.5703125" style="384" customWidth="1"/>
    <col min="2566" max="2566" width="15" style="384" customWidth="1"/>
    <col min="2567" max="2567" width="12.7109375" style="384" customWidth="1"/>
    <col min="2568" max="2568" width="16" style="384" customWidth="1"/>
    <col min="2569" max="2569" width="20.42578125" style="384" bestFit="1" customWidth="1"/>
    <col min="2570" max="2570" width="17.28515625" style="384" customWidth="1"/>
    <col min="2571" max="2816" width="10.28515625" style="384"/>
    <col min="2817" max="2817" width="7.42578125" style="384" customWidth="1"/>
    <col min="2818" max="2818" width="3.5703125" style="384" customWidth="1"/>
    <col min="2819" max="2819" width="4.85546875" style="384" customWidth="1"/>
    <col min="2820" max="2820" width="13.5703125" style="384" customWidth="1"/>
    <col min="2821" max="2821" width="36.5703125" style="384" customWidth="1"/>
    <col min="2822" max="2822" width="15" style="384" customWidth="1"/>
    <col min="2823" max="2823" width="12.7109375" style="384" customWidth="1"/>
    <col min="2824" max="2824" width="16" style="384" customWidth="1"/>
    <col min="2825" max="2825" width="20.42578125" style="384" bestFit="1" customWidth="1"/>
    <col min="2826" max="2826" width="17.28515625" style="384" customWidth="1"/>
    <col min="2827" max="3072" width="10.28515625" style="384"/>
    <col min="3073" max="3073" width="7.42578125" style="384" customWidth="1"/>
    <col min="3074" max="3074" width="3.5703125" style="384" customWidth="1"/>
    <col min="3075" max="3075" width="4.85546875" style="384" customWidth="1"/>
    <col min="3076" max="3076" width="13.5703125" style="384" customWidth="1"/>
    <col min="3077" max="3077" width="36.5703125" style="384" customWidth="1"/>
    <col min="3078" max="3078" width="15" style="384" customWidth="1"/>
    <col min="3079" max="3079" width="12.7109375" style="384" customWidth="1"/>
    <col min="3080" max="3080" width="16" style="384" customWidth="1"/>
    <col min="3081" max="3081" width="20.42578125" style="384" bestFit="1" customWidth="1"/>
    <col min="3082" max="3082" width="17.28515625" style="384" customWidth="1"/>
    <col min="3083" max="3328" width="10.28515625" style="384"/>
    <col min="3329" max="3329" width="7.42578125" style="384" customWidth="1"/>
    <col min="3330" max="3330" width="3.5703125" style="384" customWidth="1"/>
    <col min="3331" max="3331" width="4.85546875" style="384" customWidth="1"/>
    <col min="3332" max="3332" width="13.5703125" style="384" customWidth="1"/>
    <col min="3333" max="3333" width="36.5703125" style="384" customWidth="1"/>
    <col min="3334" max="3334" width="15" style="384" customWidth="1"/>
    <col min="3335" max="3335" width="12.7109375" style="384" customWidth="1"/>
    <col min="3336" max="3336" width="16" style="384" customWidth="1"/>
    <col min="3337" max="3337" width="20.42578125" style="384" bestFit="1" customWidth="1"/>
    <col min="3338" max="3338" width="17.28515625" style="384" customWidth="1"/>
    <col min="3339" max="3584" width="10.28515625" style="384"/>
    <col min="3585" max="3585" width="7.42578125" style="384" customWidth="1"/>
    <col min="3586" max="3586" width="3.5703125" style="384" customWidth="1"/>
    <col min="3587" max="3587" width="4.85546875" style="384" customWidth="1"/>
    <col min="3588" max="3588" width="13.5703125" style="384" customWidth="1"/>
    <col min="3589" max="3589" width="36.5703125" style="384" customWidth="1"/>
    <col min="3590" max="3590" width="15" style="384" customWidth="1"/>
    <col min="3591" max="3591" width="12.7109375" style="384" customWidth="1"/>
    <col min="3592" max="3592" width="16" style="384" customWidth="1"/>
    <col min="3593" max="3593" width="20.42578125" style="384" bestFit="1" customWidth="1"/>
    <col min="3594" max="3594" width="17.28515625" style="384" customWidth="1"/>
    <col min="3595" max="3840" width="10.28515625" style="384"/>
    <col min="3841" max="3841" width="7.42578125" style="384" customWidth="1"/>
    <col min="3842" max="3842" width="3.5703125" style="384" customWidth="1"/>
    <col min="3843" max="3843" width="4.85546875" style="384" customWidth="1"/>
    <col min="3844" max="3844" width="13.5703125" style="384" customWidth="1"/>
    <col min="3845" max="3845" width="36.5703125" style="384" customWidth="1"/>
    <col min="3846" max="3846" width="15" style="384" customWidth="1"/>
    <col min="3847" max="3847" width="12.7109375" style="384" customWidth="1"/>
    <col min="3848" max="3848" width="16" style="384" customWidth="1"/>
    <col min="3849" max="3849" width="20.42578125" style="384" bestFit="1" customWidth="1"/>
    <col min="3850" max="3850" width="17.28515625" style="384" customWidth="1"/>
    <col min="3851" max="4096" width="10.28515625" style="384"/>
    <col min="4097" max="4097" width="7.42578125" style="384" customWidth="1"/>
    <col min="4098" max="4098" width="3.5703125" style="384" customWidth="1"/>
    <col min="4099" max="4099" width="4.85546875" style="384" customWidth="1"/>
    <col min="4100" max="4100" width="13.5703125" style="384" customWidth="1"/>
    <col min="4101" max="4101" width="36.5703125" style="384" customWidth="1"/>
    <col min="4102" max="4102" width="15" style="384" customWidth="1"/>
    <col min="4103" max="4103" width="12.7109375" style="384" customWidth="1"/>
    <col min="4104" max="4104" width="16" style="384" customWidth="1"/>
    <col min="4105" max="4105" width="20.42578125" style="384" bestFit="1" customWidth="1"/>
    <col min="4106" max="4106" width="17.28515625" style="384" customWidth="1"/>
    <col min="4107" max="4352" width="10.28515625" style="384"/>
    <col min="4353" max="4353" width="7.42578125" style="384" customWidth="1"/>
    <col min="4354" max="4354" width="3.5703125" style="384" customWidth="1"/>
    <col min="4355" max="4355" width="4.85546875" style="384" customWidth="1"/>
    <col min="4356" max="4356" width="13.5703125" style="384" customWidth="1"/>
    <col min="4357" max="4357" width="36.5703125" style="384" customWidth="1"/>
    <col min="4358" max="4358" width="15" style="384" customWidth="1"/>
    <col min="4359" max="4359" width="12.7109375" style="384" customWidth="1"/>
    <col min="4360" max="4360" width="16" style="384" customWidth="1"/>
    <col min="4361" max="4361" width="20.42578125" style="384" bestFit="1" customWidth="1"/>
    <col min="4362" max="4362" width="17.28515625" style="384" customWidth="1"/>
    <col min="4363" max="4608" width="10.28515625" style="384"/>
    <col min="4609" max="4609" width="7.42578125" style="384" customWidth="1"/>
    <col min="4610" max="4610" width="3.5703125" style="384" customWidth="1"/>
    <col min="4611" max="4611" width="4.85546875" style="384" customWidth="1"/>
    <col min="4612" max="4612" width="13.5703125" style="384" customWidth="1"/>
    <col min="4613" max="4613" width="36.5703125" style="384" customWidth="1"/>
    <col min="4614" max="4614" width="15" style="384" customWidth="1"/>
    <col min="4615" max="4615" width="12.7109375" style="384" customWidth="1"/>
    <col min="4616" max="4616" width="16" style="384" customWidth="1"/>
    <col min="4617" max="4617" width="20.42578125" style="384" bestFit="1" customWidth="1"/>
    <col min="4618" max="4618" width="17.28515625" style="384" customWidth="1"/>
    <col min="4619" max="4864" width="10.28515625" style="384"/>
    <col min="4865" max="4865" width="7.42578125" style="384" customWidth="1"/>
    <col min="4866" max="4866" width="3.5703125" style="384" customWidth="1"/>
    <col min="4867" max="4867" width="4.85546875" style="384" customWidth="1"/>
    <col min="4868" max="4868" width="13.5703125" style="384" customWidth="1"/>
    <col min="4869" max="4869" width="36.5703125" style="384" customWidth="1"/>
    <col min="4870" max="4870" width="15" style="384" customWidth="1"/>
    <col min="4871" max="4871" width="12.7109375" style="384" customWidth="1"/>
    <col min="4872" max="4872" width="16" style="384" customWidth="1"/>
    <col min="4873" max="4873" width="20.42578125" style="384" bestFit="1" customWidth="1"/>
    <col min="4874" max="4874" width="17.28515625" style="384" customWidth="1"/>
    <col min="4875" max="5120" width="10.28515625" style="384"/>
    <col min="5121" max="5121" width="7.42578125" style="384" customWidth="1"/>
    <col min="5122" max="5122" width="3.5703125" style="384" customWidth="1"/>
    <col min="5123" max="5123" width="4.85546875" style="384" customWidth="1"/>
    <col min="5124" max="5124" width="13.5703125" style="384" customWidth="1"/>
    <col min="5125" max="5125" width="36.5703125" style="384" customWidth="1"/>
    <col min="5126" max="5126" width="15" style="384" customWidth="1"/>
    <col min="5127" max="5127" width="12.7109375" style="384" customWidth="1"/>
    <col min="5128" max="5128" width="16" style="384" customWidth="1"/>
    <col min="5129" max="5129" width="20.42578125" style="384" bestFit="1" customWidth="1"/>
    <col min="5130" max="5130" width="17.28515625" style="384" customWidth="1"/>
    <col min="5131" max="5376" width="10.28515625" style="384"/>
    <col min="5377" max="5377" width="7.42578125" style="384" customWidth="1"/>
    <col min="5378" max="5378" width="3.5703125" style="384" customWidth="1"/>
    <col min="5379" max="5379" width="4.85546875" style="384" customWidth="1"/>
    <col min="5380" max="5380" width="13.5703125" style="384" customWidth="1"/>
    <col min="5381" max="5381" width="36.5703125" style="384" customWidth="1"/>
    <col min="5382" max="5382" width="15" style="384" customWidth="1"/>
    <col min="5383" max="5383" width="12.7109375" style="384" customWidth="1"/>
    <col min="5384" max="5384" width="16" style="384" customWidth="1"/>
    <col min="5385" max="5385" width="20.42578125" style="384" bestFit="1" customWidth="1"/>
    <col min="5386" max="5386" width="17.28515625" style="384" customWidth="1"/>
    <col min="5387" max="5632" width="10.28515625" style="384"/>
    <col min="5633" max="5633" width="7.42578125" style="384" customWidth="1"/>
    <col min="5634" max="5634" width="3.5703125" style="384" customWidth="1"/>
    <col min="5635" max="5635" width="4.85546875" style="384" customWidth="1"/>
    <col min="5636" max="5636" width="13.5703125" style="384" customWidth="1"/>
    <col min="5637" max="5637" width="36.5703125" style="384" customWidth="1"/>
    <col min="5638" max="5638" width="15" style="384" customWidth="1"/>
    <col min="5639" max="5639" width="12.7109375" style="384" customWidth="1"/>
    <col min="5640" max="5640" width="16" style="384" customWidth="1"/>
    <col min="5641" max="5641" width="20.42578125" style="384" bestFit="1" customWidth="1"/>
    <col min="5642" max="5642" width="17.28515625" style="384" customWidth="1"/>
    <col min="5643" max="5888" width="10.28515625" style="384"/>
    <col min="5889" max="5889" width="7.42578125" style="384" customWidth="1"/>
    <col min="5890" max="5890" width="3.5703125" style="384" customWidth="1"/>
    <col min="5891" max="5891" width="4.85546875" style="384" customWidth="1"/>
    <col min="5892" max="5892" width="13.5703125" style="384" customWidth="1"/>
    <col min="5893" max="5893" width="36.5703125" style="384" customWidth="1"/>
    <col min="5894" max="5894" width="15" style="384" customWidth="1"/>
    <col min="5895" max="5895" width="12.7109375" style="384" customWidth="1"/>
    <col min="5896" max="5896" width="16" style="384" customWidth="1"/>
    <col min="5897" max="5897" width="20.42578125" style="384" bestFit="1" customWidth="1"/>
    <col min="5898" max="5898" width="17.28515625" style="384" customWidth="1"/>
    <col min="5899" max="6144" width="10.28515625" style="384"/>
    <col min="6145" max="6145" width="7.42578125" style="384" customWidth="1"/>
    <col min="6146" max="6146" width="3.5703125" style="384" customWidth="1"/>
    <col min="6147" max="6147" width="4.85546875" style="384" customWidth="1"/>
    <col min="6148" max="6148" width="13.5703125" style="384" customWidth="1"/>
    <col min="6149" max="6149" width="36.5703125" style="384" customWidth="1"/>
    <col min="6150" max="6150" width="15" style="384" customWidth="1"/>
    <col min="6151" max="6151" width="12.7109375" style="384" customWidth="1"/>
    <col min="6152" max="6152" width="16" style="384" customWidth="1"/>
    <col min="6153" max="6153" width="20.42578125" style="384" bestFit="1" customWidth="1"/>
    <col min="6154" max="6154" width="17.28515625" style="384" customWidth="1"/>
    <col min="6155" max="6400" width="10.28515625" style="384"/>
    <col min="6401" max="6401" width="7.42578125" style="384" customWidth="1"/>
    <col min="6402" max="6402" width="3.5703125" style="384" customWidth="1"/>
    <col min="6403" max="6403" width="4.85546875" style="384" customWidth="1"/>
    <col min="6404" max="6404" width="13.5703125" style="384" customWidth="1"/>
    <col min="6405" max="6405" width="36.5703125" style="384" customWidth="1"/>
    <col min="6406" max="6406" width="15" style="384" customWidth="1"/>
    <col min="6407" max="6407" width="12.7109375" style="384" customWidth="1"/>
    <col min="6408" max="6408" width="16" style="384" customWidth="1"/>
    <col min="6409" max="6409" width="20.42578125" style="384" bestFit="1" customWidth="1"/>
    <col min="6410" max="6410" width="17.28515625" style="384" customWidth="1"/>
    <col min="6411" max="6656" width="10.28515625" style="384"/>
    <col min="6657" max="6657" width="7.42578125" style="384" customWidth="1"/>
    <col min="6658" max="6658" width="3.5703125" style="384" customWidth="1"/>
    <col min="6659" max="6659" width="4.85546875" style="384" customWidth="1"/>
    <col min="6660" max="6660" width="13.5703125" style="384" customWidth="1"/>
    <col min="6661" max="6661" width="36.5703125" style="384" customWidth="1"/>
    <col min="6662" max="6662" width="15" style="384" customWidth="1"/>
    <col min="6663" max="6663" width="12.7109375" style="384" customWidth="1"/>
    <col min="6664" max="6664" width="16" style="384" customWidth="1"/>
    <col min="6665" max="6665" width="20.42578125" style="384" bestFit="1" customWidth="1"/>
    <col min="6666" max="6666" width="17.28515625" style="384" customWidth="1"/>
    <col min="6667" max="6912" width="10.28515625" style="384"/>
    <col min="6913" max="6913" width="7.42578125" style="384" customWidth="1"/>
    <col min="6914" max="6914" width="3.5703125" style="384" customWidth="1"/>
    <col min="6915" max="6915" width="4.85546875" style="384" customWidth="1"/>
    <col min="6916" max="6916" width="13.5703125" style="384" customWidth="1"/>
    <col min="6917" max="6917" width="36.5703125" style="384" customWidth="1"/>
    <col min="6918" max="6918" width="15" style="384" customWidth="1"/>
    <col min="6919" max="6919" width="12.7109375" style="384" customWidth="1"/>
    <col min="6920" max="6920" width="16" style="384" customWidth="1"/>
    <col min="6921" max="6921" width="20.42578125" style="384" bestFit="1" customWidth="1"/>
    <col min="6922" max="6922" width="17.28515625" style="384" customWidth="1"/>
    <col min="6923" max="7168" width="10.28515625" style="384"/>
    <col min="7169" max="7169" width="7.42578125" style="384" customWidth="1"/>
    <col min="7170" max="7170" width="3.5703125" style="384" customWidth="1"/>
    <col min="7171" max="7171" width="4.85546875" style="384" customWidth="1"/>
    <col min="7172" max="7172" width="13.5703125" style="384" customWidth="1"/>
    <col min="7173" max="7173" width="36.5703125" style="384" customWidth="1"/>
    <col min="7174" max="7174" width="15" style="384" customWidth="1"/>
    <col min="7175" max="7175" width="12.7109375" style="384" customWidth="1"/>
    <col min="7176" max="7176" width="16" style="384" customWidth="1"/>
    <col min="7177" max="7177" width="20.42578125" style="384" bestFit="1" customWidth="1"/>
    <col min="7178" max="7178" width="17.28515625" style="384" customWidth="1"/>
    <col min="7179" max="7424" width="10.28515625" style="384"/>
    <col min="7425" max="7425" width="7.42578125" style="384" customWidth="1"/>
    <col min="7426" max="7426" width="3.5703125" style="384" customWidth="1"/>
    <col min="7427" max="7427" width="4.85546875" style="384" customWidth="1"/>
    <col min="7428" max="7428" width="13.5703125" style="384" customWidth="1"/>
    <col min="7429" max="7429" width="36.5703125" style="384" customWidth="1"/>
    <col min="7430" max="7430" width="15" style="384" customWidth="1"/>
    <col min="7431" max="7431" width="12.7109375" style="384" customWidth="1"/>
    <col min="7432" max="7432" width="16" style="384" customWidth="1"/>
    <col min="7433" max="7433" width="20.42578125" style="384" bestFit="1" customWidth="1"/>
    <col min="7434" max="7434" width="17.28515625" style="384" customWidth="1"/>
    <col min="7435" max="7680" width="10.28515625" style="384"/>
    <col min="7681" max="7681" width="7.42578125" style="384" customWidth="1"/>
    <col min="7682" max="7682" width="3.5703125" style="384" customWidth="1"/>
    <col min="7683" max="7683" width="4.85546875" style="384" customWidth="1"/>
    <col min="7684" max="7684" width="13.5703125" style="384" customWidth="1"/>
    <col min="7685" max="7685" width="36.5703125" style="384" customWidth="1"/>
    <col min="7686" max="7686" width="15" style="384" customWidth="1"/>
    <col min="7687" max="7687" width="12.7109375" style="384" customWidth="1"/>
    <col min="7688" max="7688" width="16" style="384" customWidth="1"/>
    <col min="7689" max="7689" width="20.42578125" style="384" bestFit="1" customWidth="1"/>
    <col min="7690" max="7690" width="17.28515625" style="384" customWidth="1"/>
    <col min="7691" max="7936" width="10.28515625" style="384"/>
    <col min="7937" max="7937" width="7.42578125" style="384" customWidth="1"/>
    <col min="7938" max="7938" width="3.5703125" style="384" customWidth="1"/>
    <col min="7939" max="7939" width="4.85546875" style="384" customWidth="1"/>
    <col min="7940" max="7940" width="13.5703125" style="384" customWidth="1"/>
    <col min="7941" max="7941" width="36.5703125" style="384" customWidth="1"/>
    <col min="7942" max="7942" width="15" style="384" customWidth="1"/>
    <col min="7943" max="7943" width="12.7109375" style="384" customWidth="1"/>
    <col min="7944" max="7944" width="16" style="384" customWidth="1"/>
    <col min="7945" max="7945" width="20.42578125" style="384" bestFit="1" customWidth="1"/>
    <col min="7946" max="7946" width="17.28515625" style="384" customWidth="1"/>
    <col min="7947" max="8192" width="10.28515625" style="384"/>
    <col min="8193" max="8193" width="7.42578125" style="384" customWidth="1"/>
    <col min="8194" max="8194" width="3.5703125" style="384" customWidth="1"/>
    <col min="8195" max="8195" width="4.85546875" style="384" customWidth="1"/>
    <col min="8196" max="8196" width="13.5703125" style="384" customWidth="1"/>
    <col min="8197" max="8197" width="36.5703125" style="384" customWidth="1"/>
    <col min="8198" max="8198" width="15" style="384" customWidth="1"/>
    <col min="8199" max="8199" width="12.7109375" style="384" customWidth="1"/>
    <col min="8200" max="8200" width="16" style="384" customWidth="1"/>
    <col min="8201" max="8201" width="20.42578125" style="384" bestFit="1" customWidth="1"/>
    <col min="8202" max="8202" width="17.28515625" style="384" customWidth="1"/>
    <col min="8203" max="8448" width="10.28515625" style="384"/>
    <col min="8449" max="8449" width="7.42578125" style="384" customWidth="1"/>
    <col min="8450" max="8450" width="3.5703125" style="384" customWidth="1"/>
    <col min="8451" max="8451" width="4.85546875" style="384" customWidth="1"/>
    <col min="8452" max="8452" width="13.5703125" style="384" customWidth="1"/>
    <col min="8453" max="8453" width="36.5703125" style="384" customWidth="1"/>
    <col min="8454" max="8454" width="15" style="384" customWidth="1"/>
    <col min="8455" max="8455" width="12.7109375" style="384" customWidth="1"/>
    <col min="8456" max="8456" width="16" style="384" customWidth="1"/>
    <col min="8457" max="8457" width="20.42578125" style="384" bestFit="1" customWidth="1"/>
    <col min="8458" max="8458" width="17.28515625" style="384" customWidth="1"/>
    <col min="8459" max="8704" width="10.28515625" style="384"/>
    <col min="8705" max="8705" width="7.42578125" style="384" customWidth="1"/>
    <col min="8706" max="8706" width="3.5703125" style="384" customWidth="1"/>
    <col min="8707" max="8707" width="4.85546875" style="384" customWidth="1"/>
    <col min="8708" max="8708" width="13.5703125" style="384" customWidth="1"/>
    <col min="8709" max="8709" width="36.5703125" style="384" customWidth="1"/>
    <col min="8710" max="8710" width="15" style="384" customWidth="1"/>
    <col min="8711" max="8711" width="12.7109375" style="384" customWidth="1"/>
    <col min="8712" max="8712" width="16" style="384" customWidth="1"/>
    <col min="8713" max="8713" width="20.42578125" style="384" bestFit="1" customWidth="1"/>
    <col min="8714" max="8714" width="17.28515625" style="384" customWidth="1"/>
    <col min="8715" max="8960" width="10.28515625" style="384"/>
    <col min="8961" max="8961" width="7.42578125" style="384" customWidth="1"/>
    <col min="8962" max="8962" width="3.5703125" style="384" customWidth="1"/>
    <col min="8963" max="8963" width="4.85546875" style="384" customWidth="1"/>
    <col min="8964" max="8964" width="13.5703125" style="384" customWidth="1"/>
    <col min="8965" max="8965" width="36.5703125" style="384" customWidth="1"/>
    <col min="8966" max="8966" width="15" style="384" customWidth="1"/>
    <col min="8967" max="8967" width="12.7109375" style="384" customWidth="1"/>
    <col min="8968" max="8968" width="16" style="384" customWidth="1"/>
    <col min="8969" max="8969" width="20.42578125" style="384" bestFit="1" customWidth="1"/>
    <col min="8970" max="8970" width="17.28515625" style="384" customWidth="1"/>
    <col min="8971" max="9216" width="10.28515625" style="384"/>
    <col min="9217" max="9217" width="7.42578125" style="384" customWidth="1"/>
    <col min="9218" max="9218" width="3.5703125" style="384" customWidth="1"/>
    <col min="9219" max="9219" width="4.85546875" style="384" customWidth="1"/>
    <col min="9220" max="9220" width="13.5703125" style="384" customWidth="1"/>
    <col min="9221" max="9221" width="36.5703125" style="384" customWidth="1"/>
    <col min="9222" max="9222" width="15" style="384" customWidth="1"/>
    <col min="9223" max="9223" width="12.7109375" style="384" customWidth="1"/>
    <col min="9224" max="9224" width="16" style="384" customWidth="1"/>
    <col min="9225" max="9225" width="20.42578125" style="384" bestFit="1" customWidth="1"/>
    <col min="9226" max="9226" width="17.28515625" style="384" customWidth="1"/>
    <col min="9227" max="9472" width="10.28515625" style="384"/>
    <col min="9473" max="9473" width="7.42578125" style="384" customWidth="1"/>
    <col min="9474" max="9474" width="3.5703125" style="384" customWidth="1"/>
    <col min="9475" max="9475" width="4.85546875" style="384" customWidth="1"/>
    <col min="9476" max="9476" width="13.5703125" style="384" customWidth="1"/>
    <col min="9477" max="9477" width="36.5703125" style="384" customWidth="1"/>
    <col min="9478" max="9478" width="15" style="384" customWidth="1"/>
    <col min="9479" max="9479" width="12.7109375" style="384" customWidth="1"/>
    <col min="9480" max="9480" width="16" style="384" customWidth="1"/>
    <col min="9481" max="9481" width="20.42578125" style="384" bestFit="1" customWidth="1"/>
    <col min="9482" max="9482" width="17.28515625" style="384" customWidth="1"/>
    <col min="9483" max="9728" width="10.28515625" style="384"/>
    <col min="9729" max="9729" width="7.42578125" style="384" customWidth="1"/>
    <col min="9730" max="9730" width="3.5703125" style="384" customWidth="1"/>
    <col min="9731" max="9731" width="4.85546875" style="384" customWidth="1"/>
    <col min="9732" max="9732" width="13.5703125" style="384" customWidth="1"/>
    <col min="9733" max="9733" width="36.5703125" style="384" customWidth="1"/>
    <col min="9734" max="9734" width="15" style="384" customWidth="1"/>
    <col min="9735" max="9735" width="12.7109375" style="384" customWidth="1"/>
    <col min="9736" max="9736" width="16" style="384" customWidth="1"/>
    <col min="9737" max="9737" width="20.42578125" style="384" bestFit="1" customWidth="1"/>
    <col min="9738" max="9738" width="17.28515625" style="384" customWidth="1"/>
    <col min="9739" max="9984" width="10.28515625" style="384"/>
    <col min="9985" max="9985" width="7.42578125" style="384" customWidth="1"/>
    <col min="9986" max="9986" width="3.5703125" style="384" customWidth="1"/>
    <col min="9987" max="9987" width="4.85546875" style="384" customWidth="1"/>
    <col min="9988" max="9988" width="13.5703125" style="384" customWidth="1"/>
    <col min="9989" max="9989" width="36.5703125" style="384" customWidth="1"/>
    <col min="9990" max="9990" width="15" style="384" customWidth="1"/>
    <col min="9991" max="9991" width="12.7109375" style="384" customWidth="1"/>
    <col min="9992" max="9992" width="16" style="384" customWidth="1"/>
    <col min="9993" max="9993" width="20.42578125" style="384" bestFit="1" customWidth="1"/>
    <col min="9994" max="9994" width="17.28515625" style="384" customWidth="1"/>
    <col min="9995" max="10240" width="10.28515625" style="384"/>
    <col min="10241" max="10241" width="7.42578125" style="384" customWidth="1"/>
    <col min="10242" max="10242" width="3.5703125" style="384" customWidth="1"/>
    <col min="10243" max="10243" width="4.85546875" style="384" customWidth="1"/>
    <col min="10244" max="10244" width="13.5703125" style="384" customWidth="1"/>
    <col min="10245" max="10245" width="36.5703125" style="384" customWidth="1"/>
    <col min="10246" max="10246" width="15" style="384" customWidth="1"/>
    <col min="10247" max="10247" width="12.7109375" style="384" customWidth="1"/>
    <col min="10248" max="10248" width="16" style="384" customWidth="1"/>
    <col min="10249" max="10249" width="20.42578125" style="384" bestFit="1" customWidth="1"/>
    <col min="10250" max="10250" width="17.28515625" style="384" customWidth="1"/>
    <col min="10251" max="10496" width="10.28515625" style="384"/>
    <col min="10497" max="10497" width="7.42578125" style="384" customWidth="1"/>
    <col min="10498" max="10498" width="3.5703125" style="384" customWidth="1"/>
    <col min="10499" max="10499" width="4.85546875" style="384" customWidth="1"/>
    <col min="10500" max="10500" width="13.5703125" style="384" customWidth="1"/>
    <col min="10501" max="10501" width="36.5703125" style="384" customWidth="1"/>
    <col min="10502" max="10502" width="15" style="384" customWidth="1"/>
    <col min="10503" max="10503" width="12.7109375" style="384" customWidth="1"/>
    <col min="10504" max="10504" width="16" style="384" customWidth="1"/>
    <col min="10505" max="10505" width="20.42578125" style="384" bestFit="1" customWidth="1"/>
    <col min="10506" max="10506" width="17.28515625" style="384" customWidth="1"/>
    <col min="10507" max="10752" width="10.28515625" style="384"/>
    <col min="10753" max="10753" width="7.42578125" style="384" customWidth="1"/>
    <col min="10754" max="10754" width="3.5703125" style="384" customWidth="1"/>
    <col min="10755" max="10755" width="4.85546875" style="384" customWidth="1"/>
    <col min="10756" max="10756" width="13.5703125" style="384" customWidth="1"/>
    <col min="10757" max="10757" width="36.5703125" style="384" customWidth="1"/>
    <col min="10758" max="10758" width="15" style="384" customWidth="1"/>
    <col min="10759" max="10759" width="12.7109375" style="384" customWidth="1"/>
    <col min="10760" max="10760" width="16" style="384" customWidth="1"/>
    <col min="10761" max="10761" width="20.42578125" style="384" bestFit="1" customWidth="1"/>
    <col min="10762" max="10762" width="17.28515625" style="384" customWidth="1"/>
    <col min="10763" max="11008" width="10.28515625" style="384"/>
    <col min="11009" max="11009" width="7.42578125" style="384" customWidth="1"/>
    <col min="11010" max="11010" width="3.5703125" style="384" customWidth="1"/>
    <col min="11011" max="11011" width="4.85546875" style="384" customWidth="1"/>
    <col min="11012" max="11012" width="13.5703125" style="384" customWidth="1"/>
    <col min="11013" max="11013" width="36.5703125" style="384" customWidth="1"/>
    <col min="11014" max="11014" width="15" style="384" customWidth="1"/>
    <col min="11015" max="11015" width="12.7109375" style="384" customWidth="1"/>
    <col min="11016" max="11016" width="16" style="384" customWidth="1"/>
    <col min="11017" max="11017" width="20.42578125" style="384" bestFit="1" customWidth="1"/>
    <col min="11018" max="11018" width="17.28515625" style="384" customWidth="1"/>
    <col min="11019" max="11264" width="10.28515625" style="384"/>
    <col min="11265" max="11265" width="7.42578125" style="384" customWidth="1"/>
    <col min="11266" max="11266" width="3.5703125" style="384" customWidth="1"/>
    <col min="11267" max="11267" width="4.85546875" style="384" customWidth="1"/>
    <col min="11268" max="11268" width="13.5703125" style="384" customWidth="1"/>
    <col min="11269" max="11269" width="36.5703125" style="384" customWidth="1"/>
    <col min="11270" max="11270" width="15" style="384" customWidth="1"/>
    <col min="11271" max="11271" width="12.7109375" style="384" customWidth="1"/>
    <col min="11272" max="11272" width="16" style="384" customWidth="1"/>
    <col min="11273" max="11273" width="20.42578125" style="384" bestFit="1" customWidth="1"/>
    <col min="11274" max="11274" width="17.28515625" style="384" customWidth="1"/>
    <col min="11275" max="11520" width="10.28515625" style="384"/>
    <col min="11521" max="11521" width="7.42578125" style="384" customWidth="1"/>
    <col min="11522" max="11522" width="3.5703125" style="384" customWidth="1"/>
    <col min="11523" max="11523" width="4.85546875" style="384" customWidth="1"/>
    <col min="11524" max="11524" width="13.5703125" style="384" customWidth="1"/>
    <col min="11525" max="11525" width="36.5703125" style="384" customWidth="1"/>
    <col min="11526" max="11526" width="15" style="384" customWidth="1"/>
    <col min="11527" max="11527" width="12.7109375" style="384" customWidth="1"/>
    <col min="11528" max="11528" width="16" style="384" customWidth="1"/>
    <col min="11529" max="11529" width="20.42578125" style="384" bestFit="1" customWidth="1"/>
    <col min="11530" max="11530" width="17.28515625" style="384" customWidth="1"/>
    <col min="11531" max="11776" width="10.28515625" style="384"/>
    <col min="11777" max="11777" width="7.42578125" style="384" customWidth="1"/>
    <col min="11778" max="11778" width="3.5703125" style="384" customWidth="1"/>
    <col min="11779" max="11779" width="4.85546875" style="384" customWidth="1"/>
    <col min="11780" max="11780" width="13.5703125" style="384" customWidth="1"/>
    <col min="11781" max="11781" width="36.5703125" style="384" customWidth="1"/>
    <col min="11782" max="11782" width="15" style="384" customWidth="1"/>
    <col min="11783" max="11783" width="12.7109375" style="384" customWidth="1"/>
    <col min="11784" max="11784" width="16" style="384" customWidth="1"/>
    <col min="11785" max="11785" width="20.42578125" style="384" bestFit="1" customWidth="1"/>
    <col min="11786" max="11786" width="17.28515625" style="384" customWidth="1"/>
    <col min="11787" max="12032" width="10.28515625" style="384"/>
    <col min="12033" max="12033" width="7.42578125" style="384" customWidth="1"/>
    <col min="12034" max="12034" width="3.5703125" style="384" customWidth="1"/>
    <col min="12035" max="12035" width="4.85546875" style="384" customWidth="1"/>
    <col min="12036" max="12036" width="13.5703125" style="384" customWidth="1"/>
    <col min="12037" max="12037" width="36.5703125" style="384" customWidth="1"/>
    <col min="12038" max="12038" width="15" style="384" customWidth="1"/>
    <col min="12039" max="12039" width="12.7109375" style="384" customWidth="1"/>
    <col min="12040" max="12040" width="16" style="384" customWidth="1"/>
    <col min="12041" max="12041" width="20.42578125" style="384" bestFit="1" customWidth="1"/>
    <col min="12042" max="12042" width="17.28515625" style="384" customWidth="1"/>
    <col min="12043" max="12288" width="10.28515625" style="384"/>
    <col min="12289" max="12289" width="7.42578125" style="384" customWidth="1"/>
    <col min="12290" max="12290" width="3.5703125" style="384" customWidth="1"/>
    <col min="12291" max="12291" width="4.85546875" style="384" customWidth="1"/>
    <col min="12292" max="12292" width="13.5703125" style="384" customWidth="1"/>
    <col min="12293" max="12293" width="36.5703125" style="384" customWidth="1"/>
    <col min="12294" max="12294" width="15" style="384" customWidth="1"/>
    <col min="12295" max="12295" width="12.7109375" style="384" customWidth="1"/>
    <col min="12296" max="12296" width="16" style="384" customWidth="1"/>
    <col min="12297" max="12297" width="20.42578125" style="384" bestFit="1" customWidth="1"/>
    <col min="12298" max="12298" width="17.28515625" style="384" customWidth="1"/>
    <col min="12299" max="12544" width="10.28515625" style="384"/>
    <col min="12545" max="12545" width="7.42578125" style="384" customWidth="1"/>
    <col min="12546" max="12546" width="3.5703125" style="384" customWidth="1"/>
    <col min="12547" max="12547" width="4.85546875" style="384" customWidth="1"/>
    <col min="12548" max="12548" width="13.5703125" style="384" customWidth="1"/>
    <col min="12549" max="12549" width="36.5703125" style="384" customWidth="1"/>
    <col min="12550" max="12550" width="15" style="384" customWidth="1"/>
    <col min="12551" max="12551" width="12.7109375" style="384" customWidth="1"/>
    <col min="12552" max="12552" width="16" style="384" customWidth="1"/>
    <col min="12553" max="12553" width="20.42578125" style="384" bestFit="1" customWidth="1"/>
    <col min="12554" max="12554" width="17.28515625" style="384" customWidth="1"/>
    <col min="12555" max="12800" width="10.28515625" style="384"/>
    <col min="12801" max="12801" width="7.42578125" style="384" customWidth="1"/>
    <col min="12802" max="12802" width="3.5703125" style="384" customWidth="1"/>
    <col min="12803" max="12803" width="4.85546875" style="384" customWidth="1"/>
    <col min="12804" max="12804" width="13.5703125" style="384" customWidth="1"/>
    <col min="12805" max="12805" width="36.5703125" style="384" customWidth="1"/>
    <col min="12806" max="12806" width="15" style="384" customWidth="1"/>
    <col min="12807" max="12807" width="12.7109375" style="384" customWidth="1"/>
    <col min="12808" max="12808" width="16" style="384" customWidth="1"/>
    <col min="12809" max="12809" width="20.42578125" style="384" bestFit="1" customWidth="1"/>
    <col min="12810" max="12810" width="17.28515625" style="384" customWidth="1"/>
    <col min="12811" max="13056" width="10.28515625" style="384"/>
    <col min="13057" max="13057" width="7.42578125" style="384" customWidth="1"/>
    <col min="13058" max="13058" width="3.5703125" style="384" customWidth="1"/>
    <col min="13059" max="13059" width="4.85546875" style="384" customWidth="1"/>
    <col min="13060" max="13060" width="13.5703125" style="384" customWidth="1"/>
    <col min="13061" max="13061" width="36.5703125" style="384" customWidth="1"/>
    <col min="13062" max="13062" width="15" style="384" customWidth="1"/>
    <col min="13063" max="13063" width="12.7109375" style="384" customWidth="1"/>
    <col min="13064" max="13064" width="16" style="384" customWidth="1"/>
    <col min="13065" max="13065" width="20.42578125" style="384" bestFit="1" customWidth="1"/>
    <col min="13066" max="13066" width="17.28515625" style="384" customWidth="1"/>
    <col min="13067" max="13312" width="10.28515625" style="384"/>
    <col min="13313" max="13313" width="7.42578125" style="384" customWidth="1"/>
    <col min="13314" max="13314" width="3.5703125" style="384" customWidth="1"/>
    <col min="13315" max="13315" width="4.85546875" style="384" customWidth="1"/>
    <col min="13316" max="13316" width="13.5703125" style="384" customWidth="1"/>
    <col min="13317" max="13317" width="36.5703125" style="384" customWidth="1"/>
    <col min="13318" max="13318" width="15" style="384" customWidth="1"/>
    <col min="13319" max="13319" width="12.7109375" style="384" customWidth="1"/>
    <col min="13320" max="13320" width="16" style="384" customWidth="1"/>
    <col min="13321" max="13321" width="20.42578125" style="384" bestFit="1" customWidth="1"/>
    <col min="13322" max="13322" width="17.28515625" style="384" customWidth="1"/>
    <col min="13323" max="13568" width="10.28515625" style="384"/>
    <col min="13569" max="13569" width="7.42578125" style="384" customWidth="1"/>
    <col min="13570" max="13570" width="3.5703125" style="384" customWidth="1"/>
    <col min="13571" max="13571" width="4.85546875" style="384" customWidth="1"/>
    <col min="13572" max="13572" width="13.5703125" style="384" customWidth="1"/>
    <col min="13573" max="13573" width="36.5703125" style="384" customWidth="1"/>
    <col min="13574" max="13574" width="15" style="384" customWidth="1"/>
    <col min="13575" max="13575" width="12.7109375" style="384" customWidth="1"/>
    <col min="13576" max="13576" width="16" style="384" customWidth="1"/>
    <col min="13577" max="13577" width="20.42578125" style="384" bestFit="1" customWidth="1"/>
    <col min="13578" max="13578" width="17.28515625" style="384" customWidth="1"/>
    <col min="13579" max="13824" width="10.28515625" style="384"/>
    <col min="13825" max="13825" width="7.42578125" style="384" customWidth="1"/>
    <col min="13826" max="13826" width="3.5703125" style="384" customWidth="1"/>
    <col min="13827" max="13827" width="4.85546875" style="384" customWidth="1"/>
    <col min="13828" max="13828" width="13.5703125" style="384" customWidth="1"/>
    <col min="13829" max="13829" width="36.5703125" style="384" customWidth="1"/>
    <col min="13830" max="13830" width="15" style="384" customWidth="1"/>
    <col min="13831" max="13831" width="12.7109375" style="384" customWidth="1"/>
    <col min="13832" max="13832" width="16" style="384" customWidth="1"/>
    <col min="13833" max="13833" width="20.42578125" style="384" bestFit="1" customWidth="1"/>
    <col min="13834" max="13834" width="17.28515625" style="384" customWidth="1"/>
    <col min="13835" max="14080" width="10.28515625" style="384"/>
    <col min="14081" max="14081" width="7.42578125" style="384" customWidth="1"/>
    <col min="14082" max="14082" width="3.5703125" style="384" customWidth="1"/>
    <col min="14083" max="14083" width="4.85546875" style="384" customWidth="1"/>
    <col min="14084" max="14084" width="13.5703125" style="384" customWidth="1"/>
    <col min="14085" max="14085" width="36.5703125" style="384" customWidth="1"/>
    <col min="14086" max="14086" width="15" style="384" customWidth="1"/>
    <col min="14087" max="14087" width="12.7109375" style="384" customWidth="1"/>
    <col min="14088" max="14088" width="16" style="384" customWidth="1"/>
    <col min="14089" max="14089" width="20.42578125" style="384" bestFit="1" customWidth="1"/>
    <col min="14090" max="14090" width="17.28515625" style="384" customWidth="1"/>
    <col min="14091" max="14336" width="10.28515625" style="384"/>
    <col min="14337" max="14337" width="7.42578125" style="384" customWidth="1"/>
    <col min="14338" max="14338" width="3.5703125" style="384" customWidth="1"/>
    <col min="14339" max="14339" width="4.85546875" style="384" customWidth="1"/>
    <col min="14340" max="14340" width="13.5703125" style="384" customWidth="1"/>
    <col min="14341" max="14341" width="36.5703125" style="384" customWidth="1"/>
    <col min="14342" max="14342" width="15" style="384" customWidth="1"/>
    <col min="14343" max="14343" width="12.7109375" style="384" customWidth="1"/>
    <col min="14344" max="14344" width="16" style="384" customWidth="1"/>
    <col min="14345" max="14345" width="20.42578125" style="384" bestFit="1" customWidth="1"/>
    <col min="14346" max="14346" width="17.28515625" style="384" customWidth="1"/>
    <col min="14347" max="14592" width="10.28515625" style="384"/>
    <col min="14593" max="14593" width="7.42578125" style="384" customWidth="1"/>
    <col min="14594" max="14594" width="3.5703125" style="384" customWidth="1"/>
    <col min="14595" max="14595" width="4.85546875" style="384" customWidth="1"/>
    <col min="14596" max="14596" width="13.5703125" style="384" customWidth="1"/>
    <col min="14597" max="14597" width="36.5703125" style="384" customWidth="1"/>
    <col min="14598" max="14598" width="15" style="384" customWidth="1"/>
    <col min="14599" max="14599" width="12.7109375" style="384" customWidth="1"/>
    <col min="14600" max="14600" width="16" style="384" customWidth="1"/>
    <col min="14601" max="14601" width="20.42578125" style="384" bestFit="1" customWidth="1"/>
    <col min="14602" max="14602" width="17.28515625" style="384" customWidth="1"/>
    <col min="14603" max="14848" width="10.28515625" style="384"/>
    <col min="14849" max="14849" width="7.42578125" style="384" customWidth="1"/>
    <col min="14850" max="14850" width="3.5703125" style="384" customWidth="1"/>
    <col min="14851" max="14851" width="4.85546875" style="384" customWidth="1"/>
    <col min="14852" max="14852" width="13.5703125" style="384" customWidth="1"/>
    <col min="14853" max="14853" width="36.5703125" style="384" customWidth="1"/>
    <col min="14854" max="14854" width="15" style="384" customWidth="1"/>
    <col min="14855" max="14855" width="12.7109375" style="384" customWidth="1"/>
    <col min="14856" max="14856" width="16" style="384" customWidth="1"/>
    <col min="14857" max="14857" width="20.42578125" style="384" bestFit="1" customWidth="1"/>
    <col min="14858" max="14858" width="17.28515625" style="384" customWidth="1"/>
    <col min="14859" max="15104" width="10.28515625" style="384"/>
    <col min="15105" max="15105" width="7.42578125" style="384" customWidth="1"/>
    <col min="15106" max="15106" width="3.5703125" style="384" customWidth="1"/>
    <col min="15107" max="15107" width="4.85546875" style="384" customWidth="1"/>
    <col min="15108" max="15108" width="13.5703125" style="384" customWidth="1"/>
    <col min="15109" max="15109" width="36.5703125" style="384" customWidth="1"/>
    <col min="15110" max="15110" width="15" style="384" customWidth="1"/>
    <col min="15111" max="15111" width="12.7109375" style="384" customWidth="1"/>
    <col min="15112" max="15112" width="16" style="384" customWidth="1"/>
    <col min="15113" max="15113" width="20.42578125" style="384" bestFit="1" customWidth="1"/>
    <col min="15114" max="15114" width="17.28515625" style="384" customWidth="1"/>
    <col min="15115" max="15360" width="10.28515625" style="384"/>
    <col min="15361" max="15361" width="7.42578125" style="384" customWidth="1"/>
    <col min="15362" max="15362" width="3.5703125" style="384" customWidth="1"/>
    <col min="15363" max="15363" width="4.85546875" style="384" customWidth="1"/>
    <col min="15364" max="15364" width="13.5703125" style="384" customWidth="1"/>
    <col min="15365" max="15365" width="36.5703125" style="384" customWidth="1"/>
    <col min="15366" max="15366" width="15" style="384" customWidth="1"/>
    <col min="15367" max="15367" width="12.7109375" style="384" customWidth="1"/>
    <col min="15368" max="15368" width="16" style="384" customWidth="1"/>
    <col min="15369" max="15369" width="20.42578125" style="384" bestFit="1" customWidth="1"/>
    <col min="15370" max="15370" width="17.28515625" style="384" customWidth="1"/>
    <col min="15371" max="15616" width="10.28515625" style="384"/>
    <col min="15617" max="15617" width="7.42578125" style="384" customWidth="1"/>
    <col min="15618" max="15618" width="3.5703125" style="384" customWidth="1"/>
    <col min="15619" max="15619" width="4.85546875" style="384" customWidth="1"/>
    <col min="15620" max="15620" width="13.5703125" style="384" customWidth="1"/>
    <col min="15621" max="15621" width="36.5703125" style="384" customWidth="1"/>
    <col min="15622" max="15622" width="15" style="384" customWidth="1"/>
    <col min="15623" max="15623" width="12.7109375" style="384" customWidth="1"/>
    <col min="15624" max="15624" width="16" style="384" customWidth="1"/>
    <col min="15625" max="15625" width="20.42578125" style="384" bestFit="1" customWidth="1"/>
    <col min="15626" max="15626" width="17.28515625" style="384" customWidth="1"/>
    <col min="15627" max="15872" width="10.28515625" style="384"/>
    <col min="15873" max="15873" width="7.42578125" style="384" customWidth="1"/>
    <col min="15874" max="15874" width="3.5703125" style="384" customWidth="1"/>
    <col min="15875" max="15875" width="4.85546875" style="384" customWidth="1"/>
    <col min="15876" max="15876" width="13.5703125" style="384" customWidth="1"/>
    <col min="15877" max="15877" width="36.5703125" style="384" customWidth="1"/>
    <col min="15878" max="15878" width="15" style="384" customWidth="1"/>
    <col min="15879" max="15879" width="12.7109375" style="384" customWidth="1"/>
    <col min="15880" max="15880" width="16" style="384" customWidth="1"/>
    <col min="15881" max="15881" width="20.42578125" style="384" bestFit="1" customWidth="1"/>
    <col min="15882" max="15882" width="17.28515625" style="384" customWidth="1"/>
    <col min="15883" max="16128" width="10.28515625" style="384"/>
    <col min="16129" max="16129" width="7.42578125" style="384" customWidth="1"/>
    <col min="16130" max="16130" width="3.5703125" style="384" customWidth="1"/>
    <col min="16131" max="16131" width="4.85546875" style="384" customWidth="1"/>
    <col min="16132" max="16132" width="13.5703125" style="384" customWidth="1"/>
    <col min="16133" max="16133" width="36.5703125" style="384" customWidth="1"/>
    <col min="16134" max="16134" width="15" style="384" customWidth="1"/>
    <col min="16135" max="16135" width="12.7109375" style="384" customWidth="1"/>
    <col min="16136" max="16136" width="16" style="384" customWidth="1"/>
    <col min="16137" max="16137" width="20.42578125" style="384" bestFit="1" customWidth="1"/>
    <col min="16138" max="16138" width="17.28515625" style="384" customWidth="1"/>
    <col min="16139" max="16384" width="10.28515625" style="384"/>
  </cols>
  <sheetData>
    <row r="1" spans="1:20" ht="15.75">
      <c r="A1" s="818" t="s">
        <v>779</v>
      </c>
      <c r="G1" s="382"/>
      <c r="I1" s="1050" t="s">
        <v>521</v>
      </c>
      <c r="T1" s="383"/>
    </row>
    <row r="2" spans="1:20" ht="15">
      <c r="A2" s="818" t="s">
        <v>383</v>
      </c>
      <c r="I2" s="781" t="str">
        <f ca="1">MID(CELL("filename",$A$1),FIND("]",CELL("filename",$A$1))+1,LEN(CELL("filename",$A$1))-FIND("]",CELL("filename",$A$1)))</f>
        <v>WP_FCR</v>
      </c>
      <c r="T2" s="385"/>
    </row>
    <row r="3" spans="1:20" ht="12.75">
      <c r="A3" s="818" t="s">
        <v>224</v>
      </c>
    </row>
    <row r="4" spans="1:20" ht="12.75">
      <c r="A4" s="818" t="s">
        <v>1582</v>
      </c>
    </row>
    <row r="5" spans="1:20">
      <c r="F5" s="1052"/>
    </row>
    <row r="6" spans="1:20">
      <c r="A6" s="1053" t="s">
        <v>868</v>
      </c>
      <c r="E6" s="1052"/>
      <c r="F6" s="1053" t="s">
        <v>1386</v>
      </c>
      <c r="G6" s="1052"/>
      <c r="H6" s="1053" t="s">
        <v>870</v>
      </c>
    </row>
    <row r="7" spans="1:20">
      <c r="A7" s="1052"/>
      <c r="F7" s="1052"/>
      <c r="H7" s="1052"/>
    </row>
    <row r="8" spans="1:20" ht="12.75">
      <c r="A8" s="1054">
        <v>1</v>
      </c>
      <c r="B8" s="384" t="s">
        <v>225</v>
      </c>
      <c r="F8" s="1055">
        <f>H63</f>
        <v>3.2432319483791071E-2</v>
      </c>
      <c r="G8" s="1056"/>
      <c r="H8" s="384" t="str">
        <f>"Line "&amp;A63</f>
        <v>Line 56</v>
      </c>
    </row>
    <row r="9" spans="1:20" ht="12.75">
      <c r="A9" s="1054">
        <f>A8+1</f>
        <v>2</v>
      </c>
      <c r="F9" s="1057"/>
    </row>
    <row r="10" spans="1:20" ht="12.75">
      <c r="A10" s="1054">
        <f t="shared" ref="A10:A73" si="0">A9+1</f>
        <v>3</v>
      </c>
      <c r="B10" s="384" t="s">
        <v>226</v>
      </c>
      <c r="F10" s="1055">
        <f>H76</f>
        <v>9.7020209333728898E-3</v>
      </c>
      <c r="H10" s="384" t="str">
        <f>"Line "&amp;A76</f>
        <v>Line 69</v>
      </c>
    </row>
    <row r="11" spans="1:20" ht="12.75">
      <c r="A11" s="1054">
        <f t="shared" si="0"/>
        <v>4</v>
      </c>
      <c r="F11" s="1057"/>
    </row>
    <row r="12" spans="1:20" ht="12.75">
      <c r="A12" s="1054">
        <f t="shared" si="0"/>
        <v>5</v>
      </c>
      <c r="B12" s="384" t="s">
        <v>227</v>
      </c>
      <c r="F12" s="1055">
        <f>H90</f>
        <v>1.4763584946463985E-2</v>
      </c>
      <c r="H12" s="384" t="str">
        <f>"Line "&amp;A90</f>
        <v>Line 83</v>
      </c>
    </row>
    <row r="13" spans="1:20" ht="12.75">
      <c r="A13" s="1054">
        <f t="shared" si="0"/>
        <v>6</v>
      </c>
      <c r="F13" s="1057"/>
    </row>
    <row r="14" spans="1:20" ht="12.75">
      <c r="A14" s="1054">
        <f t="shared" si="0"/>
        <v>7</v>
      </c>
      <c r="B14" s="484" t="s">
        <v>591</v>
      </c>
      <c r="C14" s="484"/>
      <c r="D14" s="484"/>
      <c r="E14" s="484"/>
      <c r="F14" s="1058">
        <f>H139</f>
        <v>7.3899999999999993E-2</v>
      </c>
      <c r="G14" s="484"/>
      <c r="H14" s="484" t="str">
        <f>"Line "&amp;A139</f>
        <v>Line 132</v>
      </c>
    </row>
    <row r="15" spans="1:20" ht="12.75">
      <c r="A15" s="1054">
        <f t="shared" si="0"/>
        <v>8</v>
      </c>
      <c r="B15" s="484"/>
      <c r="C15" s="484"/>
      <c r="D15" s="484"/>
      <c r="E15" s="484"/>
      <c r="F15" s="1059"/>
      <c r="G15" s="484"/>
      <c r="H15" s="484"/>
    </row>
    <row r="16" spans="1:20" ht="12.75">
      <c r="A16" s="1054">
        <f t="shared" si="0"/>
        <v>9</v>
      </c>
      <c r="B16" s="484" t="s">
        <v>592</v>
      </c>
      <c r="C16" s="484"/>
      <c r="D16" s="484"/>
      <c r="E16" s="484"/>
      <c r="F16" s="1058">
        <f>H154</f>
        <v>7.6907808227065033E-4</v>
      </c>
      <c r="G16" s="484"/>
      <c r="H16" s="484" t="str">
        <f>"Line "&amp;A154</f>
        <v>Line 147</v>
      </c>
    </row>
    <row r="17" spans="1:20" ht="12.75">
      <c r="A17" s="1054">
        <f t="shared" si="0"/>
        <v>10</v>
      </c>
      <c r="F17" s="1057"/>
    </row>
    <row r="18" spans="1:20" ht="12.75">
      <c r="A18" s="1054">
        <f t="shared" si="0"/>
        <v>11</v>
      </c>
      <c r="B18" s="384" t="s">
        <v>650</v>
      </c>
      <c r="F18" s="1055">
        <f>H158</f>
        <v>2.695872351987216E-2</v>
      </c>
      <c r="H18" s="384" t="str">
        <f>"Line "&amp;A158</f>
        <v>Line 151</v>
      </c>
    </row>
    <row r="19" spans="1:20" ht="12.75">
      <c r="A19" s="1054">
        <f t="shared" si="0"/>
        <v>12</v>
      </c>
      <c r="F19" s="1060"/>
      <c r="G19" s="1056"/>
    </row>
    <row r="20" spans="1:20" ht="12.75">
      <c r="A20" s="1054">
        <f t="shared" si="0"/>
        <v>13</v>
      </c>
      <c r="B20" s="384" t="s">
        <v>1293</v>
      </c>
      <c r="F20" s="1055">
        <f>H179</f>
        <v>2.9423388044541527E-3</v>
      </c>
      <c r="H20" s="384" t="str">
        <f>"Line "&amp;A179</f>
        <v>Line 172</v>
      </c>
    </row>
    <row r="21" spans="1:20" ht="12.75">
      <c r="A21" s="1054">
        <f t="shared" si="0"/>
        <v>14</v>
      </c>
      <c r="F21" s="1057"/>
    </row>
    <row r="22" spans="1:20" ht="12.75">
      <c r="A22" s="1054">
        <f t="shared" si="0"/>
        <v>15</v>
      </c>
      <c r="B22" s="384" t="s">
        <v>651</v>
      </c>
      <c r="F22" s="1055">
        <v>0</v>
      </c>
      <c r="G22" s="1061"/>
      <c r="H22" s="1062" t="str">
        <f>"Line "&amp;A185</f>
        <v>Line 178</v>
      </c>
    </row>
    <row r="23" spans="1:20" ht="12.75">
      <c r="A23" s="1054">
        <f t="shared" si="0"/>
        <v>16</v>
      </c>
      <c r="F23" s="1057"/>
    </row>
    <row r="24" spans="1:20" ht="12.75">
      <c r="A24" s="1054">
        <f t="shared" si="0"/>
        <v>17</v>
      </c>
      <c r="B24" s="384" t="s">
        <v>400</v>
      </c>
      <c r="F24" s="1055">
        <f>H206</f>
        <v>-1.6534150568392404E-2</v>
      </c>
      <c r="G24" s="386"/>
      <c r="H24" s="384" t="str">
        <f>"Line "&amp;A206</f>
        <v>Line 199</v>
      </c>
    </row>
    <row r="25" spans="1:20" ht="12.75">
      <c r="A25" s="1054">
        <f t="shared" si="0"/>
        <v>18</v>
      </c>
      <c r="F25" s="1055"/>
    </row>
    <row r="26" spans="1:20" ht="13.5" thickBot="1">
      <c r="A26" s="1054">
        <f t="shared" si="0"/>
        <v>19</v>
      </c>
      <c r="B26" s="384" t="s">
        <v>337</v>
      </c>
      <c r="F26" s="1063">
        <f>H219</f>
        <v>2.5199257914360008E-4</v>
      </c>
      <c r="H26" s="1062" t="str">
        <f>"Line "&amp;A219</f>
        <v>Line 212</v>
      </c>
    </row>
    <row r="27" spans="1:20" ht="13.5" thickBot="1">
      <c r="A27" s="1054">
        <f t="shared" si="0"/>
        <v>20</v>
      </c>
      <c r="E27" s="1052" t="s">
        <v>228</v>
      </c>
      <c r="F27" s="1064"/>
      <c r="G27" s="1052"/>
    </row>
    <row r="28" spans="1:20" ht="13.5" thickBot="1">
      <c r="A28" s="1054">
        <f t="shared" si="0"/>
        <v>21</v>
      </c>
      <c r="B28" s="387" t="s">
        <v>229</v>
      </c>
      <c r="E28" s="1052"/>
      <c r="F28" s="1065">
        <f>ROUND(SUM(F8:F26),5)</f>
        <v>0.14519000000000001</v>
      </c>
      <c r="G28" s="1052"/>
    </row>
    <row r="29" spans="1:20">
      <c r="A29" s="1054">
        <f t="shared" si="0"/>
        <v>22</v>
      </c>
      <c r="F29" s="1052"/>
    </row>
    <row r="30" spans="1:20">
      <c r="A30" s="1054">
        <f t="shared" si="0"/>
        <v>23</v>
      </c>
      <c r="B30" s="484" t="s">
        <v>1778</v>
      </c>
      <c r="C30" s="484"/>
      <c r="D30" s="484"/>
      <c r="E30" s="484"/>
      <c r="F30" s="484"/>
      <c r="G30" s="484"/>
      <c r="T30" s="1066"/>
    </row>
    <row r="31" spans="1:20">
      <c r="A31" s="1054">
        <f t="shared" si="0"/>
        <v>24</v>
      </c>
      <c r="H31" s="484"/>
      <c r="I31" s="491"/>
      <c r="J31" s="485"/>
      <c r="K31" s="485"/>
      <c r="L31" s="485"/>
      <c r="M31" s="1052"/>
      <c r="T31" s="1052"/>
    </row>
    <row r="32" spans="1:20">
      <c r="A32" s="1054">
        <f t="shared" si="0"/>
        <v>25</v>
      </c>
      <c r="B32" s="1067" t="s">
        <v>798</v>
      </c>
      <c r="C32" s="387" t="s">
        <v>230</v>
      </c>
      <c r="F32" s="1068" t="s">
        <v>870</v>
      </c>
      <c r="H32" s="887" t="s">
        <v>231</v>
      </c>
      <c r="I32" s="1069"/>
      <c r="J32" s="485"/>
      <c r="K32" s="485"/>
      <c r="L32" s="485"/>
      <c r="M32" s="1052"/>
      <c r="S32" s="1051"/>
      <c r="T32" s="1052"/>
    </row>
    <row r="33" spans="1:13">
      <c r="A33" s="1054">
        <f t="shared" si="0"/>
        <v>26</v>
      </c>
      <c r="F33" s="1052"/>
      <c r="H33" s="485"/>
      <c r="I33" s="491"/>
      <c r="J33" s="485"/>
      <c r="K33" s="485"/>
      <c r="L33" s="485"/>
      <c r="M33" s="1052"/>
    </row>
    <row r="34" spans="1:13">
      <c r="A34" s="1054">
        <f t="shared" si="0"/>
        <v>27</v>
      </c>
      <c r="D34" s="384" t="s">
        <v>232</v>
      </c>
      <c r="F34" s="1070" t="s">
        <v>240</v>
      </c>
      <c r="G34" s="1052"/>
      <c r="H34" s="749">
        <v>1421215191</v>
      </c>
      <c r="I34" s="491"/>
      <c r="J34" s="389"/>
      <c r="K34" s="485"/>
      <c r="L34" s="485"/>
      <c r="M34" s="1052"/>
    </row>
    <row r="35" spans="1:13">
      <c r="A35" s="1054">
        <f t="shared" si="0"/>
        <v>28</v>
      </c>
      <c r="E35" s="1071"/>
      <c r="H35" s="485"/>
      <c r="I35" s="491"/>
      <c r="J35" s="485"/>
      <c r="K35" s="485"/>
      <c r="L35" s="485"/>
      <c r="M35" s="1052"/>
    </row>
    <row r="36" spans="1:13">
      <c r="A36" s="1054">
        <f t="shared" si="0"/>
        <v>29</v>
      </c>
      <c r="H36" s="1072"/>
      <c r="I36" s="491"/>
      <c r="J36" s="388"/>
      <c r="K36" s="485"/>
      <c r="L36" s="485"/>
      <c r="M36" s="1052"/>
    </row>
    <row r="37" spans="1:13">
      <c r="A37" s="1054">
        <f t="shared" si="0"/>
        <v>30</v>
      </c>
      <c r="D37" s="384" t="s">
        <v>242</v>
      </c>
      <c r="F37" s="384" t="s">
        <v>241</v>
      </c>
      <c r="H37" s="749">
        <v>679423313</v>
      </c>
      <c r="I37" s="491"/>
      <c r="J37" s="1073"/>
      <c r="K37" s="485"/>
      <c r="L37" s="485"/>
      <c r="M37" s="1052"/>
    </row>
    <row r="38" spans="1:13">
      <c r="A38" s="1054">
        <f t="shared" si="0"/>
        <v>31</v>
      </c>
      <c r="D38" s="878"/>
      <c r="E38" s="1071"/>
      <c r="G38" s="1052"/>
      <c r="I38" s="485"/>
      <c r="J38" s="389"/>
      <c r="K38" s="485"/>
      <c r="L38" s="485"/>
      <c r="M38" s="1052"/>
    </row>
    <row r="39" spans="1:13">
      <c r="A39" s="1054">
        <f t="shared" si="0"/>
        <v>32</v>
      </c>
      <c r="H39" s="484"/>
      <c r="I39" s="491"/>
      <c r="J39" s="485"/>
      <c r="K39" s="485"/>
      <c r="L39" s="485"/>
      <c r="M39" s="1052"/>
    </row>
    <row r="40" spans="1:13">
      <c r="A40" s="1054">
        <f t="shared" si="0"/>
        <v>33</v>
      </c>
      <c r="D40" s="384" t="s">
        <v>233</v>
      </c>
      <c r="H40" s="485"/>
      <c r="I40" s="491"/>
      <c r="J40" s="485"/>
      <c r="K40" s="485"/>
      <c r="L40" s="485"/>
      <c r="M40" s="1052"/>
    </row>
    <row r="41" spans="1:13">
      <c r="A41" s="1054">
        <f t="shared" si="0"/>
        <v>34</v>
      </c>
      <c r="D41" s="1074" t="s">
        <v>243</v>
      </c>
      <c r="F41" s="1070" t="s">
        <v>255</v>
      </c>
      <c r="G41" s="1052"/>
      <c r="H41" s="749">
        <v>297407238</v>
      </c>
      <c r="I41" s="485"/>
      <c r="J41" s="389"/>
      <c r="K41" s="485"/>
      <c r="L41" s="485"/>
      <c r="M41" s="1052"/>
    </row>
    <row r="42" spans="1:13">
      <c r="A42" s="1054">
        <f t="shared" si="0"/>
        <v>35</v>
      </c>
      <c r="D42" s="1074" t="s">
        <v>244</v>
      </c>
      <c r="F42" s="1070" t="s">
        <v>261</v>
      </c>
      <c r="G42" s="1052"/>
      <c r="H42" s="749"/>
      <c r="I42" s="485"/>
      <c r="J42" s="485"/>
      <c r="K42" s="485"/>
      <c r="L42" s="485"/>
      <c r="M42" s="1052"/>
    </row>
    <row r="43" spans="1:13">
      <c r="A43" s="1054">
        <f t="shared" si="0"/>
        <v>36</v>
      </c>
      <c r="D43" s="1074" t="s">
        <v>245</v>
      </c>
      <c r="F43" s="1070" t="s">
        <v>262</v>
      </c>
      <c r="G43" s="1052"/>
      <c r="H43" s="749"/>
      <c r="I43" s="485"/>
      <c r="J43" s="485"/>
      <c r="K43" s="485"/>
      <c r="L43" s="485"/>
      <c r="M43" s="1052"/>
    </row>
    <row r="44" spans="1:13">
      <c r="A44" s="1054">
        <f t="shared" si="0"/>
        <v>37</v>
      </c>
      <c r="D44" s="1075" t="s">
        <v>260</v>
      </c>
      <c r="E44" s="384" t="s">
        <v>793</v>
      </c>
      <c r="F44" s="875" t="s">
        <v>802</v>
      </c>
      <c r="G44" s="1052" t="s">
        <v>793</v>
      </c>
      <c r="H44" s="749">
        <v>0</v>
      </c>
      <c r="I44" s="485"/>
      <c r="J44" s="485"/>
      <c r="K44" s="485"/>
      <c r="L44" s="485"/>
      <c r="M44" s="1052"/>
    </row>
    <row r="45" spans="1:13">
      <c r="A45" s="1054">
        <f t="shared" si="0"/>
        <v>38</v>
      </c>
      <c r="D45" s="1074" t="s">
        <v>246</v>
      </c>
      <c r="F45" s="1070" t="s">
        <v>256</v>
      </c>
      <c r="G45" s="1052"/>
      <c r="H45" s="749">
        <v>3622809</v>
      </c>
      <c r="I45" s="485"/>
      <c r="J45" s="389"/>
      <c r="K45" s="485"/>
      <c r="L45" s="485"/>
      <c r="M45" s="1052"/>
    </row>
    <row r="46" spans="1:13">
      <c r="A46" s="1054">
        <f t="shared" si="0"/>
        <v>39</v>
      </c>
      <c r="D46" s="1074" t="s">
        <v>247</v>
      </c>
      <c r="F46" s="1070" t="s">
        <v>257</v>
      </c>
      <c r="G46" s="1052"/>
      <c r="H46" s="749">
        <v>29620546</v>
      </c>
      <c r="I46" s="485"/>
      <c r="J46" s="389"/>
      <c r="K46" s="485"/>
      <c r="L46" s="485"/>
      <c r="M46" s="1052"/>
    </row>
    <row r="47" spans="1:13">
      <c r="A47" s="1054">
        <f t="shared" si="0"/>
        <v>40</v>
      </c>
      <c r="D47" s="1074" t="s">
        <v>248</v>
      </c>
      <c r="F47" s="1070" t="s">
        <v>258</v>
      </c>
      <c r="G47" s="1052"/>
      <c r="H47" s="749">
        <v>11993090</v>
      </c>
      <c r="I47" s="485"/>
      <c r="J47" s="389"/>
      <c r="K47" s="485"/>
      <c r="L47" s="485"/>
      <c r="M47" s="1052"/>
    </row>
    <row r="48" spans="1:13">
      <c r="A48" s="1054">
        <f t="shared" si="0"/>
        <v>41</v>
      </c>
      <c r="D48" s="1074" t="s">
        <v>249</v>
      </c>
      <c r="F48" s="1070" t="s">
        <v>263</v>
      </c>
      <c r="G48" s="1052"/>
      <c r="H48" s="749"/>
      <c r="I48" s="485"/>
      <c r="J48" s="485"/>
      <c r="K48" s="485"/>
      <c r="L48" s="485"/>
      <c r="M48" s="1052"/>
    </row>
    <row r="49" spans="1:13">
      <c r="A49" s="1054">
        <f t="shared" si="0"/>
        <v>42</v>
      </c>
      <c r="D49" s="1074" t="s">
        <v>250</v>
      </c>
      <c r="F49" s="1070" t="s">
        <v>264</v>
      </c>
      <c r="G49" s="1052"/>
      <c r="H49" s="749"/>
      <c r="I49" s="485"/>
      <c r="J49" s="485"/>
      <c r="K49" s="485"/>
      <c r="L49" s="485"/>
      <c r="M49" s="1052"/>
    </row>
    <row r="50" spans="1:13">
      <c r="A50" s="1054">
        <f t="shared" si="0"/>
        <v>43</v>
      </c>
      <c r="D50" s="1074" t="s">
        <v>251</v>
      </c>
      <c r="F50" s="1070" t="s">
        <v>265</v>
      </c>
      <c r="G50" s="1052"/>
      <c r="H50" s="749"/>
      <c r="I50" s="485"/>
      <c r="J50" s="485"/>
      <c r="K50" s="485"/>
      <c r="L50" s="485"/>
      <c r="M50" s="1052"/>
    </row>
    <row r="51" spans="1:13">
      <c r="A51" s="1054">
        <f t="shared" si="0"/>
        <v>44</v>
      </c>
      <c r="D51" s="1074" t="s">
        <v>252</v>
      </c>
      <c r="F51" s="1070" t="s">
        <v>266</v>
      </c>
      <c r="G51" s="1052"/>
      <c r="H51" s="749"/>
      <c r="I51" s="485"/>
      <c r="J51" s="485"/>
      <c r="K51" s="485"/>
      <c r="L51" s="485"/>
      <c r="M51" s="1052"/>
    </row>
    <row r="52" spans="1:13">
      <c r="A52" s="1054">
        <f t="shared" si="0"/>
        <v>45</v>
      </c>
      <c r="D52" s="1074" t="s">
        <v>253</v>
      </c>
      <c r="F52" s="875" t="s">
        <v>208</v>
      </c>
      <c r="G52" s="1052"/>
      <c r="H52" s="749">
        <v>477064</v>
      </c>
      <c r="I52" s="485"/>
      <c r="J52" s="389"/>
      <c r="K52" s="485"/>
      <c r="L52" s="485"/>
      <c r="M52" s="1052"/>
    </row>
    <row r="53" spans="1:13">
      <c r="A53" s="1054">
        <f t="shared" si="0"/>
        <v>46</v>
      </c>
      <c r="D53" s="1074" t="s">
        <v>254</v>
      </c>
      <c r="F53" s="1070" t="s">
        <v>259</v>
      </c>
      <c r="G53" s="1052"/>
      <c r="H53" s="750">
        <v>219757555</v>
      </c>
      <c r="I53" s="485"/>
      <c r="J53" s="389"/>
      <c r="K53" s="485"/>
      <c r="L53" s="485"/>
      <c r="M53" s="1052"/>
    </row>
    <row r="54" spans="1:13">
      <c r="A54" s="1054">
        <f t="shared" si="0"/>
        <v>47</v>
      </c>
      <c r="D54" s="484" t="s">
        <v>234</v>
      </c>
      <c r="F54" s="384" t="str">
        <f>"Sum Line "&amp;A41&amp;" - Line "&amp;A53</f>
        <v>Sum Line 34 - Line 46</v>
      </c>
      <c r="H54" s="389">
        <f>SUM(H41:H53)</f>
        <v>562878302</v>
      </c>
      <c r="I54" s="491"/>
      <c r="J54" s="389"/>
      <c r="K54" s="485"/>
      <c r="L54" s="485"/>
      <c r="M54" s="1052"/>
    </row>
    <row r="55" spans="1:13">
      <c r="A55" s="1054">
        <f t="shared" si="0"/>
        <v>48</v>
      </c>
      <c r="H55" s="485"/>
      <c r="I55" s="491"/>
      <c r="J55" s="485"/>
      <c r="K55" s="485"/>
      <c r="L55" s="485"/>
      <c r="M55" s="1052"/>
    </row>
    <row r="56" spans="1:13">
      <c r="A56" s="1054">
        <f t="shared" si="0"/>
        <v>49</v>
      </c>
      <c r="D56" s="384" t="s">
        <v>1274</v>
      </c>
      <c r="H56" s="485"/>
      <c r="I56" s="491"/>
      <c r="J56" s="485"/>
      <c r="K56" s="485"/>
      <c r="L56" s="485"/>
      <c r="M56" s="1052"/>
    </row>
    <row r="57" spans="1:13">
      <c r="A57" s="1054">
        <f t="shared" si="0"/>
        <v>50</v>
      </c>
      <c r="D57" s="878" t="s">
        <v>267</v>
      </c>
      <c r="E57" s="1071"/>
      <c r="F57" s="1070" t="s">
        <v>269</v>
      </c>
      <c r="G57" s="1052"/>
      <c r="H57" s="749">
        <v>5396253138.8100014</v>
      </c>
      <c r="I57" s="485"/>
      <c r="J57" s="389"/>
      <c r="K57" s="485"/>
      <c r="L57" s="485"/>
      <c r="M57" s="1052"/>
    </row>
    <row r="58" spans="1:13">
      <c r="A58" s="1054">
        <f t="shared" si="0"/>
        <v>51</v>
      </c>
      <c r="D58" s="878" t="s">
        <v>1276</v>
      </c>
      <c r="E58" s="1071"/>
      <c r="F58" s="1070" t="s">
        <v>1275</v>
      </c>
      <c r="G58" s="1052"/>
      <c r="H58" s="1186">
        <v>62428282.600000001</v>
      </c>
      <c r="I58" s="485"/>
      <c r="J58" s="389"/>
      <c r="K58" s="485"/>
      <c r="L58" s="485"/>
      <c r="M58" s="1052"/>
    </row>
    <row r="59" spans="1:13">
      <c r="A59" s="1054">
        <f t="shared" si="0"/>
        <v>52</v>
      </c>
      <c r="D59" s="878" t="s">
        <v>268</v>
      </c>
      <c r="E59" s="1071"/>
      <c r="F59" s="384" t="s">
        <v>1838</v>
      </c>
      <c r="G59" s="1052"/>
      <c r="H59" s="491">
        <f>+'Schedule 2'!H20</f>
        <v>57839717</v>
      </c>
      <c r="I59" s="485"/>
      <c r="J59" s="389"/>
      <c r="K59" s="485"/>
      <c r="L59" s="485"/>
      <c r="M59" s="1052"/>
    </row>
    <row r="60" spans="1:13">
      <c r="A60" s="1076">
        <f t="shared" si="0"/>
        <v>53</v>
      </c>
      <c r="B60" s="484"/>
      <c r="C60" s="484"/>
      <c r="D60" s="1077"/>
      <c r="E60" s="1078"/>
      <c r="F60" s="484"/>
      <c r="G60" s="485"/>
      <c r="H60" s="716"/>
      <c r="I60" s="485"/>
      <c r="J60" s="389"/>
      <c r="K60" s="485"/>
      <c r="L60" s="485"/>
      <c r="M60" s="1052"/>
    </row>
    <row r="61" spans="1:13">
      <c r="A61" s="1054">
        <f t="shared" si="0"/>
        <v>54</v>
      </c>
      <c r="D61" s="1070" t="s">
        <v>1287</v>
      </c>
      <c r="E61" s="1071"/>
      <c r="F61" s="384" t="str">
        <f>"Sum Line "&amp;A57&amp;" - Line "&amp;A59</f>
        <v>Sum Line 50 - Line 52</v>
      </c>
      <c r="G61" s="1052"/>
      <c r="H61" s="491">
        <f>SUM(H57:H60)</f>
        <v>5516521138.4100018</v>
      </c>
      <c r="I61" s="485"/>
      <c r="J61" s="389"/>
      <c r="K61" s="485"/>
      <c r="L61" s="485"/>
      <c r="M61" s="1052"/>
    </row>
    <row r="62" spans="1:13">
      <c r="A62" s="1054">
        <f t="shared" si="0"/>
        <v>55</v>
      </c>
      <c r="D62" s="1070"/>
      <c r="E62" s="1071"/>
      <c r="G62" s="1052"/>
      <c r="H62" s="491"/>
      <c r="I62" s="485"/>
      <c r="J62" s="389"/>
      <c r="K62" s="485"/>
      <c r="L62" s="485"/>
      <c r="M62" s="1052"/>
    </row>
    <row r="63" spans="1:13">
      <c r="A63" s="1054">
        <f t="shared" si="0"/>
        <v>56</v>
      </c>
      <c r="D63" s="1079" t="s">
        <v>276</v>
      </c>
      <c r="E63" s="1079"/>
      <c r="F63" s="1079" t="s">
        <v>1273</v>
      </c>
      <c r="G63" s="1079"/>
      <c r="H63" s="390">
        <f>(H34-H37-H54)/H61</f>
        <v>3.2432319483791071E-2</v>
      </c>
      <c r="I63" s="716"/>
      <c r="J63" s="391"/>
      <c r="K63" s="485"/>
      <c r="L63" s="485"/>
      <c r="M63" s="1052"/>
    </row>
    <row r="64" spans="1:13">
      <c r="A64" s="1054">
        <f t="shared" si="0"/>
        <v>57</v>
      </c>
      <c r="D64" s="1052"/>
      <c r="E64" s="1052"/>
      <c r="F64" s="1052"/>
      <c r="G64" s="1052"/>
      <c r="H64" s="485"/>
      <c r="I64" s="491"/>
      <c r="J64" s="485"/>
      <c r="K64" s="485"/>
      <c r="L64" s="485"/>
      <c r="M64" s="1052"/>
    </row>
    <row r="65" spans="1:12">
      <c r="A65" s="1054">
        <f t="shared" si="0"/>
        <v>58</v>
      </c>
      <c r="B65" s="1067" t="s">
        <v>799</v>
      </c>
      <c r="C65" s="387" t="s">
        <v>236</v>
      </c>
      <c r="H65" s="484"/>
      <c r="I65" s="1080"/>
      <c r="J65" s="485"/>
      <c r="K65" s="1052"/>
      <c r="L65" s="1052"/>
    </row>
    <row r="66" spans="1:12">
      <c r="A66" s="1054">
        <f t="shared" si="0"/>
        <v>59</v>
      </c>
      <c r="H66" s="484"/>
      <c r="I66" s="1080"/>
      <c r="J66" s="484"/>
    </row>
    <row r="67" spans="1:12">
      <c r="A67" s="1054">
        <f t="shared" si="0"/>
        <v>60</v>
      </c>
      <c r="D67" s="384" t="s">
        <v>272</v>
      </c>
      <c r="E67" s="1071"/>
      <c r="F67" s="1070" t="s">
        <v>270</v>
      </c>
      <c r="G67" s="1052"/>
      <c r="H67" s="749">
        <v>128441985</v>
      </c>
      <c r="I67" s="485"/>
      <c r="J67" s="484"/>
    </row>
    <row r="68" spans="1:12">
      <c r="A68" s="1054">
        <f t="shared" si="0"/>
        <v>61</v>
      </c>
      <c r="H68" s="491"/>
      <c r="I68" s="484"/>
      <c r="J68" s="484"/>
    </row>
    <row r="69" spans="1:12">
      <c r="A69" s="1054">
        <f t="shared" si="0"/>
        <v>62</v>
      </c>
      <c r="D69" s="384" t="s">
        <v>273</v>
      </c>
      <c r="E69" s="1071"/>
      <c r="F69" s="1070"/>
      <c r="G69" s="1052"/>
      <c r="I69" s="485"/>
      <c r="J69" s="484"/>
    </row>
    <row r="70" spans="1:12">
      <c r="A70" s="1054">
        <f t="shared" si="0"/>
        <v>63</v>
      </c>
      <c r="D70" s="1081" t="s">
        <v>1277</v>
      </c>
      <c r="E70" s="1078"/>
      <c r="F70" s="875" t="s">
        <v>1279</v>
      </c>
      <c r="G70" s="485"/>
      <c r="H70" s="749">
        <v>12401986380</v>
      </c>
      <c r="I70" s="1082"/>
      <c r="J70" s="484"/>
    </row>
    <row r="71" spans="1:12" ht="25.5" customHeight="1">
      <c r="A71" s="1083">
        <f t="shared" si="0"/>
        <v>64</v>
      </c>
      <c r="B71" s="1084"/>
      <c r="C71" s="1084"/>
      <c r="D71" s="1085" t="s">
        <v>1278</v>
      </c>
      <c r="E71" s="1078"/>
      <c r="F71" s="1250" t="s">
        <v>1332</v>
      </c>
      <c r="G71" s="1251"/>
      <c r="H71" s="751">
        <v>63306589.63769231</v>
      </c>
      <c r="I71" s="1082"/>
      <c r="J71" s="484"/>
    </row>
    <row r="72" spans="1:12">
      <c r="A72" s="1054">
        <f t="shared" si="0"/>
        <v>65</v>
      </c>
      <c r="D72" s="878" t="s">
        <v>271</v>
      </c>
      <c r="E72" s="1071"/>
      <c r="F72" s="1070" t="s">
        <v>274</v>
      </c>
      <c r="G72" s="1052"/>
      <c r="H72" s="749">
        <v>547833465</v>
      </c>
      <c r="I72" s="485"/>
      <c r="J72" s="484"/>
    </row>
    <row r="73" spans="1:12">
      <c r="A73" s="1076">
        <f t="shared" si="0"/>
        <v>66</v>
      </c>
      <c r="B73" s="484"/>
      <c r="C73" s="484"/>
      <c r="D73" s="1081" t="s">
        <v>1280</v>
      </c>
      <c r="E73" s="1078"/>
      <c r="F73" s="875" t="s">
        <v>1839</v>
      </c>
      <c r="G73" s="485"/>
      <c r="H73" s="642">
        <f>'WP_B-4'!F25</f>
        <v>225557122.32999995</v>
      </c>
      <c r="I73" s="485"/>
      <c r="J73" s="484"/>
    </row>
    <row r="74" spans="1:12">
      <c r="A74" s="1054">
        <f t="shared" ref="A74:A137" si="1">A73+1</f>
        <v>67</v>
      </c>
      <c r="D74" s="384" t="s">
        <v>1400</v>
      </c>
      <c r="F74" s="384" t="str">
        <f>"Sum Line "&amp;A70&amp;" - Line "&amp;A73</f>
        <v>Sum Line 63 - Line 66</v>
      </c>
      <c r="H74" s="1086">
        <f>SUM(H70:H73)</f>
        <v>13238683556.967691</v>
      </c>
      <c r="I74" s="1080"/>
      <c r="J74" s="484"/>
    </row>
    <row r="75" spans="1:12">
      <c r="A75" s="1054">
        <f t="shared" si="1"/>
        <v>68</v>
      </c>
      <c r="H75" s="485"/>
      <c r="I75" s="1080"/>
      <c r="J75" s="484"/>
    </row>
    <row r="76" spans="1:12">
      <c r="A76" s="1054">
        <f t="shared" si="1"/>
        <v>69</v>
      </c>
      <c r="B76" s="1052"/>
      <c r="C76" s="1052"/>
      <c r="D76" s="1079" t="s">
        <v>277</v>
      </c>
      <c r="E76" s="1079"/>
      <c r="F76" s="1079" t="s">
        <v>275</v>
      </c>
      <c r="G76" s="1079"/>
      <c r="H76" s="390">
        <f>(H67/H74)</f>
        <v>9.7020209333728898E-3</v>
      </c>
      <c r="I76" s="1087"/>
      <c r="J76" s="485"/>
    </row>
    <row r="77" spans="1:12">
      <c r="A77" s="1054">
        <f t="shared" si="1"/>
        <v>70</v>
      </c>
      <c r="B77" s="1052"/>
      <c r="C77" s="1052"/>
      <c r="D77" s="1052"/>
      <c r="E77" s="1052"/>
      <c r="F77" s="1052"/>
      <c r="G77" s="1052"/>
      <c r="H77" s="485"/>
      <c r="I77" s="491"/>
      <c r="J77" s="485"/>
      <c r="K77" s="1052"/>
      <c r="L77" s="1052"/>
    </row>
    <row r="78" spans="1:12">
      <c r="A78" s="1054">
        <f t="shared" si="1"/>
        <v>71</v>
      </c>
      <c r="B78" s="1067" t="s">
        <v>800</v>
      </c>
      <c r="C78" s="387" t="s">
        <v>237</v>
      </c>
      <c r="H78" s="484"/>
      <c r="I78" s="1080"/>
      <c r="J78" s="484"/>
    </row>
    <row r="79" spans="1:12">
      <c r="A79" s="1054">
        <f t="shared" si="1"/>
        <v>72</v>
      </c>
      <c r="H79" s="485"/>
      <c r="I79" s="1080"/>
      <c r="J79" s="484"/>
    </row>
    <row r="80" spans="1:12">
      <c r="A80" s="1054">
        <f t="shared" si="1"/>
        <v>73</v>
      </c>
      <c r="D80" s="384" t="s">
        <v>278</v>
      </c>
      <c r="F80" s="1070" t="s">
        <v>279</v>
      </c>
      <c r="G80" s="486"/>
      <c r="H80" s="749">
        <v>71260423</v>
      </c>
      <c r="I80" s="485"/>
      <c r="J80" s="484"/>
    </row>
    <row r="81" spans="1:10">
      <c r="A81" s="1054">
        <f t="shared" si="1"/>
        <v>74</v>
      </c>
      <c r="G81" s="392"/>
      <c r="H81" s="491"/>
      <c r="I81" s="484"/>
      <c r="J81" s="484"/>
    </row>
    <row r="82" spans="1:10">
      <c r="A82" s="1054">
        <f t="shared" si="1"/>
        <v>75</v>
      </c>
      <c r="D82" s="384" t="s">
        <v>1281</v>
      </c>
      <c r="F82" s="1070" t="s">
        <v>280</v>
      </c>
      <c r="G82" s="1052"/>
      <c r="H82" s="749">
        <v>42956726</v>
      </c>
      <c r="I82" s="487"/>
      <c r="J82" s="484"/>
    </row>
    <row r="83" spans="1:10">
      <c r="A83" s="1054">
        <f t="shared" si="1"/>
        <v>76</v>
      </c>
      <c r="H83" s="491"/>
      <c r="I83" s="484"/>
      <c r="J83" s="484"/>
    </row>
    <row r="84" spans="1:10">
      <c r="A84" s="1054">
        <f t="shared" si="1"/>
        <v>77</v>
      </c>
      <c r="D84" s="384" t="s">
        <v>1282</v>
      </c>
      <c r="F84" s="1070" t="s">
        <v>281</v>
      </c>
      <c r="G84" s="1052"/>
      <c r="H84" s="749">
        <v>188137969</v>
      </c>
      <c r="I84" s="485"/>
      <c r="J84" s="484"/>
    </row>
    <row r="85" spans="1:10">
      <c r="A85" s="1054">
        <f t="shared" si="1"/>
        <v>78</v>
      </c>
      <c r="H85" s="491"/>
      <c r="I85" s="484"/>
      <c r="J85" s="484"/>
    </row>
    <row r="86" spans="1:10">
      <c r="A86" s="1054">
        <f t="shared" si="1"/>
        <v>79</v>
      </c>
      <c r="D86" s="384" t="s">
        <v>1283</v>
      </c>
      <c r="F86" s="1070" t="s">
        <v>283</v>
      </c>
      <c r="G86" s="1052"/>
      <c r="H86" s="749">
        <v>165927828</v>
      </c>
      <c r="I86" s="487" t="s">
        <v>1791</v>
      </c>
      <c r="J86" s="484"/>
    </row>
    <row r="87" spans="1:10">
      <c r="A87" s="1054">
        <f t="shared" si="1"/>
        <v>80</v>
      </c>
      <c r="H87" s="491"/>
      <c r="I87" s="484"/>
      <c r="J87" s="484"/>
    </row>
    <row r="88" spans="1:10">
      <c r="A88" s="1054">
        <f t="shared" si="1"/>
        <v>81</v>
      </c>
      <c r="D88" s="384" t="s">
        <v>235</v>
      </c>
      <c r="F88" s="1070" t="str">
        <f>"Line "&amp;A61</f>
        <v>Line 54</v>
      </c>
      <c r="G88" s="1052"/>
      <c r="H88" s="491">
        <f>H61</f>
        <v>5516521138.4100018</v>
      </c>
      <c r="I88" s="488"/>
      <c r="J88" s="484"/>
    </row>
    <row r="89" spans="1:10">
      <c r="A89" s="1054">
        <f t="shared" si="1"/>
        <v>82</v>
      </c>
      <c r="H89" s="485"/>
      <c r="I89" s="1080"/>
      <c r="J89" s="484"/>
    </row>
    <row r="90" spans="1:10">
      <c r="A90" s="1054">
        <f t="shared" si="1"/>
        <v>83</v>
      </c>
      <c r="D90" s="1079" t="s">
        <v>282</v>
      </c>
      <c r="E90" s="1079"/>
      <c r="F90" s="1079" t="s">
        <v>1284</v>
      </c>
      <c r="G90" s="1088"/>
      <c r="H90" s="390">
        <f>(H80/(H84-H82))*(H86/H88)</f>
        <v>1.4763584946463985E-2</v>
      </c>
      <c r="I90" s="716"/>
      <c r="J90" s="484"/>
    </row>
    <row r="91" spans="1:10">
      <c r="A91" s="1054">
        <f t="shared" si="1"/>
        <v>84</v>
      </c>
      <c r="D91" s="1052"/>
      <c r="E91" s="1052"/>
      <c r="F91" s="1052"/>
      <c r="G91" s="1052"/>
      <c r="H91" s="393"/>
      <c r="I91" s="1080"/>
      <c r="J91" s="484"/>
    </row>
    <row r="92" spans="1:10">
      <c r="A92" s="1054">
        <f t="shared" si="1"/>
        <v>85</v>
      </c>
      <c r="B92" s="1067" t="s">
        <v>803</v>
      </c>
      <c r="C92" s="387" t="s">
        <v>338</v>
      </c>
      <c r="F92" s="1068" t="s">
        <v>870</v>
      </c>
      <c r="H92" s="887" t="s">
        <v>231</v>
      </c>
      <c r="I92" s="1080"/>
      <c r="J92" s="484"/>
    </row>
    <row r="93" spans="1:10">
      <c r="A93" s="1054">
        <f t="shared" si="1"/>
        <v>86</v>
      </c>
      <c r="H93" s="484"/>
      <c r="I93" s="1080"/>
      <c r="J93" s="484"/>
    </row>
    <row r="94" spans="1:10">
      <c r="A94" s="1054">
        <f t="shared" si="1"/>
        <v>87</v>
      </c>
      <c r="H94" s="484"/>
      <c r="I94" s="1080"/>
      <c r="J94" s="484"/>
    </row>
    <row r="95" spans="1:10">
      <c r="A95" s="1054">
        <f t="shared" si="1"/>
        <v>88</v>
      </c>
      <c r="D95" s="384" t="s">
        <v>1296</v>
      </c>
      <c r="I95" s="1080"/>
      <c r="J95" s="484"/>
    </row>
    <row r="96" spans="1:10">
      <c r="A96" s="1054">
        <f t="shared" si="1"/>
        <v>89</v>
      </c>
      <c r="H96" s="485"/>
      <c r="I96" s="1080"/>
      <c r="J96" s="484"/>
    </row>
    <row r="97" spans="1:10">
      <c r="A97" s="1054">
        <f t="shared" si="1"/>
        <v>90</v>
      </c>
      <c r="D97" s="878" t="s">
        <v>339</v>
      </c>
      <c r="F97" s="384" t="s">
        <v>284</v>
      </c>
      <c r="G97" s="1052"/>
      <c r="H97" s="749">
        <v>5269455076.4399996</v>
      </c>
      <c r="I97" s="491"/>
      <c r="J97" s="484"/>
    </row>
    <row r="98" spans="1:10">
      <c r="A98" s="1054">
        <f t="shared" si="1"/>
        <v>91</v>
      </c>
      <c r="D98" s="878"/>
      <c r="H98" s="491"/>
      <c r="I98" s="1080"/>
      <c r="J98" s="484"/>
    </row>
    <row r="99" spans="1:10">
      <c r="A99" s="1054">
        <f t="shared" si="1"/>
        <v>92</v>
      </c>
      <c r="D99" s="878" t="s">
        <v>285</v>
      </c>
      <c r="F99" s="384" t="s">
        <v>289</v>
      </c>
      <c r="G99" s="1052"/>
      <c r="H99" s="749">
        <v>0</v>
      </c>
      <c r="I99" s="491"/>
      <c r="J99" s="484"/>
    </row>
    <row r="100" spans="1:10">
      <c r="A100" s="1054">
        <f t="shared" si="1"/>
        <v>93</v>
      </c>
      <c r="D100" s="878"/>
      <c r="H100" s="491"/>
      <c r="I100" s="1080"/>
      <c r="J100" s="484"/>
    </row>
    <row r="101" spans="1:10">
      <c r="A101" s="1054">
        <f t="shared" si="1"/>
        <v>94</v>
      </c>
      <c r="D101" s="878" t="s">
        <v>286</v>
      </c>
      <c r="F101" s="384" t="s">
        <v>290</v>
      </c>
      <c r="G101" s="1052"/>
      <c r="H101" s="749">
        <v>-5062028</v>
      </c>
      <c r="I101" s="491"/>
      <c r="J101" s="484"/>
    </row>
    <row r="102" spans="1:10">
      <c r="A102" s="1054">
        <f t="shared" si="1"/>
        <v>95</v>
      </c>
      <c r="D102" s="878"/>
      <c r="H102" s="491"/>
      <c r="I102" s="1080"/>
      <c r="J102" s="484"/>
    </row>
    <row r="103" spans="1:10">
      <c r="A103" s="1054">
        <f t="shared" si="1"/>
        <v>96</v>
      </c>
      <c r="D103" s="878" t="s">
        <v>287</v>
      </c>
      <c r="F103" s="384" t="s">
        <v>291</v>
      </c>
      <c r="G103" s="1052"/>
      <c r="H103" s="749">
        <v>-23000287</v>
      </c>
      <c r="I103" s="491"/>
      <c r="J103" s="484"/>
    </row>
    <row r="104" spans="1:10">
      <c r="A104" s="1054">
        <f t="shared" si="1"/>
        <v>97</v>
      </c>
      <c r="H104" s="491"/>
      <c r="I104" s="1080"/>
      <c r="J104" s="484"/>
    </row>
    <row r="105" spans="1:10">
      <c r="A105" s="1054">
        <f t="shared" si="1"/>
        <v>98</v>
      </c>
      <c r="D105" s="384" t="s">
        <v>288</v>
      </c>
      <c r="F105" s="384" t="str">
        <f>"Line "&amp;A97&amp;" - "&amp;A99&amp;" - "&amp;A101&amp;" - "&amp;A103</f>
        <v>Line 90 - 92 - 94 - 96</v>
      </c>
      <c r="H105" s="1080">
        <f>H97-H99-H101-H103</f>
        <v>5297517391.4399996</v>
      </c>
      <c r="I105" s="1080"/>
      <c r="J105" s="484"/>
    </row>
    <row r="106" spans="1:10">
      <c r="A106" s="1054">
        <f t="shared" si="1"/>
        <v>99</v>
      </c>
      <c r="H106" s="1080"/>
      <c r="I106" s="1080"/>
      <c r="J106" s="484"/>
    </row>
    <row r="107" spans="1:10">
      <c r="A107" s="1054">
        <f t="shared" si="1"/>
        <v>100</v>
      </c>
      <c r="D107" s="384" t="s">
        <v>1297</v>
      </c>
      <c r="H107" s="1080"/>
      <c r="I107" s="1080"/>
      <c r="J107" s="484"/>
    </row>
    <row r="108" spans="1:10">
      <c r="A108" s="1054">
        <f t="shared" si="1"/>
        <v>101</v>
      </c>
      <c r="H108" s="491"/>
      <c r="I108" s="1080"/>
      <c r="J108" s="484"/>
    </row>
    <row r="109" spans="1:10">
      <c r="A109" s="1054">
        <f t="shared" si="1"/>
        <v>102</v>
      </c>
      <c r="D109" s="878" t="s">
        <v>292</v>
      </c>
      <c r="F109" s="484" t="s">
        <v>559</v>
      </c>
      <c r="G109" s="485"/>
      <c r="H109" s="749">
        <v>4100000000</v>
      </c>
      <c r="I109" s="491"/>
      <c r="J109" s="484"/>
    </row>
    <row r="110" spans="1:10">
      <c r="A110" s="1054">
        <f t="shared" si="1"/>
        <v>103</v>
      </c>
      <c r="D110" s="878"/>
      <c r="H110" s="491"/>
      <c r="I110" s="1080"/>
      <c r="J110" s="484"/>
    </row>
    <row r="111" spans="1:10">
      <c r="A111" s="1054">
        <f t="shared" si="1"/>
        <v>104</v>
      </c>
      <c r="D111" s="878" t="s">
        <v>665</v>
      </c>
      <c r="F111" s="384" t="s">
        <v>952</v>
      </c>
      <c r="G111" s="1052"/>
      <c r="H111" s="749">
        <v>0</v>
      </c>
      <c r="I111" s="491"/>
      <c r="J111" s="484"/>
    </row>
    <row r="112" spans="1:10">
      <c r="A112" s="1054">
        <f t="shared" si="1"/>
        <v>105</v>
      </c>
      <c r="D112" s="878"/>
      <c r="H112" s="491"/>
      <c r="I112" s="1080"/>
      <c r="J112" s="484"/>
    </row>
    <row r="113" spans="1:10">
      <c r="A113" s="1054">
        <f t="shared" si="1"/>
        <v>106</v>
      </c>
      <c r="D113" s="878" t="s">
        <v>293</v>
      </c>
      <c r="F113" s="384" t="str">
        <f>"Line "&amp;A105</f>
        <v>Line 98</v>
      </c>
      <c r="H113" s="1080">
        <f>H105</f>
        <v>5297517391.4399996</v>
      </c>
      <c r="I113" s="1080"/>
      <c r="J113" s="484"/>
    </row>
    <row r="114" spans="1:10">
      <c r="A114" s="1054">
        <f t="shared" si="1"/>
        <v>107</v>
      </c>
      <c r="D114" s="878"/>
      <c r="H114" s="1080"/>
      <c r="I114" s="1080"/>
      <c r="J114" s="484"/>
    </row>
    <row r="115" spans="1:10">
      <c r="A115" s="1054">
        <f t="shared" si="1"/>
        <v>108</v>
      </c>
      <c r="D115" s="878" t="s">
        <v>341</v>
      </c>
      <c r="F115" s="384" t="str">
        <f>"Line "&amp;A109&amp;" + "&amp;A111&amp;" + "&amp;A113</f>
        <v>Line 102 + 104 + 106</v>
      </c>
      <c r="H115" s="1080">
        <f>H113+H111+H109</f>
        <v>9397517391.4399986</v>
      </c>
      <c r="I115" s="1080"/>
      <c r="J115" s="484"/>
    </row>
    <row r="116" spans="1:10">
      <c r="A116" s="1054">
        <f t="shared" si="1"/>
        <v>109</v>
      </c>
      <c r="H116" s="1080"/>
      <c r="I116" s="1080"/>
      <c r="J116" s="484"/>
    </row>
    <row r="117" spans="1:10">
      <c r="A117" s="1054">
        <f t="shared" si="1"/>
        <v>110</v>
      </c>
      <c r="D117" s="601" t="s">
        <v>1298</v>
      </c>
      <c r="E117" s="601"/>
      <c r="H117" s="491"/>
      <c r="I117" s="1080"/>
      <c r="J117" s="484"/>
    </row>
    <row r="118" spans="1:10">
      <c r="A118" s="1054">
        <f t="shared" si="1"/>
        <v>111</v>
      </c>
      <c r="D118" s="602" t="s">
        <v>674</v>
      </c>
      <c r="F118" s="603" t="s">
        <v>295</v>
      </c>
      <c r="G118" s="1052"/>
      <c r="H118" s="749">
        <v>174054937</v>
      </c>
      <c r="I118" s="491"/>
      <c r="J118" s="484"/>
    </row>
    <row r="119" spans="1:10">
      <c r="A119" s="1054">
        <f t="shared" si="1"/>
        <v>112</v>
      </c>
      <c r="D119" s="602" t="s">
        <v>294</v>
      </c>
      <c r="F119" s="603" t="s">
        <v>296</v>
      </c>
      <c r="G119" s="1052"/>
      <c r="H119" s="749">
        <v>317821</v>
      </c>
      <c r="I119" s="491"/>
      <c r="J119" s="484"/>
    </row>
    <row r="120" spans="1:10">
      <c r="A120" s="1054">
        <f t="shared" si="1"/>
        <v>113</v>
      </c>
      <c r="D120" s="602" t="s">
        <v>676</v>
      </c>
      <c r="F120" s="603" t="s">
        <v>297</v>
      </c>
      <c r="G120" s="1052"/>
      <c r="H120" s="749">
        <v>3738164</v>
      </c>
      <c r="I120" s="491"/>
      <c r="J120" s="484"/>
    </row>
    <row r="121" spans="1:10">
      <c r="A121" s="1054">
        <f t="shared" si="1"/>
        <v>114</v>
      </c>
      <c r="D121" s="602" t="s">
        <v>678</v>
      </c>
      <c r="F121" s="603" t="s">
        <v>303</v>
      </c>
      <c r="G121" s="1052"/>
      <c r="H121" s="749">
        <v>1022857</v>
      </c>
      <c r="I121" s="491"/>
      <c r="J121" s="484"/>
    </row>
    <row r="122" spans="1:10">
      <c r="A122" s="1054">
        <f t="shared" si="1"/>
        <v>115</v>
      </c>
      <c r="D122" s="604" t="s">
        <v>680</v>
      </c>
      <c r="F122" s="603" t="s">
        <v>304</v>
      </c>
      <c r="G122" s="1052"/>
      <c r="H122" s="749">
        <v>0</v>
      </c>
      <c r="I122" s="491"/>
      <c r="J122" s="484"/>
    </row>
    <row r="123" spans="1:10">
      <c r="A123" s="1054">
        <f t="shared" si="1"/>
        <v>116</v>
      </c>
      <c r="D123" s="604" t="s">
        <v>681</v>
      </c>
      <c r="F123" s="603" t="s">
        <v>305</v>
      </c>
      <c r="G123" s="1052"/>
      <c r="H123" s="750">
        <v>0</v>
      </c>
      <c r="I123" s="491"/>
      <c r="J123" s="484"/>
    </row>
    <row r="124" spans="1:10">
      <c r="A124" s="1054">
        <f t="shared" si="1"/>
        <v>117</v>
      </c>
      <c r="D124" s="602" t="s">
        <v>682</v>
      </c>
      <c r="E124" s="601"/>
      <c r="H124" s="725">
        <f>SUM(H118:H123)</f>
        <v>179133779</v>
      </c>
      <c r="I124" s="1080"/>
      <c r="J124" s="484"/>
    </row>
    <row r="125" spans="1:10">
      <c r="A125" s="1054">
        <f t="shared" si="1"/>
        <v>118</v>
      </c>
      <c r="D125" s="602"/>
      <c r="E125" s="601"/>
      <c r="H125" s="1080"/>
      <c r="I125" s="1080"/>
      <c r="J125" s="484"/>
    </row>
    <row r="126" spans="1:10">
      <c r="A126" s="1054">
        <f t="shared" si="1"/>
        <v>119</v>
      </c>
      <c r="D126" s="602" t="str">
        <f>"Average Cost of Debt (Line "&amp;A124&amp;" / Line "&amp;A109&amp;")"</f>
        <v>Average Cost of Debt (Line 117 / Line 102)</v>
      </c>
      <c r="E126" s="601"/>
      <c r="H126" s="1089">
        <f>ROUND(H124/H109,4)</f>
        <v>4.3700000000000003E-2</v>
      </c>
      <c r="I126" s="1080"/>
      <c r="J126" s="484"/>
    </row>
    <row r="127" spans="1:10">
      <c r="A127" s="1054">
        <f t="shared" si="1"/>
        <v>120</v>
      </c>
      <c r="H127" s="1080"/>
      <c r="I127" s="1080"/>
      <c r="J127" s="484"/>
    </row>
    <row r="128" spans="1:10">
      <c r="A128" s="1054">
        <f t="shared" si="1"/>
        <v>121</v>
      </c>
      <c r="D128" s="601" t="s">
        <v>1299</v>
      </c>
      <c r="E128" s="605"/>
      <c r="H128" s="491"/>
      <c r="I128" s="1080"/>
      <c r="J128" s="484"/>
    </row>
    <row r="129" spans="1:11">
      <c r="A129" s="1054">
        <f t="shared" si="1"/>
        <v>122</v>
      </c>
      <c r="D129" s="602" t="s">
        <v>684</v>
      </c>
      <c r="F129" s="606" t="s">
        <v>306</v>
      </c>
      <c r="G129" s="1052"/>
      <c r="H129" s="749">
        <v>0</v>
      </c>
      <c r="I129" s="491"/>
      <c r="J129" s="484"/>
    </row>
    <row r="130" spans="1:11">
      <c r="A130" s="1054">
        <f t="shared" si="1"/>
        <v>123</v>
      </c>
      <c r="D130" s="602"/>
      <c r="E130" s="605"/>
      <c r="H130" s="1052"/>
    </row>
    <row r="131" spans="1:11">
      <c r="A131" s="1054">
        <f t="shared" si="1"/>
        <v>124</v>
      </c>
      <c r="D131" s="602" t="str">
        <f>"Average Cost of Preferred Stock (Line "&amp;A129&amp;" / Line "&amp;A111&amp;")"</f>
        <v>Average Cost of Preferred Stock (Line 122 / Line 104)</v>
      </c>
      <c r="E131" s="605"/>
      <c r="H131" s="384">
        <f>IF(H111=0,0,H129/H111)</f>
        <v>0</v>
      </c>
    </row>
    <row r="132" spans="1:11">
      <c r="A132" s="1054">
        <f t="shared" si="1"/>
        <v>125</v>
      </c>
    </row>
    <row r="133" spans="1:11">
      <c r="A133" s="1054">
        <f t="shared" si="1"/>
        <v>126</v>
      </c>
      <c r="G133" s="396" t="s">
        <v>342</v>
      </c>
    </row>
    <row r="134" spans="1:11">
      <c r="A134" s="1054">
        <f t="shared" si="1"/>
        <v>127</v>
      </c>
      <c r="G134" s="396"/>
      <c r="H134" s="1054" t="s">
        <v>343</v>
      </c>
      <c r="I134" s="384"/>
    </row>
    <row r="135" spans="1:11">
      <c r="A135" s="1054">
        <f t="shared" si="1"/>
        <v>128</v>
      </c>
      <c r="E135" s="600" t="s">
        <v>918</v>
      </c>
      <c r="F135" s="396" t="s">
        <v>828</v>
      </c>
      <c r="G135" s="396" t="s">
        <v>828</v>
      </c>
      <c r="H135" s="395" t="s">
        <v>344</v>
      </c>
      <c r="I135" s="384"/>
    </row>
    <row r="136" spans="1:11">
      <c r="A136" s="1054">
        <f t="shared" si="1"/>
        <v>129</v>
      </c>
      <c r="D136" s="384" t="s">
        <v>292</v>
      </c>
      <c r="E136" s="392">
        <f>H109</f>
        <v>4100000000</v>
      </c>
      <c r="F136" s="1090">
        <f>ROUND((E136)/E139,4)</f>
        <v>0.43630000000000002</v>
      </c>
      <c r="G136" s="1091">
        <f>H126</f>
        <v>4.3700000000000003E-2</v>
      </c>
      <c r="H136" s="1092">
        <f>ROUND(F136*G136,4)</f>
        <v>1.9099999999999999E-2</v>
      </c>
      <c r="I136" s="1052"/>
    </row>
    <row r="137" spans="1:11">
      <c r="A137" s="1054">
        <f t="shared" si="1"/>
        <v>130</v>
      </c>
      <c r="D137" s="1070" t="s">
        <v>665</v>
      </c>
      <c r="E137" s="392">
        <f>H111</f>
        <v>0</v>
      </c>
      <c r="F137" s="1091">
        <f>ROUND((E137)/E139,4)</f>
        <v>0</v>
      </c>
      <c r="G137" s="1090">
        <f>H131</f>
        <v>0</v>
      </c>
      <c r="H137" s="1092">
        <f>ROUND(F137*G137,4)</f>
        <v>0</v>
      </c>
      <c r="I137" s="384"/>
      <c r="K137" s="1052"/>
    </row>
    <row r="138" spans="1:11">
      <c r="A138" s="1054">
        <f t="shared" ref="A138:A201" si="2">A137+1</f>
        <v>131</v>
      </c>
      <c r="D138" s="722" t="s">
        <v>1205</v>
      </c>
      <c r="E138" s="397">
        <f>H105</f>
        <v>5297517391.4399996</v>
      </c>
      <c r="F138" s="1093">
        <f>ROUND(E138/E139,4)</f>
        <v>0.56369999999999998</v>
      </c>
      <c r="G138" s="1094">
        <f>'ATRR Est.'!F178</f>
        <v>9.7199999999999995E-2</v>
      </c>
      <c r="H138" s="1093">
        <f>ROUND(F138*G138,4)</f>
        <v>5.4800000000000001E-2</v>
      </c>
      <c r="I138" s="384"/>
    </row>
    <row r="139" spans="1:11">
      <c r="A139" s="1054">
        <f t="shared" si="2"/>
        <v>132</v>
      </c>
      <c r="D139" s="722" t="s">
        <v>795</v>
      </c>
      <c r="E139" s="392">
        <f>SUM(E136:E138)</f>
        <v>9397517391.4399986</v>
      </c>
      <c r="F139" s="1095">
        <f>SUM(F136:F138)</f>
        <v>1</v>
      </c>
      <c r="G139" s="1096" t="s">
        <v>1410</v>
      </c>
      <c r="H139" s="1097">
        <f>ROUND(SUM(H136:H138),4)</f>
        <v>7.3899999999999993E-2</v>
      </c>
      <c r="I139" s="384"/>
      <c r="K139" s="1052"/>
    </row>
    <row r="140" spans="1:11">
      <c r="A140" s="1054">
        <f t="shared" si="2"/>
        <v>133</v>
      </c>
      <c r="D140" s="722"/>
      <c r="E140" s="392"/>
      <c r="F140" s="1098"/>
      <c r="G140" s="1096"/>
      <c r="H140" s="607"/>
      <c r="I140" s="384"/>
      <c r="K140" s="1052"/>
    </row>
    <row r="141" spans="1:11">
      <c r="A141" s="1054">
        <f t="shared" si="2"/>
        <v>134</v>
      </c>
      <c r="D141" s="1099"/>
      <c r="E141" s="1100"/>
      <c r="F141" s="1101"/>
      <c r="G141" s="1102"/>
      <c r="H141" s="1103"/>
      <c r="I141" s="1079"/>
      <c r="K141" s="1052"/>
    </row>
    <row r="142" spans="1:11">
      <c r="A142" s="1054">
        <f t="shared" si="2"/>
        <v>135</v>
      </c>
      <c r="D142" s="1104"/>
      <c r="E142" s="486"/>
      <c r="F142" s="1098"/>
      <c r="G142" s="1096"/>
      <c r="H142" s="607"/>
      <c r="I142" s="1052"/>
      <c r="K142" s="1052"/>
    </row>
    <row r="143" spans="1:11">
      <c r="A143" s="1054">
        <f t="shared" si="2"/>
        <v>136</v>
      </c>
      <c r="C143" s="1052"/>
      <c r="D143" s="1052"/>
      <c r="E143" s="1052"/>
      <c r="F143" s="1052"/>
      <c r="G143" s="1096"/>
      <c r="H143" s="1052"/>
      <c r="I143" s="1105"/>
      <c r="J143" s="1052"/>
    </row>
    <row r="144" spans="1:11">
      <c r="A144" s="1054">
        <f t="shared" si="2"/>
        <v>137</v>
      </c>
      <c r="B144" s="1067" t="s">
        <v>804</v>
      </c>
      <c r="C144" s="387" t="s">
        <v>345</v>
      </c>
      <c r="D144" s="1052"/>
      <c r="E144" s="1052"/>
      <c r="F144" s="1068" t="s">
        <v>870</v>
      </c>
      <c r="G144" s="1052"/>
      <c r="H144" s="887" t="s">
        <v>231</v>
      </c>
      <c r="I144" s="1105"/>
    </row>
    <row r="145" spans="1:11">
      <c r="A145" s="1054">
        <f t="shared" si="2"/>
        <v>138</v>
      </c>
      <c r="G145" s="484"/>
      <c r="H145" s="484"/>
    </row>
    <row r="146" spans="1:11">
      <c r="A146" s="1054">
        <f t="shared" si="2"/>
        <v>139</v>
      </c>
      <c r="D146" s="384" t="s">
        <v>346</v>
      </c>
      <c r="F146" s="1070" t="s">
        <v>307</v>
      </c>
      <c r="G146" s="484"/>
      <c r="H146" s="749">
        <v>84827910.509999976</v>
      </c>
    </row>
    <row r="147" spans="1:11">
      <c r="A147" s="1054">
        <f t="shared" si="2"/>
        <v>140</v>
      </c>
      <c r="G147" s="484"/>
      <c r="H147" s="485"/>
    </row>
    <row r="148" spans="1:11">
      <c r="A148" s="1054">
        <f t="shared" si="2"/>
        <v>141</v>
      </c>
      <c r="D148" s="384" t="s">
        <v>347</v>
      </c>
      <c r="E148" s="1071"/>
      <c r="F148" s="384" t="str">
        <f>"Line "&amp;A61</f>
        <v>Line 54</v>
      </c>
      <c r="G148" s="485"/>
      <c r="H148" s="491">
        <f>H61</f>
        <v>5516521138.4100018</v>
      </c>
      <c r="I148" s="1105"/>
    </row>
    <row r="149" spans="1:11">
      <c r="A149" s="1054">
        <f t="shared" si="2"/>
        <v>142</v>
      </c>
      <c r="G149" s="484"/>
      <c r="H149" s="484"/>
    </row>
    <row r="150" spans="1:11">
      <c r="A150" s="1054">
        <f t="shared" si="2"/>
        <v>143</v>
      </c>
      <c r="D150" s="384" t="s">
        <v>348</v>
      </c>
      <c r="F150" s="384" t="str">
        <f>"Line "&amp;A146&amp;" / "&amp;A148</f>
        <v>Line 139 / 141</v>
      </c>
      <c r="G150" s="484"/>
      <c r="H150" s="398">
        <f>(H146/H148)</f>
        <v>1.5377066158482895E-2</v>
      </c>
    </row>
    <row r="151" spans="1:11">
      <c r="A151" s="1054">
        <f t="shared" si="2"/>
        <v>144</v>
      </c>
      <c r="G151" s="484"/>
      <c r="H151" s="484"/>
    </row>
    <row r="152" spans="1:11">
      <c r="A152" s="1054">
        <f t="shared" si="2"/>
        <v>145</v>
      </c>
      <c r="D152" s="384" t="s">
        <v>349</v>
      </c>
      <c r="F152" s="1056" t="str">
        <f>"1 / Line "&amp;A150</f>
        <v>1 / Line 143</v>
      </c>
      <c r="G152" s="484"/>
      <c r="H152" s="399">
        <f>1/H150</f>
        <v>65.031911139196154</v>
      </c>
    </row>
    <row r="153" spans="1:11">
      <c r="A153" s="1054">
        <f t="shared" si="2"/>
        <v>146</v>
      </c>
      <c r="B153" s="1052"/>
      <c r="C153" s="1052"/>
      <c r="D153" s="1052"/>
      <c r="E153" s="1052"/>
      <c r="F153" s="1052"/>
      <c r="G153" s="485"/>
      <c r="H153" s="485"/>
      <c r="I153" s="1105"/>
      <c r="J153" s="1052"/>
    </row>
    <row r="154" spans="1:11">
      <c r="A154" s="1054">
        <f t="shared" si="2"/>
        <v>147</v>
      </c>
      <c r="B154" s="1052"/>
      <c r="C154" s="1052"/>
      <c r="D154" s="1079" t="s">
        <v>350</v>
      </c>
      <c r="E154" s="1079"/>
      <c r="F154" s="1079" t="s">
        <v>479</v>
      </c>
      <c r="G154" s="1106"/>
      <c r="H154" s="390">
        <f>(H139)/((1+H139)^(H152-1))</f>
        <v>7.6907808227065033E-4</v>
      </c>
      <c r="I154" s="1107"/>
      <c r="J154" s="1052"/>
      <c r="K154" s="1052"/>
    </row>
    <row r="155" spans="1:11">
      <c r="A155" s="1054">
        <f t="shared" si="2"/>
        <v>148</v>
      </c>
      <c r="B155" s="1052"/>
      <c r="C155" s="1052"/>
      <c r="D155" s="1052"/>
      <c r="E155" s="1052"/>
      <c r="F155" s="1052"/>
      <c r="G155" s="485"/>
      <c r="H155" s="485"/>
      <c r="I155" s="1105"/>
      <c r="J155" s="1052"/>
    </row>
    <row r="156" spans="1:11">
      <c r="A156" s="1054">
        <f t="shared" si="2"/>
        <v>149</v>
      </c>
      <c r="B156" s="1067" t="s">
        <v>351</v>
      </c>
      <c r="C156" s="387" t="s">
        <v>352</v>
      </c>
      <c r="G156" s="484"/>
      <c r="H156" s="484"/>
    </row>
    <row r="157" spans="1:11">
      <c r="A157" s="1054">
        <f t="shared" si="2"/>
        <v>150</v>
      </c>
      <c r="G157" s="484"/>
      <c r="H157" s="485"/>
    </row>
    <row r="158" spans="1:11">
      <c r="A158" s="1054">
        <f t="shared" si="2"/>
        <v>151</v>
      </c>
      <c r="D158" s="384" t="s">
        <v>353</v>
      </c>
      <c r="G158" s="485"/>
      <c r="H158" s="390">
        <f>(((35/65)+F160)/(1-F160))*(+H139+H154-H150)*(1-(H136/H139))</f>
        <v>2.695872351987216E-2</v>
      </c>
      <c r="I158" s="491"/>
    </row>
    <row r="159" spans="1:11">
      <c r="A159" s="1054">
        <f t="shared" si="2"/>
        <v>152</v>
      </c>
      <c r="D159" s="384" t="s">
        <v>354</v>
      </c>
      <c r="E159" s="1052"/>
      <c r="G159" s="484"/>
      <c r="H159" s="485"/>
    </row>
    <row r="160" spans="1:11">
      <c r="A160" s="1054">
        <f t="shared" si="2"/>
        <v>153</v>
      </c>
      <c r="D160" s="1052" t="s">
        <v>309</v>
      </c>
      <c r="F160" s="489">
        <v>4.6300000000000001E-2</v>
      </c>
      <c r="G160" s="484"/>
      <c r="H160" s="484"/>
    </row>
    <row r="161" spans="1:11">
      <c r="A161" s="1054">
        <f t="shared" si="2"/>
        <v>154</v>
      </c>
      <c r="E161" s="1052"/>
      <c r="G161" s="484"/>
      <c r="H161" s="484"/>
    </row>
    <row r="162" spans="1:11">
      <c r="A162" s="1054">
        <f t="shared" si="2"/>
        <v>155</v>
      </c>
      <c r="G162" s="484"/>
      <c r="H162" s="484"/>
    </row>
    <row r="163" spans="1:11">
      <c r="A163" s="1054">
        <f t="shared" si="2"/>
        <v>156</v>
      </c>
      <c r="G163" s="484"/>
      <c r="H163" s="484"/>
    </row>
    <row r="164" spans="1:11">
      <c r="A164" s="1054">
        <f t="shared" si="2"/>
        <v>157</v>
      </c>
    </row>
    <row r="165" spans="1:11">
      <c r="A165" s="1054">
        <f t="shared" si="2"/>
        <v>158</v>
      </c>
      <c r="H165" s="1108"/>
      <c r="I165" s="1105"/>
    </row>
    <row r="166" spans="1:11">
      <c r="A166" s="1054">
        <f t="shared" si="2"/>
        <v>159</v>
      </c>
      <c r="B166" s="1052"/>
      <c r="C166" s="1052"/>
      <c r="H166" s="1109"/>
      <c r="I166" s="1052"/>
      <c r="J166" s="1052"/>
    </row>
    <row r="167" spans="1:11">
      <c r="A167" s="1054">
        <f t="shared" si="2"/>
        <v>160</v>
      </c>
      <c r="B167" s="1052"/>
      <c r="C167" s="1052"/>
      <c r="D167" s="1079"/>
      <c r="E167" s="1079"/>
      <c r="F167" s="1079"/>
      <c r="G167" s="1079"/>
      <c r="H167" s="1079"/>
      <c r="I167" s="1079"/>
      <c r="J167" s="1052"/>
      <c r="K167" s="1052"/>
    </row>
    <row r="168" spans="1:11">
      <c r="A168" s="1054">
        <f t="shared" si="2"/>
        <v>161</v>
      </c>
      <c r="B168" s="1052"/>
      <c r="C168" s="1052"/>
      <c r="D168" s="1052"/>
      <c r="E168" s="1052"/>
      <c r="F168" s="1052"/>
      <c r="G168" s="1104"/>
      <c r="H168" s="597"/>
      <c r="I168" s="1052"/>
      <c r="J168" s="1052"/>
      <c r="K168" s="1052"/>
    </row>
    <row r="169" spans="1:11">
      <c r="A169" s="1054">
        <f t="shared" si="2"/>
        <v>162</v>
      </c>
      <c r="B169" s="387" t="s">
        <v>1293</v>
      </c>
      <c r="C169" s="1052"/>
      <c r="D169" s="1052"/>
      <c r="E169" s="1052"/>
      <c r="F169" s="1052"/>
      <c r="I169" s="1052"/>
      <c r="J169" s="1052"/>
      <c r="K169" s="1052"/>
    </row>
    <row r="170" spans="1:11">
      <c r="A170" s="1054">
        <f t="shared" si="2"/>
        <v>163</v>
      </c>
      <c r="B170" s="1052"/>
      <c r="C170" s="1052"/>
      <c r="D170" s="1052"/>
      <c r="E170" s="1052"/>
      <c r="F170" s="1052"/>
      <c r="G170" s="1104"/>
      <c r="I170" s="1052"/>
      <c r="J170" s="1052"/>
      <c r="K170" s="1052"/>
    </row>
    <row r="171" spans="1:11">
      <c r="A171" s="1054">
        <f t="shared" si="2"/>
        <v>164</v>
      </c>
      <c r="B171" s="1052"/>
      <c r="C171" s="1052"/>
      <c r="D171" s="384" t="s">
        <v>1288</v>
      </c>
      <c r="E171" s="1052"/>
      <c r="F171" s="1052" t="str">
        <f>"Line "&amp;A80</f>
        <v>Line 73</v>
      </c>
      <c r="G171" s="1104"/>
      <c r="H171" s="597">
        <f>H80</f>
        <v>71260423</v>
      </c>
      <c r="I171" s="1052"/>
      <c r="J171" s="1052"/>
      <c r="K171" s="1052"/>
    </row>
    <row r="172" spans="1:11">
      <c r="A172" s="1054">
        <f t="shared" si="2"/>
        <v>165</v>
      </c>
      <c r="B172" s="1052"/>
      <c r="C172" s="1052"/>
      <c r="D172" s="1052" t="s">
        <v>1289</v>
      </c>
      <c r="E172" s="1052"/>
      <c r="F172" s="1052" t="str">
        <f>"Line "&amp;A84&amp;" - Line "&amp;A82</f>
        <v>Line 77 - Line 75</v>
      </c>
      <c r="G172" s="1104"/>
      <c r="H172" s="490">
        <f>H84-H82</f>
        <v>145181243</v>
      </c>
      <c r="I172" s="1052"/>
      <c r="J172" s="1052"/>
      <c r="K172" s="1052"/>
    </row>
    <row r="173" spans="1:11">
      <c r="A173" s="1054">
        <f t="shared" si="2"/>
        <v>166</v>
      </c>
      <c r="B173" s="1052"/>
      <c r="C173" s="1052"/>
      <c r="D173" s="609" t="s">
        <v>1290</v>
      </c>
      <c r="E173" s="1052"/>
      <c r="F173" s="1052" t="str">
        <f>"Line "&amp;A171&amp;" /  Line "&amp;A172</f>
        <v>Line 164 /  Line 165</v>
      </c>
      <c r="G173" s="1104"/>
      <c r="H173" s="607">
        <f>H171/H172</f>
        <v>0.49083766971192</v>
      </c>
      <c r="I173" s="1052"/>
      <c r="J173" s="1052"/>
      <c r="K173" s="1052"/>
    </row>
    <row r="174" spans="1:11">
      <c r="A174" s="1054">
        <f t="shared" si="2"/>
        <v>167</v>
      </c>
      <c r="B174" s="1052"/>
      <c r="C174" s="1052"/>
      <c r="D174" s="384" t="s">
        <v>308</v>
      </c>
      <c r="E174" s="1052"/>
      <c r="F174" s="1070" t="s">
        <v>1286</v>
      </c>
      <c r="G174" s="1104"/>
      <c r="H174" s="757">
        <v>347919387.71999997</v>
      </c>
      <c r="I174" s="1110"/>
      <c r="J174" s="1052"/>
      <c r="K174" s="1052"/>
    </row>
    <row r="175" spans="1:11">
      <c r="A175" s="1054">
        <f t="shared" si="2"/>
        <v>168</v>
      </c>
      <c r="B175" s="1052"/>
      <c r="C175" s="1052"/>
      <c r="D175" s="484" t="s">
        <v>1291</v>
      </c>
      <c r="E175" s="1052"/>
      <c r="F175" s="1052" t="str">
        <f>"Line "&amp;A173&amp;" * Line "&amp;A174</f>
        <v>Line 166 * Line 167</v>
      </c>
      <c r="G175" s="1104"/>
      <c r="H175" s="597">
        <f>H173*H174</f>
        <v>170771941.51608279</v>
      </c>
      <c r="I175" s="1110"/>
      <c r="J175" s="1052"/>
      <c r="K175" s="1052"/>
    </row>
    <row r="176" spans="1:11">
      <c r="A176" s="1054">
        <f t="shared" si="2"/>
        <v>169</v>
      </c>
      <c r="B176" s="1052"/>
      <c r="C176" s="1052"/>
      <c r="D176" s="485" t="s">
        <v>1295</v>
      </c>
      <c r="E176" s="1052"/>
      <c r="F176" s="1111" t="str">
        <f>"Line "&amp;A10&amp;" + "&amp;A14&amp;" + "&amp;A16&amp;" + "&amp;A18&amp;" + "&amp;A24&amp;" + "&amp;A26</f>
        <v>Line 3 + 7 + 9 + 11 + 17 + 19</v>
      </c>
      <c r="G176" s="1104"/>
      <c r="H176" s="608">
        <f>+F10+F14+F16+F18+F24+F26</f>
        <v>9.5047664546266897E-2</v>
      </c>
      <c r="I176" s="1052"/>
      <c r="J176" s="1052"/>
      <c r="K176" s="1052"/>
    </row>
    <row r="177" spans="1:11">
      <c r="A177" s="1054">
        <f t="shared" si="2"/>
        <v>170</v>
      </c>
      <c r="B177" s="1052"/>
      <c r="C177" s="1052"/>
      <c r="D177" s="485" t="s">
        <v>1294</v>
      </c>
      <c r="E177" s="1052"/>
      <c r="F177" s="1052" t="str">
        <f>"Line "&amp;A175&amp;" * Line "&amp;A176</f>
        <v>Line 168 * Line 169</v>
      </c>
      <c r="G177" s="1104"/>
      <c r="H177" s="597">
        <f>H175*H176</f>
        <v>16231474.211135346</v>
      </c>
      <c r="I177" s="1052"/>
      <c r="J177" s="1052"/>
      <c r="K177" s="1052"/>
    </row>
    <row r="178" spans="1:11" ht="12.75" thickBot="1">
      <c r="A178" s="1054">
        <f t="shared" si="2"/>
        <v>171</v>
      </c>
      <c r="B178" s="1052"/>
      <c r="C178" s="1052"/>
      <c r="D178" s="384" t="s">
        <v>347</v>
      </c>
      <c r="E178" s="1052"/>
      <c r="F178" s="1052" t="str">
        <f>"Line "&amp;A57</f>
        <v>Line 50</v>
      </c>
      <c r="G178" s="1104"/>
      <c r="H178" s="597">
        <f>H61</f>
        <v>5516521138.4100018</v>
      </c>
      <c r="I178" s="1052"/>
      <c r="J178" s="1052"/>
      <c r="K178" s="1052"/>
    </row>
    <row r="179" spans="1:11" ht="12.75" thickBot="1">
      <c r="A179" s="1054">
        <f t="shared" si="2"/>
        <v>172</v>
      </c>
      <c r="B179" s="1052"/>
      <c r="C179" s="1052"/>
      <c r="D179" s="485" t="s">
        <v>1292</v>
      </c>
      <c r="E179" s="1052"/>
      <c r="F179" s="1052" t="str">
        <f>"Line "&amp;A177&amp;" /  Line "&amp;A178</f>
        <v>Line 170 /  Line 171</v>
      </c>
      <c r="G179" s="1104"/>
      <c r="H179" s="717">
        <f>H177/H178</f>
        <v>2.9423388044541527E-3</v>
      </c>
      <c r="I179" s="1052"/>
      <c r="J179" s="1052"/>
      <c r="K179" s="1052"/>
    </row>
    <row r="180" spans="1:11">
      <c r="A180" s="1054">
        <f t="shared" si="2"/>
        <v>173</v>
      </c>
      <c r="B180" s="1052"/>
      <c r="C180" s="1052"/>
      <c r="D180" s="485"/>
      <c r="E180" s="1052"/>
      <c r="F180" s="1052"/>
      <c r="G180" s="1104"/>
      <c r="H180" s="597"/>
      <c r="I180" s="1052"/>
      <c r="J180" s="1052"/>
      <c r="K180" s="1052"/>
    </row>
    <row r="181" spans="1:11">
      <c r="A181" s="1054">
        <f t="shared" si="2"/>
        <v>174</v>
      </c>
      <c r="B181" s="1052"/>
      <c r="C181" s="1052"/>
      <c r="D181" s="1079"/>
      <c r="E181" s="1079"/>
      <c r="F181" s="1079"/>
      <c r="G181" s="1099"/>
      <c r="H181" s="716"/>
      <c r="I181" s="1079"/>
      <c r="J181" s="1052"/>
    </row>
    <row r="182" spans="1:11">
      <c r="A182" s="1054">
        <f t="shared" si="2"/>
        <v>175</v>
      </c>
      <c r="B182" s="1052"/>
      <c r="C182" s="1052"/>
      <c r="D182" s="1052"/>
      <c r="E182" s="1052"/>
      <c r="F182" s="1052"/>
      <c r="G182" s="1104"/>
      <c r="H182" s="491"/>
      <c r="I182" s="1052"/>
      <c r="J182" s="1052"/>
    </row>
    <row r="183" spans="1:11">
      <c r="A183" s="1054">
        <f t="shared" si="2"/>
        <v>176</v>
      </c>
      <c r="B183" s="387" t="s">
        <v>651</v>
      </c>
      <c r="C183" s="1052"/>
      <c r="D183" s="1052"/>
      <c r="E183" s="1052"/>
      <c r="F183" s="1052"/>
      <c r="G183" s="1104"/>
      <c r="H183" s="491"/>
      <c r="I183" s="1052"/>
      <c r="J183" s="1052"/>
    </row>
    <row r="184" spans="1:11">
      <c r="A184" s="1054">
        <f t="shared" si="2"/>
        <v>177</v>
      </c>
      <c r="C184" s="1052"/>
      <c r="D184" s="1052"/>
      <c r="E184" s="1052"/>
      <c r="F184" s="1052"/>
      <c r="G184" s="1104"/>
      <c r="H184" s="491"/>
      <c r="I184" s="1052"/>
      <c r="J184" s="1052"/>
    </row>
    <row r="185" spans="1:11" ht="12.75">
      <c r="A185" s="1054">
        <f t="shared" si="2"/>
        <v>178</v>
      </c>
      <c r="C185" s="1052"/>
      <c r="D185" s="1112" t="s">
        <v>1411</v>
      </c>
      <c r="E185" s="1052"/>
      <c r="F185" s="1052"/>
      <c r="G185" s="1104"/>
      <c r="H185" s="491"/>
      <c r="I185" s="1052"/>
      <c r="J185" s="1052"/>
    </row>
    <row r="186" spans="1:11">
      <c r="A186" s="1054">
        <f t="shared" si="2"/>
        <v>179</v>
      </c>
      <c r="C186" s="1052"/>
      <c r="D186" s="1079"/>
      <c r="E186" s="1079"/>
      <c r="F186" s="1079"/>
      <c r="G186" s="1099"/>
      <c r="H186" s="716"/>
      <c r="I186" s="1079"/>
      <c r="J186" s="1052"/>
    </row>
    <row r="187" spans="1:11">
      <c r="A187" s="1054">
        <f t="shared" si="2"/>
        <v>180</v>
      </c>
      <c r="D187" s="1052"/>
      <c r="E187" s="1052"/>
      <c r="F187" s="1052"/>
      <c r="G187" s="1052"/>
      <c r="H187" s="1052"/>
      <c r="I187" s="1052"/>
    </row>
    <row r="188" spans="1:11">
      <c r="A188" s="1054">
        <f t="shared" si="2"/>
        <v>181</v>
      </c>
      <c r="B188" s="1067" t="s">
        <v>402</v>
      </c>
      <c r="C188" s="387" t="s">
        <v>403</v>
      </c>
      <c r="F188" s="1052"/>
      <c r="G188" s="394"/>
      <c r="I188" s="384"/>
    </row>
    <row r="189" spans="1:11">
      <c r="A189" s="1054">
        <f t="shared" si="2"/>
        <v>182</v>
      </c>
      <c r="F189" s="1052"/>
      <c r="G189" s="394"/>
      <c r="I189" s="384"/>
    </row>
    <row r="190" spans="1:11">
      <c r="A190" s="1054">
        <f t="shared" si="2"/>
        <v>183</v>
      </c>
      <c r="C190" s="484"/>
      <c r="D190" s="384" t="s">
        <v>404</v>
      </c>
      <c r="F190" s="484" t="str">
        <f>"Line "&amp;A61</f>
        <v>Line 54</v>
      </c>
      <c r="G190" s="391"/>
      <c r="H190" s="491">
        <f>H61</f>
        <v>5516521138.4100018</v>
      </c>
      <c r="I190" s="384"/>
    </row>
    <row r="191" spans="1:11">
      <c r="A191" s="1054">
        <f t="shared" si="2"/>
        <v>184</v>
      </c>
      <c r="D191" s="384" t="s">
        <v>405</v>
      </c>
      <c r="F191" s="484" t="str">
        <f>"Line "&amp;A74</f>
        <v>Line 67</v>
      </c>
      <c r="G191" s="394"/>
      <c r="H191" s="491">
        <f>H74</f>
        <v>13238683556.967691</v>
      </c>
      <c r="I191" s="384"/>
    </row>
    <row r="192" spans="1:11">
      <c r="A192" s="1054">
        <f t="shared" si="2"/>
        <v>185</v>
      </c>
      <c r="D192" s="384" t="s">
        <v>310</v>
      </c>
      <c r="E192" s="484"/>
      <c r="G192" s="391"/>
      <c r="I192" s="384"/>
    </row>
    <row r="193" spans="1:11">
      <c r="A193" s="1054">
        <f t="shared" si="2"/>
        <v>186</v>
      </c>
      <c r="D193" s="878" t="s">
        <v>1641</v>
      </c>
      <c r="E193" s="484"/>
      <c r="F193" s="484" t="s">
        <v>801</v>
      </c>
      <c r="G193" s="733" t="s">
        <v>793</v>
      </c>
      <c r="H193" s="749">
        <v>507431584.29092646</v>
      </c>
      <c r="I193" s="384"/>
    </row>
    <row r="194" spans="1:11">
      <c r="A194" s="1054">
        <f t="shared" si="2"/>
        <v>187</v>
      </c>
      <c r="D194" s="878" t="s">
        <v>1642</v>
      </c>
      <c r="E194" s="484"/>
      <c r="F194" s="384" t="s">
        <v>316</v>
      </c>
      <c r="G194" s="391"/>
      <c r="H194" s="749">
        <v>-129906427.61000001</v>
      </c>
      <c r="I194" s="384"/>
    </row>
    <row r="195" spans="1:11">
      <c r="A195" s="1054">
        <f t="shared" si="2"/>
        <v>188</v>
      </c>
      <c r="D195" s="878" t="s">
        <v>1643</v>
      </c>
      <c r="E195" s="484"/>
      <c r="F195" s="384" t="s">
        <v>315</v>
      </c>
      <c r="G195" s="391"/>
      <c r="H195" s="749">
        <v>-2431827290.4299998</v>
      </c>
      <c r="I195" s="384"/>
    </row>
    <row r="196" spans="1:11">
      <c r="A196" s="1054">
        <f t="shared" si="2"/>
        <v>189</v>
      </c>
      <c r="D196" s="878" t="s">
        <v>1644</v>
      </c>
      <c r="E196" s="484"/>
      <c r="F196" s="384" t="s">
        <v>317</v>
      </c>
      <c r="G196" s="391"/>
      <c r="H196" s="750">
        <v>-115965143.28102531</v>
      </c>
      <c r="I196" s="384"/>
    </row>
    <row r="197" spans="1:11">
      <c r="A197" s="1054">
        <f t="shared" si="2"/>
        <v>190</v>
      </c>
      <c r="D197" s="384" t="s">
        <v>311</v>
      </c>
      <c r="E197" s="484"/>
      <c r="G197" s="391"/>
      <c r="H197" s="491">
        <f>SUM(H193:H196)</f>
        <v>-2170267277.0300989</v>
      </c>
      <c r="I197" s="384"/>
    </row>
    <row r="198" spans="1:11">
      <c r="A198" s="1054">
        <f t="shared" si="2"/>
        <v>191</v>
      </c>
      <c r="E198" s="484"/>
      <c r="G198" s="391"/>
      <c r="H198" s="491"/>
      <c r="I198" s="384"/>
    </row>
    <row r="199" spans="1:11" ht="15.75">
      <c r="A199" s="1054">
        <f t="shared" si="2"/>
        <v>192</v>
      </c>
      <c r="C199" s="484"/>
      <c r="D199" s="384" t="s">
        <v>314</v>
      </c>
      <c r="F199" s="1052" t="str">
        <f>"(Line "&amp;A190&amp;" / "&amp;A191&amp;") * Line "&amp;A197</f>
        <v>(Line 183 / 184) * Line 190</v>
      </c>
      <c r="H199" s="389">
        <f>H190/H191*H197</f>
        <v>-904344095.71145511</v>
      </c>
      <c r="J199" s="383"/>
    </row>
    <row r="200" spans="1:11">
      <c r="A200" s="1054">
        <f t="shared" si="2"/>
        <v>193</v>
      </c>
      <c r="C200" s="1070"/>
      <c r="D200" s="1071"/>
      <c r="F200" s="1052"/>
      <c r="G200" s="484"/>
    </row>
    <row r="201" spans="1:11">
      <c r="A201" s="1054">
        <f t="shared" si="2"/>
        <v>194</v>
      </c>
      <c r="F201" s="1052"/>
      <c r="G201" s="391"/>
      <c r="J201" s="1052"/>
    </row>
    <row r="202" spans="1:11">
      <c r="A202" s="1054">
        <f t="shared" ref="A202:A218" si="3">A201+1</f>
        <v>195</v>
      </c>
      <c r="D202" s="484" t="s">
        <v>312</v>
      </c>
      <c r="F202" s="384" t="str">
        <f>"Line "&amp;A14&amp;" + "&amp;A18</f>
        <v>Line 7 + 11</v>
      </c>
      <c r="H202" s="400">
        <f>+F14+F18</f>
        <v>0.10085872351987216</v>
      </c>
      <c r="J202" s="1052"/>
      <c r="K202" s="1052"/>
    </row>
    <row r="203" spans="1:11">
      <c r="A203" s="1054">
        <f t="shared" si="3"/>
        <v>196</v>
      </c>
      <c r="D203" s="1071"/>
      <c r="H203" s="484"/>
      <c r="J203" s="1052"/>
    </row>
    <row r="204" spans="1:11">
      <c r="A204" s="1054">
        <f t="shared" si="3"/>
        <v>197</v>
      </c>
      <c r="B204" s="1054"/>
      <c r="D204" s="384" t="s">
        <v>313</v>
      </c>
      <c r="H204" s="1113">
        <f>H61</f>
        <v>5516521138.4100018</v>
      </c>
      <c r="J204" s="1052"/>
    </row>
    <row r="205" spans="1:11">
      <c r="A205" s="1054">
        <f t="shared" si="3"/>
        <v>198</v>
      </c>
      <c r="B205" s="1052"/>
      <c r="C205" s="1052"/>
      <c r="F205" s="1052"/>
      <c r="H205" s="391"/>
    </row>
    <row r="206" spans="1:11">
      <c r="A206" s="1054">
        <f t="shared" si="3"/>
        <v>199</v>
      </c>
      <c r="B206" s="1052"/>
      <c r="C206" s="1052"/>
      <c r="D206" s="1079" t="s">
        <v>409</v>
      </c>
      <c r="E206" s="1079"/>
      <c r="F206" s="1079"/>
      <c r="G206" s="1088"/>
      <c r="H206" s="401">
        <f>+H199*H202/H204</f>
        <v>-1.6534150568392404E-2</v>
      </c>
      <c r="I206" s="1107"/>
    </row>
    <row r="207" spans="1:11">
      <c r="A207" s="1054">
        <f t="shared" si="3"/>
        <v>200</v>
      </c>
      <c r="G207" s="485"/>
      <c r="I207" s="384"/>
      <c r="J207" s="1114"/>
    </row>
    <row r="208" spans="1:11">
      <c r="A208" s="1054">
        <f t="shared" si="3"/>
        <v>201</v>
      </c>
      <c r="B208" s="387" t="s">
        <v>319</v>
      </c>
      <c r="I208" s="384"/>
    </row>
    <row r="209" spans="1:9">
      <c r="A209" s="1054">
        <f t="shared" si="3"/>
        <v>202</v>
      </c>
      <c r="I209" s="384"/>
    </row>
    <row r="210" spans="1:9">
      <c r="A210" s="1054">
        <f t="shared" si="3"/>
        <v>203</v>
      </c>
      <c r="H210" s="1115"/>
    </row>
    <row r="211" spans="1:9">
      <c r="A211" s="1054">
        <f t="shared" si="3"/>
        <v>204</v>
      </c>
      <c r="H211" s="1105"/>
    </row>
    <row r="212" spans="1:9">
      <c r="A212" s="1054">
        <f t="shared" si="3"/>
        <v>205</v>
      </c>
      <c r="D212" s="384" t="s">
        <v>320</v>
      </c>
      <c r="F212" s="384" t="s">
        <v>318</v>
      </c>
      <c r="G212" s="485"/>
      <c r="H212" s="749">
        <v>42289696</v>
      </c>
    </row>
    <row r="213" spans="1:9">
      <c r="A213" s="1054">
        <f t="shared" si="3"/>
        <v>206</v>
      </c>
      <c r="D213" s="384" t="s">
        <v>321</v>
      </c>
      <c r="F213" s="384" t="str">
        <f>"Line "&amp;A139</f>
        <v>Line 132</v>
      </c>
      <c r="G213" s="484"/>
      <c r="H213" s="1116">
        <f>H139</f>
        <v>7.3899999999999993E-2</v>
      </c>
    </row>
    <row r="214" spans="1:9">
      <c r="A214" s="1054">
        <f t="shared" si="3"/>
        <v>207</v>
      </c>
      <c r="D214" s="384" t="s">
        <v>322</v>
      </c>
      <c r="F214" s="384" t="str">
        <f>"Line "&amp;A212&amp;" * "&amp;A213</f>
        <v>Line 205 * 206</v>
      </c>
      <c r="G214" s="485"/>
      <c r="H214" s="491">
        <f>H212*H213</f>
        <v>3125208.5343999998</v>
      </c>
    </row>
    <row r="215" spans="1:9">
      <c r="A215" s="1054">
        <f t="shared" si="3"/>
        <v>208</v>
      </c>
      <c r="D215" s="384" t="s">
        <v>323</v>
      </c>
      <c r="F215" s="384" t="str">
        <f>"Line "&amp;A57</f>
        <v>Line 50</v>
      </c>
      <c r="G215" s="484"/>
      <c r="H215" s="491">
        <f>H57</f>
        <v>5396253138.8100014</v>
      </c>
    </row>
    <row r="216" spans="1:9">
      <c r="A216" s="1054">
        <f t="shared" si="3"/>
        <v>209</v>
      </c>
      <c r="G216" s="484"/>
      <c r="H216" s="491"/>
    </row>
    <row r="217" spans="1:9">
      <c r="A217" s="1054">
        <f t="shared" si="3"/>
        <v>210</v>
      </c>
      <c r="D217" s="384" t="s">
        <v>324</v>
      </c>
      <c r="F217" s="384" t="str">
        <f>"Line "&amp;A70</f>
        <v>Line 63</v>
      </c>
      <c r="G217" s="484"/>
      <c r="H217" s="491">
        <f>H70</f>
        <v>12401986380</v>
      </c>
    </row>
    <row r="218" spans="1:9" ht="12.75" thickBot="1">
      <c r="A218" s="1054">
        <f t="shared" si="3"/>
        <v>211</v>
      </c>
      <c r="D218" s="384" t="s">
        <v>1285</v>
      </c>
      <c r="F218" s="384" t="str">
        <f>"Line "&amp;A215&amp;" / "&amp;A217</f>
        <v>Line 208 / 210</v>
      </c>
      <c r="G218" s="484"/>
      <c r="H218" s="639">
        <f>H215/H217</f>
        <v>0.43511200330877975</v>
      </c>
    </row>
    <row r="219" spans="1:9" ht="12.75" thickBot="1">
      <c r="A219" s="1054">
        <f>A218+1</f>
        <v>212</v>
      </c>
      <c r="D219" s="384" t="s">
        <v>325</v>
      </c>
      <c r="F219" s="384" t="str">
        <f>"(Line "&amp;A214&amp;" * "&amp;A218&amp;") / Line "&amp;A215</f>
        <v>(Line 207 * 211) / Line 208</v>
      </c>
      <c r="G219" s="485"/>
      <c r="H219" s="718">
        <f>(H214*H218)/(H215)</f>
        <v>2.5199257914360008E-4</v>
      </c>
      <c r="I219" s="1105"/>
    </row>
    <row r="220" spans="1:9">
      <c r="A220" s="1054"/>
      <c r="G220" s="484"/>
      <c r="H220" s="491"/>
    </row>
    <row r="223" spans="1:9">
      <c r="I223" s="384"/>
    </row>
    <row r="224" spans="1:9">
      <c r="I224" s="384"/>
    </row>
    <row r="225" spans="9:9">
      <c r="I225" s="384"/>
    </row>
    <row r="226" spans="9:9">
      <c r="I226" s="384"/>
    </row>
    <row r="227" spans="9:9">
      <c r="I227" s="384"/>
    </row>
    <row r="228" spans="9:9">
      <c r="I228" s="384"/>
    </row>
    <row r="229" spans="9:9">
      <c r="I229" s="384"/>
    </row>
    <row r="230" spans="9:9">
      <c r="I230" s="384"/>
    </row>
    <row r="231" spans="9:9">
      <c r="I231" s="384"/>
    </row>
    <row r="232" spans="9:9">
      <c r="I232" s="384"/>
    </row>
    <row r="233" spans="9:9">
      <c r="I233" s="384"/>
    </row>
    <row r="234" spans="9:9">
      <c r="I234" s="384"/>
    </row>
    <row r="235" spans="9:9">
      <c r="I235" s="384"/>
    </row>
    <row r="236" spans="9:9">
      <c r="I236" s="384"/>
    </row>
    <row r="237" spans="9:9">
      <c r="I237" s="384"/>
    </row>
    <row r="238" spans="9:9">
      <c r="I238" s="384"/>
    </row>
    <row r="239" spans="9:9">
      <c r="I239" s="384"/>
    </row>
    <row r="240" spans="9:9">
      <c r="I240" s="384"/>
    </row>
    <row r="241" spans="5:9">
      <c r="I241" s="384"/>
    </row>
    <row r="242" spans="5:9">
      <c r="I242" s="384"/>
    </row>
    <row r="243" spans="5:9">
      <c r="I243" s="384"/>
    </row>
    <row r="244" spans="5:9">
      <c r="I244" s="384"/>
    </row>
    <row r="245" spans="5:9">
      <c r="I245" s="384"/>
    </row>
    <row r="246" spans="5:9">
      <c r="I246" s="384"/>
    </row>
    <row r="247" spans="5:9">
      <c r="I247" s="384"/>
    </row>
    <row r="248" spans="5:9">
      <c r="I248" s="384"/>
    </row>
    <row r="249" spans="5:9">
      <c r="I249" s="384"/>
    </row>
    <row r="250" spans="5:9">
      <c r="I250" s="384"/>
    </row>
    <row r="251" spans="5:9">
      <c r="I251" s="384"/>
    </row>
    <row r="252" spans="5:9">
      <c r="I252" s="384"/>
    </row>
    <row r="253" spans="5:9">
      <c r="I253" s="384"/>
    </row>
    <row r="255" spans="5:9">
      <c r="E255" s="1117"/>
    </row>
    <row r="256" spans="5:9">
      <c r="E256" s="396"/>
    </row>
    <row r="257" spans="9:9">
      <c r="I257" s="384"/>
    </row>
    <row r="258" spans="9:9">
      <c r="I258" s="384"/>
    </row>
    <row r="259" spans="9:9">
      <c r="I259" s="384"/>
    </row>
    <row r="260" spans="9:9">
      <c r="I260" s="384"/>
    </row>
    <row r="261" spans="9:9">
      <c r="I261" s="384"/>
    </row>
    <row r="262" spans="9:9">
      <c r="I262" s="384"/>
    </row>
    <row r="263" spans="9:9">
      <c r="I263" s="384"/>
    </row>
    <row r="264" spans="9:9">
      <c r="I264" s="384"/>
    </row>
    <row r="265" spans="9:9">
      <c r="I265" s="384"/>
    </row>
    <row r="266" spans="9:9">
      <c r="I266" s="384"/>
    </row>
    <row r="267" spans="9:9">
      <c r="I267" s="384"/>
    </row>
    <row r="268" spans="9:9">
      <c r="I268" s="384"/>
    </row>
    <row r="269" spans="9:9" ht="13.5" customHeight="1">
      <c r="I269" s="384"/>
    </row>
    <row r="270" spans="9:9">
      <c r="I270" s="384"/>
    </row>
    <row r="271" spans="9:9">
      <c r="I271" s="384"/>
    </row>
    <row r="272" spans="9:9">
      <c r="I272" s="384"/>
    </row>
    <row r="273" spans="9:9">
      <c r="I273" s="384"/>
    </row>
    <row r="274" spans="9:9">
      <c r="I274" s="384"/>
    </row>
    <row r="275" spans="9:9">
      <c r="I275" s="384"/>
    </row>
    <row r="276" spans="9:9">
      <c r="I276" s="384"/>
    </row>
    <row r="277" spans="9:9">
      <c r="I277" s="384"/>
    </row>
    <row r="278" spans="9:9">
      <c r="I278" s="384"/>
    </row>
    <row r="279" spans="9:9">
      <c r="I279" s="384"/>
    </row>
    <row r="280" spans="9:9">
      <c r="I280" s="384"/>
    </row>
    <row r="281" spans="9:9">
      <c r="I281" s="384"/>
    </row>
    <row r="282" spans="9:9">
      <c r="I282" s="384"/>
    </row>
    <row r="283" spans="9:9">
      <c r="I283" s="384"/>
    </row>
    <row r="284" spans="9:9">
      <c r="I284" s="384"/>
    </row>
    <row r="285" spans="9:9">
      <c r="I285" s="384"/>
    </row>
    <row r="286" spans="9:9">
      <c r="I286" s="384"/>
    </row>
    <row r="287" spans="9:9">
      <c r="I287" s="384"/>
    </row>
    <row r="289" spans="9:11">
      <c r="I289" s="384"/>
    </row>
    <row r="291" spans="9:11">
      <c r="I291" s="384"/>
    </row>
    <row r="292" spans="9:11">
      <c r="I292" s="384"/>
    </row>
    <row r="293" spans="9:11">
      <c r="I293" s="384"/>
    </row>
    <row r="294" spans="9:11">
      <c r="I294" s="384"/>
    </row>
    <row r="295" spans="9:11">
      <c r="I295" s="384"/>
    </row>
    <row r="296" spans="9:11">
      <c r="I296" s="384"/>
    </row>
    <row r="297" spans="9:11">
      <c r="I297" s="384"/>
      <c r="K297" s="1052"/>
    </row>
    <row r="298" spans="9:11">
      <c r="I298" s="384"/>
      <c r="K298" s="1052"/>
    </row>
    <row r="299" spans="9:11">
      <c r="I299" s="384"/>
      <c r="K299" s="1052"/>
    </row>
    <row r="300" spans="9:11">
      <c r="I300" s="384"/>
      <c r="K300" s="1052"/>
    </row>
    <row r="301" spans="9:11">
      <c r="I301" s="384"/>
      <c r="K301" s="1052"/>
    </row>
    <row r="302" spans="9:11">
      <c r="I302" s="384"/>
      <c r="K302" s="1052"/>
    </row>
    <row r="303" spans="9:11">
      <c r="I303" s="384"/>
      <c r="K303" s="1052"/>
    </row>
    <row r="304" spans="9:11">
      <c r="I304" s="384"/>
      <c r="K304" s="1052"/>
    </row>
    <row r="305" spans="9:11">
      <c r="I305" s="384"/>
      <c r="K305" s="1052"/>
    </row>
    <row r="306" spans="9:11">
      <c r="I306" s="384"/>
      <c r="K306" s="1052"/>
    </row>
    <row r="307" spans="9:11">
      <c r="I307" s="384"/>
      <c r="K307" s="1052"/>
    </row>
    <row r="308" spans="9:11">
      <c r="I308" s="384"/>
      <c r="K308" s="1052"/>
    </row>
    <row r="309" spans="9:11">
      <c r="I309" s="384"/>
    </row>
  </sheetData>
  <mergeCells count="1">
    <mergeCell ref="F71:G71"/>
  </mergeCells>
  <phoneticPr fontId="28" type="noConversion"/>
  <printOptions horizontalCentered="1"/>
  <pageMargins left="0.75" right="0.75" top="1" bottom="1" header="0.5" footer="0.5"/>
  <pageSetup scale="65" orientation="portrait" r:id="rId1"/>
  <headerFooter alignWithMargins="0">
    <oddHeader>&amp;RPage &amp;P of &amp;N</oddHeader>
  </headerFooter>
  <rowBreaks count="3" manualBreakCount="3">
    <brk id="30" max="8" man="1"/>
    <brk id="91" max="8" man="1"/>
    <brk id="141" max="8"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pageSetUpPr fitToPage="1"/>
  </sheetPr>
  <dimension ref="A1:M56"/>
  <sheetViews>
    <sheetView topLeftCell="A19" workbookViewId="0">
      <selection activeCell="J15" sqref="J15"/>
    </sheetView>
  </sheetViews>
  <sheetFormatPr defaultRowHeight="12.75"/>
  <cols>
    <col min="2" max="2" width="22.7109375" customWidth="1"/>
    <col min="3" max="3" width="2.5703125" customWidth="1"/>
    <col min="4" max="4" width="14.85546875" customWidth="1"/>
    <col min="5" max="5" width="1.7109375" customWidth="1"/>
    <col min="6" max="6" width="11.85546875" bestFit="1" customWidth="1"/>
    <col min="7" max="7" width="2.5703125" customWidth="1"/>
    <col min="8" max="8" width="12.140625" bestFit="1" customWidth="1"/>
    <col min="9" max="9" width="3.42578125" customWidth="1"/>
    <col min="10" max="10" width="14.140625" bestFit="1" customWidth="1"/>
    <col min="11" max="11" width="3.42578125" customWidth="1"/>
    <col min="12" max="12" width="16.85546875" bestFit="1" customWidth="1"/>
    <col min="13" max="13" width="23.28515625" customWidth="1"/>
    <col min="15" max="15" width="8.5703125" customWidth="1"/>
    <col min="258" max="258" width="22.7109375" customWidth="1"/>
    <col min="259" max="259" width="2.5703125" customWidth="1"/>
    <col min="260" max="260" width="14.85546875" customWidth="1"/>
    <col min="261" max="261" width="1.7109375" customWidth="1"/>
    <col min="262" max="262" width="11.85546875" bestFit="1" customWidth="1"/>
    <col min="263" max="263" width="2.5703125" customWidth="1"/>
    <col min="264" max="264" width="12.140625" bestFit="1" customWidth="1"/>
    <col min="265" max="265" width="3.42578125" customWidth="1"/>
    <col min="266" max="266" width="14.140625" bestFit="1" customWidth="1"/>
    <col min="267" max="267" width="3.42578125" customWidth="1"/>
    <col min="268" max="268" width="16.85546875" bestFit="1" customWidth="1"/>
    <col min="269" max="269" width="23.28515625" customWidth="1"/>
    <col min="271" max="271" width="8.5703125" customWidth="1"/>
    <col min="514" max="514" width="22.7109375" customWidth="1"/>
    <col min="515" max="515" width="2.5703125" customWidth="1"/>
    <col min="516" max="516" width="14.85546875" customWidth="1"/>
    <col min="517" max="517" width="1.7109375" customWidth="1"/>
    <col min="518" max="518" width="11.85546875" bestFit="1" customWidth="1"/>
    <col min="519" max="519" width="2.5703125" customWidth="1"/>
    <col min="520" max="520" width="12.140625" bestFit="1" customWidth="1"/>
    <col min="521" max="521" width="3.42578125" customWidth="1"/>
    <col min="522" max="522" width="14.140625" bestFit="1" customWidth="1"/>
    <col min="523" max="523" width="3.42578125" customWidth="1"/>
    <col min="524" max="524" width="16.85546875" bestFit="1" customWidth="1"/>
    <col min="525" max="525" width="23.28515625" customWidth="1"/>
    <col min="527" max="527" width="8.5703125" customWidth="1"/>
    <col min="770" max="770" width="22.7109375" customWidth="1"/>
    <col min="771" max="771" width="2.5703125" customWidth="1"/>
    <col min="772" max="772" width="14.85546875" customWidth="1"/>
    <col min="773" max="773" width="1.7109375" customWidth="1"/>
    <col min="774" max="774" width="11.85546875" bestFit="1" customWidth="1"/>
    <col min="775" max="775" width="2.5703125" customWidth="1"/>
    <col min="776" max="776" width="12.140625" bestFit="1" customWidth="1"/>
    <col min="777" max="777" width="3.42578125" customWidth="1"/>
    <col min="778" max="778" width="14.140625" bestFit="1" customWidth="1"/>
    <col min="779" max="779" width="3.42578125" customWidth="1"/>
    <col min="780" max="780" width="16.85546875" bestFit="1" customWidth="1"/>
    <col min="781" max="781" width="23.28515625" customWidth="1"/>
    <col min="783" max="783" width="8.5703125" customWidth="1"/>
    <col min="1026" max="1026" width="22.7109375" customWidth="1"/>
    <col min="1027" max="1027" width="2.5703125" customWidth="1"/>
    <col min="1028" max="1028" width="14.85546875" customWidth="1"/>
    <col min="1029" max="1029" width="1.7109375" customWidth="1"/>
    <col min="1030" max="1030" width="11.85546875" bestFit="1" customWidth="1"/>
    <col min="1031" max="1031" width="2.5703125" customWidth="1"/>
    <col min="1032" max="1032" width="12.140625" bestFit="1" customWidth="1"/>
    <col min="1033" max="1033" width="3.42578125" customWidth="1"/>
    <col min="1034" max="1034" width="14.140625" bestFit="1" customWidth="1"/>
    <col min="1035" max="1035" width="3.42578125" customWidth="1"/>
    <col min="1036" max="1036" width="16.85546875" bestFit="1" customWidth="1"/>
    <col min="1037" max="1037" width="23.28515625" customWidth="1"/>
    <col min="1039" max="1039" width="8.5703125" customWidth="1"/>
    <col min="1282" max="1282" width="22.7109375" customWidth="1"/>
    <col min="1283" max="1283" width="2.5703125" customWidth="1"/>
    <col min="1284" max="1284" width="14.85546875" customWidth="1"/>
    <col min="1285" max="1285" width="1.7109375" customWidth="1"/>
    <col min="1286" max="1286" width="11.85546875" bestFit="1" customWidth="1"/>
    <col min="1287" max="1287" width="2.5703125" customWidth="1"/>
    <col min="1288" max="1288" width="12.140625" bestFit="1" customWidth="1"/>
    <col min="1289" max="1289" width="3.42578125" customWidth="1"/>
    <col min="1290" max="1290" width="14.140625" bestFit="1" customWidth="1"/>
    <col min="1291" max="1291" width="3.42578125" customWidth="1"/>
    <col min="1292" max="1292" width="16.85546875" bestFit="1" customWidth="1"/>
    <col min="1293" max="1293" width="23.28515625" customWidth="1"/>
    <col min="1295" max="1295" width="8.5703125" customWidth="1"/>
    <col min="1538" max="1538" width="22.7109375" customWidth="1"/>
    <col min="1539" max="1539" width="2.5703125" customWidth="1"/>
    <col min="1540" max="1540" width="14.85546875" customWidth="1"/>
    <col min="1541" max="1541" width="1.7109375" customWidth="1"/>
    <col min="1542" max="1542" width="11.85546875" bestFit="1" customWidth="1"/>
    <col min="1543" max="1543" width="2.5703125" customWidth="1"/>
    <col min="1544" max="1544" width="12.140625" bestFit="1" customWidth="1"/>
    <col min="1545" max="1545" width="3.42578125" customWidth="1"/>
    <col min="1546" max="1546" width="14.140625" bestFit="1" customWidth="1"/>
    <col min="1547" max="1547" width="3.42578125" customWidth="1"/>
    <col min="1548" max="1548" width="16.85546875" bestFit="1" customWidth="1"/>
    <col min="1549" max="1549" width="23.28515625" customWidth="1"/>
    <col min="1551" max="1551" width="8.5703125" customWidth="1"/>
    <col min="1794" max="1794" width="22.7109375" customWidth="1"/>
    <col min="1795" max="1795" width="2.5703125" customWidth="1"/>
    <col min="1796" max="1796" width="14.85546875" customWidth="1"/>
    <col min="1797" max="1797" width="1.7109375" customWidth="1"/>
    <col min="1798" max="1798" width="11.85546875" bestFit="1" customWidth="1"/>
    <col min="1799" max="1799" width="2.5703125" customWidth="1"/>
    <col min="1800" max="1800" width="12.140625" bestFit="1" customWidth="1"/>
    <col min="1801" max="1801" width="3.42578125" customWidth="1"/>
    <col min="1802" max="1802" width="14.140625" bestFit="1" customWidth="1"/>
    <col min="1803" max="1803" width="3.42578125" customWidth="1"/>
    <col min="1804" max="1804" width="16.85546875" bestFit="1" customWidth="1"/>
    <col min="1805" max="1805" width="23.28515625" customWidth="1"/>
    <col min="1807" max="1807" width="8.5703125" customWidth="1"/>
    <col min="2050" max="2050" width="22.7109375" customWidth="1"/>
    <col min="2051" max="2051" width="2.5703125" customWidth="1"/>
    <col min="2052" max="2052" width="14.85546875" customWidth="1"/>
    <col min="2053" max="2053" width="1.7109375" customWidth="1"/>
    <col min="2054" max="2054" width="11.85546875" bestFit="1" customWidth="1"/>
    <col min="2055" max="2055" width="2.5703125" customWidth="1"/>
    <col min="2056" max="2056" width="12.140625" bestFit="1" customWidth="1"/>
    <col min="2057" max="2057" width="3.42578125" customWidth="1"/>
    <col min="2058" max="2058" width="14.140625" bestFit="1" customWidth="1"/>
    <col min="2059" max="2059" width="3.42578125" customWidth="1"/>
    <col min="2060" max="2060" width="16.85546875" bestFit="1" customWidth="1"/>
    <col min="2061" max="2061" width="23.28515625" customWidth="1"/>
    <col min="2063" max="2063" width="8.5703125" customWidth="1"/>
    <col min="2306" max="2306" width="22.7109375" customWidth="1"/>
    <col min="2307" max="2307" width="2.5703125" customWidth="1"/>
    <col min="2308" max="2308" width="14.85546875" customWidth="1"/>
    <col min="2309" max="2309" width="1.7109375" customWidth="1"/>
    <col min="2310" max="2310" width="11.85546875" bestFit="1" customWidth="1"/>
    <col min="2311" max="2311" width="2.5703125" customWidth="1"/>
    <col min="2312" max="2312" width="12.140625" bestFit="1" customWidth="1"/>
    <col min="2313" max="2313" width="3.42578125" customWidth="1"/>
    <col min="2314" max="2314" width="14.140625" bestFit="1" customWidth="1"/>
    <col min="2315" max="2315" width="3.42578125" customWidth="1"/>
    <col min="2316" max="2316" width="16.85546875" bestFit="1" customWidth="1"/>
    <col min="2317" max="2317" width="23.28515625" customWidth="1"/>
    <col min="2319" max="2319" width="8.5703125" customWidth="1"/>
    <col min="2562" max="2562" width="22.7109375" customWidth="1"/>
    <col min="2563" max="2563" width="2.5703125" customWidth="1"/>
    <col min="2564" max="2564" width="14.85546875" customWidth="1"/>
    <col min="2565" max="2565" width="1.7109375" customWidth="1"/>
    <col min="2566" max="2566" width="11.85546875" bestFit="1" customWidth="1"/>
    <col min="2567" max="2567" width="2.5703125" customWidth="1"/>
    <col min="2568" max="2568" width="12.140625" bestFit="1" customWidth="1"/>
    <col min="2569" max="2569" width="3.42578125" customWidth="1"/>
    <col min="2570" max="2570" width="14.140625" bestFit="1" customWidth="1"/>
    <col min="2571" max="2571" width="3.42578125" customWidth="1"/>
    <col min="2572" max="2572" width="16.85546875" bestFit="1" customWidth="1"/>
    <col min="2573" max="2573" width="23.28515625" customWidth="1"/>
    <col min="2575" max="2575" width="8.5703125" customWidth="1"/>
    <col min="2818" max="2818" width="22.7109375" customWidth="1"/>
    <col min="2819" max="2819" width="2.5703125" customWidth="1"/>
    <col min="2820" max="2820" width="14.85546875" customWidth="1"/>
    <col min="2821" max="2821" width="1.7109375" customWidth="1"/>
    <col min="2822" max="2822" width="11.85546875" bestFit="1" customWidth="1"/>
    <col min="2823" max="2823" width="2.5703125" customWidth="1"/>
    <col min="2824" max="2824" width="12.140625" bestFit="1" customWidth="1"/>
    <col min="2825" max="2825" width="3.42578125" customWidth="1"/>
    <col min="2826" max="2826" width="14.140625" bestFit="1" customWidth="1"/>
    <col min="2827" max="2827" width="3.42578125" customWidth="1"/>
    <col min="2828" max="2828" width="16.85546875" bestFit="1" customWidth="1"/>
    <col min="2829" max="2829" width="23.28515625" customWidth="1"/>
    <col min="2831" max="2831" width="8.5703125" customWidth="1"/>
    <col min="3074" max="3074" width="22.7109375" customWidth="1"/>
    <col min="3075" max="3075" width="2.5703125" customWidth="1"/>
    <col min="3076" max="3076" width="14.85546875" customWidth="1"/>
    <col min="3077" max="3077" width="1.7109375" customWidth="1"/>
    <col min="3078" max="3078" width="11.85546875" bestFit="1" customWidth="1"/>
    <col min="3079" max="3079" width="2.5703125" customWidth="1"/>
    <col min="3080" max="3080" width="12.140625" bestFit="1" customWidth="1"/>
    <col min="3081" max="3081" width="3.42578125" customWidth="1"/>
    <col min="3082" max="3082" width="14.140625" bestFit="1" customWidth="1"/>
    <col min="3083" max="3083" width="3.42578125" customWidth="1"/>
    <col min="3084" max="3084" width="16.85546875" bestFit="1" customWidth="1"/>
    <col min="3085" max="3085" width="23.28515625" customWidth="1"/>
    <col min="3087" max="3087" width="8.5703125" customWidth="1"/>
    <col min="3330" max="3330" width="22.7109375" customWidth="1"/>
    <col min="3331" max="3331" width="2.5703125" customWidth="1"/>
    <col min="3332" max="3332" width="14.85546875" customWidth="1"/>
    <col min="3333" max="3333" width="1.7109375" customWidth="1"/>
    <col min="3334" max="3334" width="11.85546875" bestFit="1" customWidth="1"/>
    <col min="3335" max="3335" width="2.5703125" customWidth="1"/>
    <col min="3336" max="3336" width="12.140625" bestFit="1" customWidth="1"/>
    <col min="3337" max="3337" width="3.42578125" customWidth="1"/>
    <col min="3338" max="3338" width="14.140625" bestFit="1" customWidth="1"/>
    <col min="3339" max="3339" width="3.42578125" customWidth="1"/>
    <col min="3340" max="3340" width="16.85546875" bestFit="1" customWidth="1"/>
    <col min="3341" max="3341" width="23.28515625" customWidth="1"/>
    <col min="3343" max="3343" width="8.5703125" customWidth="1"/>
    <col min="3586" max="3586" width="22.7109375" customWidth="1"/>
    <col min="3587" max="3587" width="2.5703125" customWidth="1"/>
    <col min="3588" max="3588" width="14.85546875" customWidth="1"/>
    <col min="3589" max="3589" width="1.7109375" customWidth="1"/>
    <col min="3590" max="3590" width="11.85546875" bestFit="1" customWidth="1"/>
    <col min="3591" max="3591" width="2.5703125" customWidth="1"/>
    <col min="3592" max="3592" width="12.140625" bestFit="1" customWidth="1"/>
    <col min="3593" max="3593" width="3.42578125" customWidth="1"/>
    <col min="3594" max="3594" width="14.140625" bestFit="1" customWidth="1"/>
    <col min="3595" max="3595" width="3.42578125" customWidth="1"/>
    <col min="3596" max="3596" width="16.85546875" bestFit="1" customWidth="1"/>
    <col min="3597" max="3597" width="23.28515625" customWidth="1"/>
    <col min="3599" max="3599" width="8.5703125" customWidth="1"/>
    <col min="3842" max="3842" width="22.7109375" customWidth="1"/>
    <col min="3843" max="3843" width="2.5703125" customWidth="1"/>
    <col min="3844" max="3844" width="14.85546875" customWidth="1"/>
    <col min="3845" max="3845" width="1.7109375" customWidth="1"/>
    <col min="3846" max="3846" width="11.85546875" bestFit="1" customWidth="1"/>
    <col min="3847" max="3847" width="2.5703125" customWidth="1"/>
    <col min="3848" max="3848" width="12.140625" bestFit="1" customWidth="1"/>
    <col min="3849" max="3849" width="3.42578125" customWidth="1"/>
    <col min="3850" max="3850" width="14.140625" bestFit="1" customWidth="1"/>
    <col min="3851" max="3851" width="3.42578125" customWidth="1"/>
    <col min="3852" max="3852" width="16.85546875" bestFit="1" customWidth="1"/>
    <col min="3853" max="3853" width="23.28515625" customWidth="1"/>
    <col min="3855" max="3855" width="8.5703125" customWidth="1"/>
    <col min="4098" max="4098" width="22.7109375" customWidth="1"/>
    <col min="4099" max="4099" width="2.5703125" customWidth="1"/>
    <col min="4100" max="4100" width="14.85546875" customWidth="1"/>
    <col min="4101" max="4101" width="1.7109375" customWidth="1"/>
    <col min="4102" max="4102" width="11.85546875" bestFit="1" customWidth="1"/>
    <col min="4103" max="4103" width="2.5703125" customWidth="1"/>
    <col min="4104" max="4104" width="12.140625" bestFit="1" customWidth="1"/>
    <col min="4105" max="4105" width="3.42578125" customWidth="1"/>
    <col min="4106" max="4106" width="14.140625" bestFit="1" customWidth="1"/>
    <col min="4107" max="4107" width="3.42578125" customWidth="1"/>
    <col min="4108" max="4108" width="16.85546875" bestFit="1" customWidth="1"/>
    <col min="4109" max="4109" width="23.28515625" customWidth="1"/>
    <col min="4111" max="4111" width="8.5703125" customWidth="1"/>
    <col min="4354" max="4354" width="22.7109375" customWidth="1"/>
    <col min="4355" max="4355" width="2.5703125" customWidth="1"/>
    <col min="4356" max="4356" width="14.85546875" customWidth="1"/>
    <col min="4357" max="4357" width="1.7109375" customWidth="1"/>
    <col min="4358" max="4358" width="11.85546875" bestFit="1" customWidth="1"/>
    <col min="4359" max="4359" width="2.5703125" customWidth="1"/>
    <col min="4360" max="4360" width="12.140625" bestFit="1" customWidth="1"/>
    <col min="4361" max="4361" width="3.42578125" customWidth="1"/>
    <col min="4362" max="4362" width="14.140625" bestFit="1" customWidth="1"/>
    <col min="4363" max="4363" width="3.42578125" customWidth="1"/>
    <col min="4364" max="4364" width="16.85546875" bestFit="1" customWidth="1"/>
    <col min="4365" max="4365" width="23.28515625" customWidth="1"/>
    <col min="4367" max="4367" width="8.5703125" customWidth="1"/>
    <col min="4610" max="4610" width="22.7109375" customWidth="1"/>
    <col min="4611" max="4611" width="2.5703125" customWidth="1"/>
    <col min="4612" max="4612" width="14.85546875" customWidth="1"/>
    <col min="4613" max="4613" width="1.7109375" customWidth="1"/>
    <col min="4614" max="4614" width="11.85546875" bestFit="1" customWidth="1"/>
    <col min="4615" max="4615" width="2.5703125" customWidth="1"/>
    <col min="4616" max="4616" width="12.140625" bestFit="1" customWidth="1"/>
    <col min="4617" max="4617" width="3.42578125" customWidth="1"/>
    <col min="4618" max="4618" width="14.140625" bestFit="1" customWidth="1"/>
    <col min="4619" max="4619" width="3.42578125" customWidth="1"/>
    <col min="4620" max="4620" width="16.85546875" bestFit="1" customWidth="1"/>
    <col min="4621" max="4621" width="23.28515625" customWidth="1"/>
    <col min="4623" max="4623" width="8.5703125" customWidth="1"/>
    <col min="4866" max="4866" width="22.7109375" customWidth="1"/>
    <col min="4867" max="4867" width="2.5703125" customWidth="1"/>
    <col min="4868" max="4868" width="14.85546875" customWidth="1"/>
    <col min="4869" max="4869" width="1.7109375" customWidth="1"/>
    <col min="4870" max="4870" width="11.85546875" bestFit="1" customWidth="1"/>
    <col min="4871" max="4871" width="2.5703125" customWidth="1"/>
    <col min="4872" max="4872" width="12.140625" bestFit="1" customWidth="1"/>
    <col min="4873" max="4873" width="3.42578125" customWidth="1"/>
    <col min="4874" max="4874" width="14.140625" bestFit="1" customWidth="1"/>
    <col min="4875" max="4875" width="3.42578125" customWidth="1"/>
    <col min="4876" max="4876" width="16.85546875" bestFit="1" customWidth="1"/>
    <col min="4877" max="4877" width="23.28515625" customWidth="1"/>
    <col min="4879" max="4879" width="8.5703125" customWidth="1"/>
    <col min="5122" max="5122" width="22.7109375" customWidth="1"/>
    <col min="5123" max="5123" width="2.5703125" customWidth="1"/>
    <col min="5124" max="5124" width="14.85546875" customWidth="1"/>
    <col min="5125" max="5125" width="1.7109375" customWidth="1"/>
    <col min="5126" max="5126" width="11.85546875" bestFit="1" customWidth="1"/>
    <col min="5127" max="5127" width="2.5703125" customWidth="1"/>
    <col min="5128" max="5128" width="12.140625" bestFit="1" customWidth="1"/>
    <col min="5129" max="5129" width="3.42578125" customWidth="1"/>
    <col min="5130" max="5130" width="14.140625" bestFit="1" customWidth="1"/>
    <col min="5131" max="5131" width="3.42578125" customWidth="1"/>
    <col min="5132" max="5132" width="16.85546875" bestFit="1" customWidth="1"/>
    <col min="5133" max="5133" width="23.28515625" customWidth="1"/>
    <col min="5135" max="5135" width="8.5703125" customWidth="1"/>
    <col min="5378" max="5378" width="22.7109375" customWidth="1"/>
    <col min="5379" max="5379" width="2.5703125" customWidth="1"/>
    <col min="5380" max="5380" width="14.85546875" customWidth="1"/>
    <col min="5381" max="5381" width="1.7109375" customWidth="1"/>
    <col min="5382" max="5382" width="11.85546875" bestFit="1" customWidth="1"/>
    <col min="5383" max="5383" width="2.5703125" customWidth="1"/>
    <col min="5384" max="5384" width="12.140625" bestFit="1" customWidth="1"/>
    <col min="5385" max="5385" width="3.42578125" customWidth="1"/>
    <col min="5386" max="5386" width="14.140625" bestFit="1" customWidth="1"/>
    <col min="5387" max="5387" width="3.42578125" customWidth="1"/>
    <col min="5388" max="5388" width="16.85546875" bestFit="1" customWidth="1"/>
    <col min="5389" max="5389" width="23.28515625" customWidth="1"/>
    <col min="5391" max="5391" width="8.5703125" customWidth="1"/>
    <col min="5634" max="5634" width="22.7109375" customWidth="1"/>
    <col min="5635" max="5635" width="2.5703125" customWidth="1"/>
    <col min="5636" max="5636" width="14.85546875" customWidth="1"/>
    <col min="5637" max="5637" width="1.7109375" customWidth="1"/>
    <col min="5638" max="5638" width="11.85546875" bestFit="1" customWidth="1"/>
    <col min="5639" max="5639" width="2.5703125" customWidth="1"/>
    <col min="5640" max="5640" width="12.140625" bestFit="1" customWidth="1"/>
    <col min="5641" max="5641" width="3.42578125" customWidth="1"/>
    <col min="5642" max="5642" width="14.140625" bestFit="1" customWidth="1"/>
    <col min="5643" max="5643" width="3.42578125" customWidth="1"/>
    <col min="5644" max="5644" width="16.85546875" bestFit="1" customWidth="1"/>
    <col min="5645" max="5645" width="23.28515625" customWidth="1"/>
    <col min="5647" max="5647" width="8.5703125" customWidth="1"/>
    <col min="5890" max="5890" width="22.7109375" customWidth="1"/>
    <col min="5891" max="5891" width="2.5703125" customWidth="1"/>
    <col min="5892" max="5892" width="14.85546875" customWidth="1"/>
    <col min="5893" max="5893" width="1.7109375" customWidth="1"/>
    <col min="5894" max="5894" width="11.85546875" bestFit="1" customWidth="1"/>
    <col min="5895" max="5895" width="2.5703125" customWidth="1"/>
    <col min="5896" max="5896" width="12.140625" bestFit="1" customWidth="1"/>
    <col min="5897" max="5897" width="3.42578125" customWidth="1"/>
    <col min="5898" max="5898" width="14.140625" bestFit="1" customWidth="1"/>
    <col min="5899" max="5899" width="3.42578125" customWidth="1"/>
    <col min="5900" max="5900" width="16.85546875" bestFit="1" customWidth="1"/>
    <col min="5901" max="5901" width="23.28515625" customWidth="1"/>
    <col min="5903" max="5903" width="8.5703125" customWidth="1"/>
    <col min="6146" max="6146" width="22.7109375" customWidth="1"/>
    <col min="6147" max="6147" width="2.5703125" customWidth="1"/>
    <col min="6148" max="6148" width="14.85546875" customWidth="1"/>
    <col min="6149" max="6149" width="1.7109375" customWidth="1"/>
    <col min="6150" max="6150" width="11.85546875" bestFit="1" customWidth="1"/>
    <col min="6151" max="6151" width="2.5703125" customWidth="1"/>
    <col min="6152" max="6152" width="12.140625" bestFit="1" customWidth="1"/>
    <col min="6153" max="6153" width="3.42578125" customWidth="1"/>
    <col min="6154" max="6154" width="14.140625" bestFit="1" customWidth="1"/>
    <col min="6155" max="6155" width="3.42578125" customWidth="1"/>
    <col min="6156" max="6156" width="16.85546875" bestFit="1" customWidth="1"/>
    <col min="6157" max="6157" width="23.28515625" customWidth="1"/>
    <col min="6159" max="6159" width="8.5703125" customWidth="1"/>
    <col min="6402" max="6402" width="22.7109375" customWidth="1"/>
    <col min="6403" max="6403" width="2.5703125" customWidth="1"/>
    <col min="6404" max="6404" width="14.85546875" customWidth="1"/>
    <col min="6405" max="6405" width="1.7109375" customWidth="1"/>
    <col min="6406" max="6406" width="11.85546875" bestFit="1" customWidth="1"/>
    <col min="6407" max="6407" width="2.5703125" customWidth="1"/>
    <col min="6408" max="6408" width="12.140625" bestFit="1" customWidth="1"/>
    <col min="6409" max="6409" width="3.42578125" customWidth="1"/>
    <col min="6410" max="6410" width="14.140625" bestFit="1" customWidth="1"/>
    <col min="6411" max="6411" width="3.42578125" customWidth="1"/>
    <col min="6412" max="6412" width="16.85546875" bestFit="1" customWidth="1"/>
    <col min="6413" max="6413" width="23.28515625" customWidth="1"/>
    <col min="6415" max="6415" width="8.5703125" customWidth="1"/>
    <col min="6658" max="6658" width="22.7109375" customWidth="1"/>
    <col min="6659" max="6659" width="2.5703125" customWidth="1"/>
    <col min="6660" max="6660" width="14.85546875" customWidth="1"/>
    <col min="6661" max="6661" width="1.7109375" customWidth="1"/>
    <col min="6662" max="6662" width="11.85546875" bestFit="1" customWidth="1"/>
    <col min="6663" max="6663" width="2.5703125" customWidth="1"/>
    <col min="6664" max="6664" width="12.140625" bestFit="1" customWidth="1"/>
    <col min="6665" max="6665" width="3.42578125" customWidth="1"/>
    <col min="6666" max="6666" width="14.140625" bestFit="1" customWidth="1"/>
    <col min="6667" max="6667" width="3.42578125" customWidth="1"/>
    <col min="6668" max="6668" width="16.85546875" bestFit="1" customWidth="1"/>
    <col min="6669" max="6669" width="23.28515625" customWidth="1"/>
    <col min="6671" max="6671" width="8.5703125" customWidth="1"/>
    <col min="6914" max="6914" width="22.7109375" customWidth="1"/>
    <col min="6915" max="6915" width="2.5703125" customWidth="1"/>
    <col min="6916" max="6916" width="14.85546875" customWidth="1"/>
    <col min="6917" max="6917" width="1.7109375" customWidth="1"/>
    <col min="6918" max="6918" width="11.85546875" bestFit="1" customWidth="1"/>
    <col min="6919" max="6919" width="2.5703125" customWidth="1"/>
    <col min="6920" max="6920" width="12.140625" bestFit="1" customWidth="1"/>
    <col min="6921" max="6921" width="3.42578125" customWidth="1"/>
    <col min="6922" max="6922" width="14.140625" bestFit="1" customWidth="1"/>
    <col min="6923" max="6923" width="3.42578125" customWidth="1"/>
    <col min="6924" max="6924" width="16.85546875" bestFit="1" customWidth="1"/>
    <col min="6925" max="6925" width="23.28515625" customWidth="1"/>
    <col min="6927" max="6927" width="8.5703125" customWidth="1"/>
    <col min="7170" max="7170" width="22.7109375" customWidth="1"/>
    <col min="7171" max="7171" width="2.5703125" customWidth="1"/>
    <col min="7172" max="7172" width="14.85546875" customWidth="1"/>
    <col min="7173" max="7173" width="1.7109375" customWidth="1"/>
    <col min="7174" max="7174" width="11.85546875" bestFit="1" customWidth="1"/>
    <col min="7175" max="7175" width="2.5703125" customWidth="1"/>
    <col min="7176" max="7176" width="12.140625" bestFit="1" customWidth="1"/>
    <col min="7177" max="7177" width="3.42578125" customWidth="1"/>
    <col min="7178" max="7178" width="14.140625" bestFit="1" customWidth="1"/>
    <col min="7179" max="7179" width="3.42578125" customWidth="1"/>
    <col min="7180" max="7180" width="16.85546875" bestFit="1" customWidth="1"/>
    <col min="7181" max="7181" width="23.28515625" customWidth="1"/>
    <col min="7183" max="7183" width="8.5703125" customWidth="1"/>
    <col min="7426" max="7426" width="22.7109375" customWidth="1"/>
    <col min="7427" max="7427" width="2.5703125" customWidth="1"/>
    <col min="7428" max="7428" width="14.85546875" customWidth="1"/>
    <col min="7429" max="7429" width="1.7109375" customWidth="1"/>
    <col min="7430" max="7430" width="11.85546875" bestFit="1" customWidth="1"/>
    <col min="7431" max="7431" width="2.5703125" customWidth="1"/>
    <col min="7432" max="7432" width="12.140625" bestFit="1" customWidth="1"/>
    <col min="7433" max="7433" width="3.42578125" customWidth="1"/>
    <col min="7434" max="7434" width="14.140625" bestFit="1" customWidth="1"/>
    <col min="7435" max="7435" width="3.42578125" customWidth="1"/>
    <col min="7436" max="7436" width="16.85546875" bestFit="1" customWidth="1"/>
    <col min="7437" max="7437" width="23.28515625" customWidth="1"/>
    <col min="7439" max="7439" width="8.5703125" customWidth="1"/>
    <col min="7682" max="7682" width="22.7109375" customWidth="1"/>
    <col min="7683" max="7683" width="2.5703125" customWidth="1"/>
    <col min="7684" max="7684" width="14.85546875" customWidth="1"/>
    <col min="7685" max="7685" width="1.7109375" customWidth="1"/>
    <col min="7686" max="7686" width="11.85546875" bestFit="1" customWidth="1"/>
    <col min="7687" max="7687" width="2.5703125" customWidth="1"/>
    <col min="7688" max="7688" width="12.140625" bestFit="1" customWidth="1"/>
    <col min="7689" max="7689" width="3.42578125" customWidth="1"/>
    <col min="7690" max="7690" width="14.140625" bestFit="1" customWidth="1"/>
    <col min="7691" max="7691" width="3.42578125" customWidth="1"/>
    <col min="7692" max="7692" width="16.85546875" bestFit="1" customWidth="1"/>
    <col min="7693" max="7693" width="23.28515625" customWidth="1"/>
    <col min="7695" max="7695" width="8.5703125" customWidth="1"/>
    <col min="7938" max="7938" width="22.7109375" customWidth="1"/>
    <col min="7939" max="7939" width="2.5703125" customWidth="1"/>
    <col min="7940" max="7940" width="14.85546875" customWidth="1"/>
    <col min="7941" max="7941" width="1.7109375" customWidth="1"/>
    <col min="7942" max="7942" width="11.85546875" bestFit="1" customWidth="1"/>
    <col min="7943" max="7943" width="2.5703125" customWidth="1"/>
    <col min="7944" max="7944" width="12.140625" bestFit="1" customWidth="1"/>
    <col min="7945" max="7945" width="3.42578125" customWidth="1"/>
    <col min="7946" max="7946" width="14.140625" bestFit="1" customWidth="1"/>
    <col min="7947" max="7947" width="3.42578125" customWidth="1"/>
    <col min="7948" max="7948" width="16.85546875" bestFit="1" customWidth="1"/>
    <col min="7949" max="7949" width="23.28515625" customWidth="1"/>
    <col min="7951" max="7951" width="8.5703125" customWidth="1"/>
    <col min="8194" max="8194" width="22.7109375" customWidth="1"/>
    <col min="8195" max="8195" width="2.5703125" customWidth="1"/>
    <col min="8196" max="8196" width="14.85546875" customWidth="1"/>
    <col min="8197" max="8197" width="1.7109375" customWidth="1"/>
    <col min="8198" max="8198" width="11.85546875" bestFit="1" customWidth="1"/>
    <col min="8199" max="8199" width="2.5703125" customWidth="1"/>
    <col min="8200" max="8200" width="12.140625" bestFit="1" customWidth="1"/>
    <col min="8201" max="8201" width="3.42578125" customWidth="1"/>
    <col min="8202" max="8202" width="14.140625" bestFit="1" customWidth="1"/>
    <col min="8203" max="8203" width="3.42578125" customWidth="1"/>
    <col min="8204" max="8204" width="16.85546875" bestFit="1" customWidth="1"/>
    <col min="8205" max="8205" width="23.28515625" customWidth="1"/>
    <col min="8207" max="8207" width="8.5703125" customWidth="1"/>
    <col min="8450" max="8450" width="22.7109375" customWidth="1"/>
    <col min="8451" max="8451" width="2.5703125" customWidth="1"/>
    <col min="8452" max="8452" width="14.85546875" customWidth="1"/>
    <col min="8453" max="8453" width="1.7109375" customWidth="1"/>
    <col min="8454" max="8454" width="11.85546875" bestFit="1" customWidth="1"/>
    <col min="8455" max="8455" width="2.5703125" customWidth="1"/>
    <col min="8456" max="8456" width="12.140625" bestFit="1" customWidth="1"/>
    <col min="8457" max="8457" width="3.42578125" customWidth="1"/>
    <col min="8458" max="8458" width="14.140625" bestFit="1" customWidth="1"/>
    <col min="8459" max="8459" width="3.42578125" customWidth="1"/>
    <col min="8460" max="8460" width="16.85546875" bestFit="1" customWidth="1"/>
    <col min="8461" max="8461" width="23.28515625" customWidth="1"/>
    <col min="8463" max="8463" width="8.5703125" customWidth="1"/>
    <col min="8706" max="8706" width="22.7109375" customWidth="1"/>
    <col min="8707" max="8707" width="2.5703125" customWidth="1"/>
    <col min="8708" max="8708" width="14.85546875" customWidth="1"/>
    <col min="8709" max="8709" width="1.7109375" customWidth="1"/>
    <col min="8710" max="8710" width="11.85546875" bestFit="1" customWidth="1"/>
    <col min="8711" max="8711" width="2.5703125" customWidth="1"/>
    <col min="8712" max="8712" width="12.140625" bestFit="1" customWidth="1"/>
    <col min="8713" max="8713" width="3.42578125" customWidth="1"/>
    <col min="8714" max="8714" width="14.140625" bestFit="1" customWidth="1"/>
    <col min="8715" max="8715" width="3.42578125" customWidth="1"/>
    <col min="8716" max="8716" width="16.85546875" bestFit="1" customWidth="1"/>
    <col min="8717" max="8717" width="23.28515625" customWidth="1"/>
    <col min="8719" max="8719" width="8.5703125" customWidth="1"/>
    <col min="8962" max="8962" width="22.7109375" customWidth="1"/>
    <col min="8963" max="8963" width="2.5703125" customWidth="1"/>
    <col min="8964" max="8964" width="14.85546875" customWidth="1"/>
    <col min="8965" max="8965" width="1.7109375" customWidth="1"/>
    <col min="8966" max="8966" width="11.85546875" bestFit="1" customWidth="1"/>
    <col min="8967" max="8967" width="2.5703125" customWidth="1"/>
    <col min="8968" max="8968" width="12.140625" bestFit="1" customWidth="1"/>
    <col min="8969" max="8969" width="3.42578125" customWidth="1"/>
    <col min="8970" max="8970" width="14.140625" bestFit="1" customWidth="1"/>
    <col min="8971" max="8971" width="3.42578125" customWidth="1"/>
    <col min="8972" max="8972" width="16.85546875" bestFit="1" customWidth="1"/>
    <col min="8973" max="8973" width="23.28515625" customWidth="1"/>
    <col min="8975" max="8975" width="8.5703125" customWidth="1"/>
    <col min="9218" max="9218" width="22.7109375" customWidth="1"/>
    <col min="9219" max="9219" width="2.5703125" customWidth="1"/>
    <col min="9220" max="9220" width="14.85546875" customWidth="1"/>
    <col min="9221" max="9221" width="1.7109375" customWidth="1"/>
    <col min="9222" max="9222" width="11.85546875" bestFit="1" customWidth="1"/>
    <col min="9223" max="9223" width="2.5703125" customWidth="1"/>
    <col min="9224" max="9224" width="12.140625" bestFit="1" customWidth="1"/>
    <col min="9225" max="9225" width="3.42578125" customWidth="1"/>
    <col min="9226" max="9226" width="14.140625" bestFit="1" customWidth="1"/>
    <col min="9227" max="9227" width="3.42578125" customWidth="1"/>
    <col min="9228" max="9228" width="16.85546875" bestFit="1" customWidth="1"/>
    <col min="9229" max="9229" width="23.28515625" customWidth="1"/>
    <col min="9231" max="9231" width="8.5703125" customWidth="1"/>
    <col min="9474" max="9474" width="22.7109375" customWidth="1"/>
    <col min="9475" max="9475" width="2.5703125" customWidth="1"/>
    <col min="9476" max="9476" width="14.85546875" customWidth="1"/>
    <col min="9477" max="9477" width="1.7109375" customWidth="1"/>
    <col min="9478" max="9478" width="11.85546875" bestFit="1" customWidth="1"/>
    <col min="9479" max="9479" width="2.5703125" customWidth="1"/>
    <col min="9480" max="9480" width="12.140625" bestFit="1" customWidth="1"/>
    <col min="9481" max="9481" width="3.42578125" customWidth="1"/>
    <col min="9482" max="9482" width="14.140625" bestFit="1" customWidth="1"/>
    <col min="9483" max="9483" width="3.42578125" customWidth="1"/>
    <col min="9484" max="9484" width="16.85546875" bestFit="1" customWidth="1"/>
    <col min="9485" max="9485" width="23.28515625" customWidth="1"/>
    <col min="9487" max="9487" width="8.5703125" customWidth="1"/>
    <col min="9730" max="9730" width="22.7109375" customWidth="1"/>
    <col min="9731" max="9731" width="2.5703125" customWidth="1"/>
    <col min="9732" max="9732" width="14.85546875" customWidth="1"/>
    <col min="9733" max="9733" width="1.7109375" customWidth="1"/>
    <col min="9734" max="9734" width="11.85546875" bestFit="1" customWidth="1"/>
    <col min="9735" max="9735" width="2.5703125" customWidth="1"/>
    <col min="9736" max="9736" width="12.140625" bestFit="1" customWidth="1"/>
    <col min="9737" max="9737" width="3.42578125" customWidth="1"/>
    <col min="9738" max="9738" width="14.140625" bestFit="1" customWidth="1"/>
    <col min="9739" max="9739" width="3.42578125" customWidth="1"/>
    <col min="9740" max="9740" width="16.85546875" bestFit="1" customWidth="1"/>
    <col min="9741" max="9741" width="23.28515625" customWidth="1"/>
    <col min="9743" max="9743" width="8.5703125" customWidth="1"/>
    <col min="9986" max="9986" width="22.7109375" customWidth="1"/>
    <col min="9987" max="9987" width="2.5703125" customWidth="1"/>
    <col min="9988" max="9988" width="14.85546875" customWidth="1"/>
    <col min="9989" max="9989" width="1.7109375" customWidth="1"/>
    <col min="9990" max="9990" width="11.85546875" bestFit="1" customWidth="1"/>
    <col min="9991" max="9991" width="2.5703125" customWidth="1"/>
    <col min="9992" max="9992" width="12.140625" bestFit="1" customWidth="1"/>
    <col min="9993" max="9993" width="3.42578125" customWidth="1"/>
    <col min="9994" max="9994" width="14.140625" bestFit="1" customWidth="1"/>
    <col min="9995" max="9995" width="3.42578125" customWidth="1"/>
    <col min="9996" max="9996" width="16.85546875" bestFit="1" customWidth="1"/>
    <col min="9997" max="9997" width="23.28515625" customWidth="1"/>
    <col min="9999" max="9999" width="8.5703125" customWidth="1"/>
    <col min="10242" max="10242" width="22.7109375" customWidth="1"/>
    <col min="10243" max="10243" width="2.5703125" customWidth="1"/>
    <col min="10244" max="10244" width="14.85546875" customWidth="1"/>
    <col min="10245" max="10245" width="1.7109375" customWidth="1"/>
    <col min="10246" max="10246" width="11.85546875" bestFit="1" customWidth="1"/>
    <col min="10247" max="10247" width="2.5703125" customWidth="1"/>
    <col min="10248" max="10248" width="12.140625" bestFit="1" customWidth="1"/>
    <col min="10249" max="10249" width="3.42578125" customWidth="1"/>
    <col min="10250" max="10250" width="14.140625" bestFit="1" customWidth="1"/>
    <col min="10251" max="10251" width="3.42578125" customWidth="1"/>
    <col min="10252" max="10252" width="16.85546875" bestFit="1" customWidth="1"/>
    <col min="10253" max="10253" width="23.28515625" customWidth="1"/>
    <col min="10255" max="10255" width="8.5703125" customWidth="1"/>
    <col min="10498" max="10498" width="22.7109375" customWidth="1"/>
    <col min="10499" max="10499" width="2.5703125" customWidth="1"/>
    <col min="10500" max="10500" width="14.85546875" customWidth="1"/>
    <col min="10501" max="10501" width="1.7109375" customWidth="1"/>
    <col min="10502" max="10502" width="11.85546875" bestFit="1" customWidth="1"/>
    <col min="10503" max="10503" width="2.5703125" customWidth="1"/>
    <col min="10504" max="10504" width="12.140625" bestFit="1" customWidth="1"/>
    <col min="10505" max="10505" width="3.42578125" customWidth="1"/>
    <col min="10506" max="10506" width="14.140625" bestFit="1" customWidth="1"/>
    <col min="10507" max="10507" width="3.42578125" customWidth="1"/>
    <col min="10508" max="10508" width="16.85546875" bestFit="1" customWidth="1"/>
    <col min="10509" max="10509" width="23.28515625" customWidth="1"/>
    <col min="10511" max="10511" width="8.5703125" customWidth="1"/>
    <col min="10754" max="10754" width="22.7109375" customWidth="1"/>
    <col min="10755" max="10755" width="2.5703125" customWidth="1"/>
    <col min="10756" max="10756" width="14.85546875" customWidth="1"/>
    <col min="10757" max="10757" width="1.7109375" customWidth="1"/>
    <col min="10758" max="10758" width="11.85546875" bestFit="1" customWidth="1"/>
    <col min="10759" max="10759" width="2.5703125" customWidth="1"/>
    <col min="10760" max="10760" width="12.140625" bestFit="1" customWidth="1"/>
    <col min="10761" max="10761" width="3.42578125" customWidth="1"/>
    <col min="10762" max="10762" width="14.140625" bestFit="1" customWidth="1"/>
    <col min="10763" max="10763" width="3.42578125" customWidth="1"/>
    <col min="10764" max="10764" width="16.85546875" bestFit="1" customWidth="1"/>
    <col min="10765" max="10765" width="23.28515625" customWidth="1"/>
    <col min="10767" max="10767" width="8.5703125" customWidth="1"/>
    <col min="11010" max="11010" width="22.7109375" customWidth="1"/>
    <col min="11011" max="11011" width="2.5703125" customWidth="1"/>
    <col min="11012" max="11012" width="14.85546875" customWidth="1"/>
    <col min="11013" max="11013" width="1.7109375" customWidth="1"/>
    <col min="11014" max="11014" width="11.85546875" bestFit="1" customWidth="1"/>
    <col min="11015" max="11015" width="2.5703125" customWidth="1"/>
    <col min="11016" max="11016" width="12.140625" bestFit="1" customWidth="1"/>
    <col min="11017" max="11017" width="3.42578125" customWidth="1"/>
    <col min="11018" max="11018" width="14.140625" bestFit="1" customWidth="1"/>
    <col min="11019" max="11019" width="3.42578125" customWidth="1"/>
    <col min="11020" max="11020" width="16.85546875" bestFit="1" customWidth="1"/>
    <col min="11021" max="11021" width="23.28515625" customWidth="1"/>
    <col min="11023" max="11023" width="8.5703125" customWidth="1"/>
    <col min="11266" max="11266" width="22.7109375" customWidth="1"/>
    <col min="11267" max="11267" width="2.5703125" customWidth="1"/>
    <col min="11268" max="11268" width="14.85546875" customWidth="1"/>
    <col min="11269" max="11269" width="1.7109375" customWidth="1"/>
    <col min="11270" max="11270" width="11.85546875" bestFit="1" customWidth="1"/>
    <col min="11271" max="11271" width="2.5703125" customWidth="1"/>
    <col min="11272" max="11272" width="12.140625" bestFit="1" customWidth="1"/>
    <col min="11273" max="11273" width="3.42578125" customWidth="1"/>
    <col min="11274" max="11274" width="14.140625" bestFit="1" customWidth="1"/>
    <col min="11275" max="11275" width="3.42578125" customWidth="1"/>
    <col min="11276" max="11276" width="16.85546875" bestFit="1" customWidth="1"/>
    <col min="11277" max="11277" width="23.28515625" customWidth="1"/>
    <col min="11279" max="11279" width="8.5703125" customWidth="1"/>
    <col min="11522" max="11522" width="22.7109375" customWidth="1"/>
    <col min="11523" max="11523" width="2.5703125" customWidth="1"/>
    <col min="11524" max="11524" width="14.85546875" customWidth="1"/>
    <col min="11525" max="11525" width="1.7109375" customWidth="1"/>
    <col min="11526" max="11526" width="11.85546875" bestFit="1" customWidth="1"/>
    <col min="11527" max="11527" width="2.5703125" customWidth="1"/>
    <col min="11528" max="11528" width="12.140625" bestFit="1" customWidth="1"/>
    <col min="11529" max="11529" width="3.42578125" customWidth="1"/>
    <col min="11530" max="11530" width="14.140625" bestFit="1" customWidth="1"/>
    <col min="11531" max="11531" width="3.42578125" customWidth="1"/>
    <col min="11532" max="11532" width="16.85546875" bestFit="1" customWidth="1"/>
    <col min="11533" max="11533" width="23.28515625" customWidth="1"/>
    <col min="11535" max="11535" width="8.5703125" customWidth="1"/>
    <col min="11778" max="11778" width="22.7109375" customWidth="1"/>
    <col min="11779" max="11779" width="2.5703125" customWidth="1"/>
    <col min="11780" max="11780" width="14.85546875" customWidth="1"/>
    <col min="11781" max="11781" width="1.7109375" customWidth="1"/>
    <col min="11782" max="11782" width="11.85546875" bestFit="1" customWidth="1"/>
    <col min="11783" max="11783" width="2.5703125" customWidth="1"/>
    <col min="11784" max="11784" width="12.140625" bestFit="1" customWidth="1"/>
    <col min="11785" max="11785" width="3.42578125" customWidth="1"/>
    <col min="11786" max="11786" width="14.140625" bestFit="1" customWidth="1"/>
    <col min="11787" max="11787" width="3.42578125" customWidth="1"/>
    <col min="11788" max="11788" width="16.85546875" bestFit="1" customWidth="1"/>
    <col min="11789" max="11789" width="23.28515625" customWidth="1"/>
    <col min="11791" max="11791" width="8.5703125" customWidth="1"/>
    <col min="12034" max="12034" width="22.7109375" customWidth="1"/>
    <col min="12035" max="12035" width="2.5703125" customWidth="1"/>
    <col min="12036" max="12036" width="14.85546875" customWidth="1"/>
    <col min="12037" max="12037" width="1.7109375" customWidth="1"/>
    <col min="12038" max="12038" width="11.85546875" bestFit="1" customWidth="1"/>
    <col min="12039" max="12039" width="2.5703125" customWidth="1"/>
    <col min="12040" max="12040" width="12.140625" bestFit="1" customWidth="1"/>
    <col min="12041" max="12041" width="3.42578125" customWidth="1"/>
    <col min="12042" max="12042" width="14.140625" bestFit="1" customWidth="1"/>
    <col min="12043" max="12043" width="3.42578125" customWidth="1"/>
    <col min="12044" max="12044" width="16.85546875" bestFit="1" customWidth="1"/>
    <col min="12045" max="12045" width="23.28515625" customWidth="1"/>
    <col min="12047" max="12047" width="8.5703125" customWidth="1"/>
    <col min="12290" max="12290" width="22.7109375" customWidth="1"/>
    <col min="12291" max="12291" width="2.5703125" customWidth="1"/>
    <col min="12292" max="12292" width="14.85546875" customWidth="1"/>
    <col min="12293" max="12293" width="1.7109375" customWidth="1"/>
    <col min="12294" max="12294" width="11.85546875" bestFit="1" customWidth="1"/>
    <col min="12295" max="12295" width="2.5703125" customWidth="1"/>
    <col min="12296" max="12296" width="12.140625" bestFit="1" customWidth="1"/>
    <col min="12297" max="12297" width="3.42578125" customWidth="1"/>
    <col min="12298" max="12298" width="14.140625" bestFit="1" customWidth="1"/>
    <col min="12299" max="12299" width="3.42578125" customWidth="1"/>
    <col min="12300" max="12300" width="16.85546875" bestFit="1" customWidth="1"/>
    <col min="12301" max="12301" width="23.28515625" customWidth="1"/>
    <col min="12303" max="12303" width="8.5703125" customWidth="1"/>
    <col min="12546" max="12546" width="22.7109375" customWidth="1"/>
    <col min="12547" max="12547" width="2.5703125" customWidth="1"/>
    <col min="12548" max="12548" width="14.85546875" customWidth="1"/>
    <col min="12549" max="12549" width="1.7109375" customWidth="1"/>
    <col min="12550" max="12550" width="11.85546875" bestFit="1" customWidth="1"/>
    <col min="12551" max="12551" width="2.5703125" customWidth="1"/>
    <col min="12552" max="12552" width="12.140625" bestFit="1" customWidth="1"/>
    <col min="12553" max="12553" width="3.42578125" customWidth="1"/>
    <col min="12554" max="12554" width="14.140625" bestFit="1" customWidth="1"/>
    <col min="12555" max="12555" width="3.42578125" customWidth="1"/>
    <col min="12556" max="12556" width="16.85546875" bestFit="1" customWidth="1"/>
    <col min="12557" max="12557" width="23.28515625" customWidth="1"/>
    <col min="12559" max="12559" width="8.5703125" customWidth="1"/>
    <col min="12802" max="12802" width="22.7109375" customWidth="1"/>
    <col min="12803" max="12803" width="2.5703125" customWidth="1"/>
    <col min="12804" max="12804" width="14.85546875" customWidth="1"/>
    <col min="12805" max="12805" width="1.7109375" customWidth="1"/>
    <col min="12806" max="12806" width="11.85546875" bestFit="1" customWidth="1"/>
    <col min="12807" max="12807" width="2.5703125" customWidth="1"/>
    <col min="12808" max="12808" width="12.140625" bestFit="1" customWidth="1"/>
    <col min="12809" max="12809" width="3.42578125" customWidth="1"/>
    <col min="12810" max="12810" width="14.140625" bestFit="1" customWidth="1"/>
    <col min="12811" max="12811" width="3.42578125" customWidth="1"/>
    <col min="12812" max="12812" width="16.85546875" bestFit="1" customWidth="1"/>
    <col min="12813" max="12813" width="23.28515625" customWidth="1"/>
    <col min="12815" max="12815" width="8.5703125" customWidth="1"/>
    <col min="13058" max="13058" width="22.7109375" customWidth="1"/>
    <col min="13059" max="13059" width="2.5703125" customWidth="1"/>
    <col min="13060" max="13060" width="14.85546875" customWidth="1"/>
    <col min="13061" max="13061" width="1.7109375" customWidth="1"/>
    <col min="13062" max="13062" width="11.85546875" bestFit="1" customWidth="1"/>
    <col min="13063" max="13063" width="2.5703125" customWidth="1"/>
    <col min="13064" max="13064" width="12.140625" bestFit="1" customWidth="1"/>
    <col min="13065" max="13065" width="3.42578125" customWidth="1"/>
    <col min="13066" max="13066" width="14.140625" bestFit="1" customWidth="1"/>
    <col min="13067" max="13067" width="3.42578125" customWidth="1"/>
    <col min="13068" max="13068" width="16.85546875" bestFit="1" customWidth="1"/>
    <col min="13069" max="13069" width="23.28515625" customWidth="1"/>
    <col min="13071" max="13071" width="8.5703125" customWidth="1"/>
    <col min="13314" max="13314" width="22.7109375" customWidth="1"/>
    <col min="13315" max="13315" width="2.5703125" customWidth="1"/>
    <col min="13316" max="13316" width="14.85546875" customWidth="1"/>
    <col min="13317" max="13317" width="1.7109375" customWidth="1"/>
    <col min="13318" max="13318" width="11.85546875" bestFit="1" customWidth="1"/>
    <col min="13319" max="13319" width="2.5703125" customWidth="1"/>
    <col min="13320" max="13320" width="12.140625" bestFit="1" customWidth="1"/>
    <col min="13321" max="13321" width="3.42578125" customWidth="1"/>
    <col min="13322" max="13322" width="14.140625" bestFit="1" customWidth="1"/>
    <col min="13323" max="13323" width="3.42578125" customWidth="1"/>
    <col min="13324" max="13324" width="16.85546875" bestFit="1" customWidth="1"/>
    <col min="13325" max="13325" width="23.28515625" customWidth="1"/>
    <col min="13327" max="13327" width="8.5703125" customWidth="1"/>
    <col min="13570" max="13570" width="22.7109375" customWidth="1"/>
    <col min="13571" max="13571" width="2.5703125" customWidth="1"/>
    <col min="13572" max="13572" width="14.85546875" customWidth="1"/>
    <col min="13573" max="13573" width="1.7109375" customWidth="1"/>
    <col min="13574" max="13574" width="11.85546875" bestFit="1" customWidth="1"/>
    <col min="13575" max="13575" width="2.5703125" customWidth="1"/>
    <col min="13576" max="13576" width="12.140625" bestFit="1" customWidth="1"/>
    <col min="13577" max="13577" width="3.42578125" customWidth="1"/>
    <col min="13578" max="13578" width="14.140625" bestFit="1" customWidth="1"/>
    <col min="13579" max="13579" width="3.42578125" customWidth="1"/>
    <col min="13580" max="13580" width="16.85546875" bestFit="1" customWidth="1"/>
    <col min="13581" max="13581" width="23.28515625" customWidth="1"/>
    <col min="13583" max="13583" width="8.5703125" customWidth="1"/>
    <col min="13826" max="13826" width="22.7109375" customWidth="1"/>
    <col min="13827" max="13827" width="2.5703125" customWidth="1"/>
    <col min="13828" max="13828" width="14.85546875" customWidth="1"/>
    <col min="13829" max="13829" width="1.7109375" customWidth="1"/>
    <col min="13830" max="13830" width="11.85546875" bestFit="1" customWidth="1"/>
    <col min="13831" max="13831" width="2.5703125" customWidth="1"/>
    <col min="13832" max="13832" width="12.140625" bestFit="1" customWidth="1"/>
    <col min="13833" max="13833" width="3.42578125" customWidth="1"/>
    <col min="13834" max="13834" width="14.140625" bestFit="1" customWidth="1"/>
    <col min="13835" max="13835" width="3.42578125" customWidth="1"/>
    <col min="13836" max="13836" width="16.85546875" bestFit="1" customWidth="1"/>
    <col min="13837" max="13837" width="23.28515625" customWidth="1"/>
    <col min="13839" max="13839" width="8.5703125" customWidth="1"/>
    <col min="14082" max="14082" width="22.7109375" customWidth="1"/>
    <col min="14083" max="14083" width="2.5703125" customWidth="1"/>
    <col min="14084" max="14084" width="14.85546875" customWidth="1"/>
    <col min="14085" max="14085" width="1.7109375" customWidth="1"/>
    <col min="14086" max="14086" width="11.85546875" bestFit="1" customWidth="1"/>
    <col min="14087" max="14087" width="2.5703125" customWidth="1"/>
    <col min="14088" max="14088" width="12.140625" bestFit="1" customWidth="1"/>
    <col min="14089" max="14089" width="3.42578125" customWidth="1"/>
    <col min="14090" max="14090" width="14.140625" bestFit="1" customWidth="1"/>
    <col min="14091" max="14091" width="3.42578125" customWidth="1"/>
    <col min="14092" max="14092" width="16.85546875" bestFit="1" customWidth="1"/>
    <col min="14093" max="14093" width="23.28515625" customWidth="1"/>
    <col min="14095" max="14095" width="8.5703125" customWidth="1"/>
    <col min="14338" max="14338" width="22.7109375" customWidth="1"/>
    <col min="14339" max="14339" width="2.5703125" customWidth="1"/>
    <col min="14340" max="14340" width="14.85546875" customWidth="1"/>
    <col min="14341" max="14341" width="1.7109375" customWidth="1"/>
    <col min="14342" max="14342" width="11.85546875" bestFit="1" customWidth="1"/>
    <col min="14343" max="14343" width="2.5703125" customWidth="1"/>
    <col min="14344" max="14344" width="12.140625" bestFit="1" customWidth="1"/>
    <col min="14345" max="14345" width="3.42578125" customWidth="1"/>
    <col min="14346" max="14346" width="14.140625" bestFit="1" customWidth="1"/>
    <col min="14347" max="14347" width="3.42578125" customWidth="1"/>
    <col min="14348" max="14348" width="16.85546875" bestFit="1" customWidth="1"/>
    <col min="14349" max="14349" width="23.28515625" customWidth="1"/>
    <col min="14351" max="14351" width="8.5703125" customWidth="1"/>
    <col min="14594" max="14594" width="22.7109375" customWidth="1"/>
    <col min="14595" max="14595" width="2.5703125" customWidth="1"/>
    <col min="14596" max="14596" width="14.85546875" customWidth="1"/>
    <col min="14597" max="14597" width="1.7109375" customWidth="1"/>
    <col min="14598" max="14598" width="11.85546875" bestFit="1" customWidth="1"/>
    <col min="14599" max="14599" width="2.5703125" customWidth="1"/>
    <col min="14600" max="14600" width="12.140625" bestFit="1" customWidth="1"/>
    <col min="14601" max="14601" width="3.42578125" customWidth="1"/>
    <col min="14602" max="14602" width="14.140625" bestFit="1" customWidth="1"/>
    <col min="14603" max="14603" width="3.42578125" customWidth="1"/>
    <col min="14604" max="14604" width="16.85546875" bestFit="1" customWidth="1"/>
    <col min="14605" max="14605" width="23.28515625" customWidth="1"/>
    <col min="14607" max="14607" width="8.5703125" customWidth="1"/>
    <col min="14850" max="14850" width="22.7109375" customWidth="1"/>
    <col min="14851" max="14851" width="2.5703125" customWidth="1"/>
    <col min="14852" max="14852" width="14.85546875" customWidth="1"/>
    <col min="14853" max="14853" width="1.7109375" customWidth="1"/>
    <col min="14854" max="14854" width="11.85546875" bestFit="1" customWidth="1"/>
    <col min="14855" max="14855" width="2.5703125" customWidth="1"/>
    <col min="14856" max="14856" width="12.140625" bestFit="1" customWidth="1"/>
    <col min="14857" max="14857" width="3.42578125" customWidth="1"/>
    <col min="14858" max="14858" width="14.140625" bestFit="1" customWidth="1"/>
    <col min="14859" max="14859" width="3.42578125" customWidth="1"/>
    <col min="14860" max="14860" width="16.85546875" bestFit="1" customWidth="1"/>
    <col min="14861" max="14861" width="23.28515625" customWidth="1"/>
    <col min="14863" max="14863" width="8.5703125" customWidth="1"/>
    <col min="15106" max="15106" width="22.7109375" customWidth="1"/>
    <col min="15107" max="15107" width="2.5703125" customWidth="1"/>
    <col min="15108" max="15108" width="14.85546875" customWidth="1"/>
    <col min="15109" max="15109" width="1.7109375" customWidth="1"/>
    <col min="15110" max="15110" width="11.85546875" bestFit="1" customWidth="1"/>
    <col min="15111" max="15111" width="2.5703125" customWidth="1"/>
    <col min="15112" max="15112" width="12.140625" bestFit="1" customWidth="1"/>
    <col min="15113" max="15113" width="3.42578125" customWidth="1"/>
    <col min="15114" max="15114" width="14.140625" bestFit="1" customWidth="1"/>
    <col min="15115" max="15115" width="3.42578125" customWidth="1"/>
    <col min="15116" max="15116" width="16.85546875" bestFit="1" customWidth="1"/>
    <col min="15117" max="15117" width="23.28515625" customWidth="1"/>
    <col min="15119" max="15119" width="8.5703125" customWidth="1"/>
    <col min="15362" max="15362" width="22.7109375" customWidth="1"/>
    <col min="15363" max="15363" width="2.5703125" customWidth="1"/>
    <col min="15364" max="15364" width="14.85546875" customWidth="1"/>
    <col min="15365" max="15365" width="1.7109375" customWidth="1"/>
    <col min="15366" max="15366" width="11.85546875" bestFit="1" customWidth="1"/>
    <col min="15367" max="15367" width="2.5703125" customWidth="1"/>
    <col min="15368" max="15368" width="12.140625" bestFit="1" customWidth="1"/>
    <col min="15369" max="15369" width="3.42578125" customWidth="1"/>
    <col min="15370" max="15370" width="14.140625" bestFit="1" customWidth="1"/>
    <col min="15371" max="15371" width="3.42578125" customWidth="1"/>
    <col min="15372" max="15372" width="16.85546875" bestFit="1" customWidth="1"/>
    <col min="15373" max="15373" width="23.28515625" customWidth="1"/>
    <col min="15375" max="15375" width="8.5703125" customWidth="1"/>
    <col min="15618" max="15618" width="22.7109375" customWidth="1"/>
    <col min="15619" max="15619" width="2.5703125" customWidth="1"/>
    <col min="15620" max="15620" width="14.85546875" customWidth="1"/>
    <col min="15621" max="15621" width="1.7109375" customWidth="1"/>
    <col min="15622" max="15622" width="11.85546875" bestFit="1" customWidth="1"/>
    <col min="15623" max="15623" width="2.5703125" customWidth="1"/>
    <col min="15624" max="15624" width="12.140625" bestFit="1" customWidth="1"/>
    <col min="15625" max="15625" width="3.42578125" customWidth="1"/>
    <col min="15626" max="15626" width="14.140625" bestFit="1" customWidth="1"/>
    <col min="15627" max="15627" width="3.42578125" customWidth="1"/>
    <col min="15628" max="15628" width="16.85546875" bestFit="1" customWidth="1"/>
    <col min="15629" max="15629" width="23.28515625" customWidth="1"/>
    <col min="15631" max="15631" width="8.5703125" customWidth="1"/>
    <col min="15874" max="15874" width="22.7109375" customWidth="1"/>
    <col min="15875" max="15875" width="2.5703125" customWidth="1"/>
    <col min="15876" max="15876" width="14.85546875" customWidth="1"/>
    <col min="15877" max="15877" width="1.7109375" customWidth="1"/>
    <col min="15878" max="15878" width="11.85546875" bestFit="1" customWidth="1"/>
    <col min="15879" max="15879" width="2.5703125" customWidth="1"/>
    <col min="15880" max="15880" width="12.140625" bestFit="1" customWidth="1"/>
    <col min="15881" max="15881" width="3.42578125" customWidth="1"/>
    <col min="15882" max="15882" width="14.140625" bestFit="1" customWidth="1"/>
    <col min="15883" max="15883" width="3.42578125" customWidth="1"/>
    <col min="15884" max="15884" width="16.85546875" bestFit="1" customWidth="1"/>
    <col min="15885" max="15885" width="23.28515625" customWidth="1"/>
    <col min="15887" max="15887" width="8.5703125" customWidth="1"/>
    <col min="16130" max="16130" width="22.7109375" customWidth="1"/>
    <col min="16131" max="16131" width="2.5703125" customWidth="1"/>
    <col min="16132" max="16132" width="14.85546875" customWidth="1"/>
    <col min="16133" max="16133" width="1.7109375" customWidth="1"/>
    <col min="16134" max="16134" width="11.85546875" bestFit="1" customWidth="1"/>
    <col min="16135" max="16135" width="2.5703125" customWidth="1"/>
    <col min="16136" max="16136" width="12.140625" bestFit="1" customWidth="1"/>
    <col min="16137" max="16137" width="3.42578125" customWidth="1"/>
    <col min="16138" max="16138" width="14.140625" bestFit="1" customWidth="1"/>
    <col min="16139" max="16139" width="3.42578125" customWidth="1"/>
    <col min="16140" max="16140" width="16.85546875" bestFit="1" customWidth="1"/>
    <col min="16141" max="16141" width="23.28515625" customWidth="1"/>
    <col min="16143" max="16143" width="8.5703125" customWidth="1"/>
  </cols>
  <sheetData>
    <row r="1" spans="1:13">
      <c r="A1" s="847" t="s">
        <v>779</v>
      </c>
      <c r="L1" s="781" t="s">
        <v>1060</v>
      </c>
      <c r="M1" s="781"/>
    </row>
    <row r="2" spans="1:13">
      <c r="A2" s="847" t="s">
        <v>383</v>
      </c>
      <c r="L2" s="781" t="str">
        <f ca="1">MID(CELL("filename",$A$1),FIND("]",CELL("filename",$A$1))+1,LEN(CELL("filename",$A$1))-FIND("]",CELL("filename",$A$1)))</f>
        <v>WP_Cost per Unit</v>
      </c>
      <c r="M2" s="781"/>
    </row>
    <row r="3" spans="1:13">
      <c r="A3" s="847" t="s">
        <v>505</v>
      </c>
    </row>
    <row r="6" spans="1:13">
      <c r="J6" s="986" t="s">
        <v>430</v>
      </c>
      <c r="L6" s="986" t="s">
        <v>431</v>
      </c>
    </row>
    <row r="7" spans="1:13">
      <c r="A7" s="986"/>
      <c r="B7" s="986"/>
      <c r="C7" s="986"/>
      <c r="D7" s="986"/>
      <c r="E7" s="986"/>
      <c r="F7" s="986" t="s">
        <v>429</v>
      </c>
      <c r="G7" s="986"/>
      <c r="H7" s="986" t="s">
        <v>653</v>
      </c>
      <c r="I7" s="986"/>
      <c r="J7" s="983" t="s">
        <v>433</v>
      </c>
      <c r="K7" s="986"/>
      <c r="L7" s="983" t="s">
        <v>434</v>
      </c>
      <c r="M7" s="986"/>
    </row>
    <row r="8" spans="1:13">
      <c r="A8" s="823" t="s">
        <v>1385</v>
      </c>
      <c r="B8" s="823" t="s">
        <v>466</v>
      </c>
      <c r="C8" s="823"/>
      <c r="D8" s="823" t="s">
        <v>428</v>
      </c>
      <c r="E8" s="823"/>
      <c r="F8" s="823" t="s">
        <v>652</v>
      </c>
      <c r="G8" s="823"/>
      <c r="H8" s="823" t="s">
        <v>432</v>
      </c>
      <c r="I8" s="823"/>
      <c r="J8" s="823" t="s">
        <v>1111</v>
      </c>
      <c r="K8" s="823"/>
      <c r="L8" s="823" t="s">
        <v>1112</v>
      </c>
      <c r="M8" s="983"/>
    </row>
    <row r="9" spans="1:13">
      <c r="B9" s="110" t="s">
        <v>363</v>
      </c>
      <c r="C9" s="110"/>
      <c r="D9" s="110" t="s">
        <v>362</v>
      </c>
      <c r="E9" s="110"/>
      <c r="F9" s="110" t="s">
        <v>364</v>
      </c>
      <c r="G9" s="110"/>
      <c r="H9" s="110" t="s">
        <v>365</v>
      </c>
      <c r="I9" s="110"/>
      <c r="J9" s="110" t="s">
        <v>366</v>
      </c>
      <c r="K9" s="110"/>
      <c r="L9" s="110" t="s">
        <v>367</v>
      </c>
      <c r="M9" s="105"/>
    </row>
    <row r="10" spans="1:13">
      <c r="B10" s="105"/>
      <c r="C10" s="105"/>
      <c r="D10" s="105"/>
      <c r="E10" s="105"/>
      <c r="F10" s="105"/>
      <c r="G10" s="105"/>
      <c r="H10" s="105"/>
      <c r="I10" s="105"/>
      <c r="J10" s="105"/>
      <c r="K10" s="105"/>
      <c r="L10" s="105"/>
      <c r="M10" s="105"/>
    </row>
    <row r="11" spans="1:13">
      <c r="A11" s="105">
        <v>1</v>
      </c>
      <c r="B11" s="437" t="s">
        <v>435</v>
      </c>
      <c r="D11" s="752">
        <v>0</v>
      </c>
      <c r="E11" s="753"/>
      <c r="F11" s="754">
        <v>0</v>
      </c>
      <c r="H11" s="408">
        <f>ROUND(F11/F$47,5)</f>
        <v>0</v>
      </c>
      <c r="J11" s="222">
        <f>H11*$J$53</f>
        <v>0</v>
      </c>
      <c r="L11" s="402">
        <f>D11+J11</f>
        <v>0</v>
      </c>
      <c r="M11" s="984"/>
    </row>
    <row r="12" spans="1:13">
      <c r="A12" s="105"/>
      <c r="B12" s="405"/>
      <c r="D12" s="755"/>
      <c r="E12" s="753"/>
      <c r="F12" s="756"/>
      <c r="J12" s="222"/>
      <c r="L12" s="402"/>
      <c r="M12" s="402"/>
    </row>
    <row r="13" spans="1:13">
      <c r="A13" s="105">
        <f>A11+1</f>
        <v>2</v>
      </c>
      <c r="B13" s="437" t="s">
        <v>1803</v>
      </c>
      <c r="D13" s="752">
        <v>584050070</v>
      </c>
      <c r="E13" s="753"/>
      <c r="F13" s="754">
        <v>625600</v>
      </c>
      <c r="H13" s="408">
        <f>ROUND(F13/F$47,5)</f>
        <v>9.1539999999999996E-2</v>
      </c>
      <c r="J13" s="222">
        <f>H13*$J$53</f>
        <v>3825382.7808238184</v>
      </c>
      <c r="L13" s="402">
        <f>D13+J13</f>
        <v>587875452.78082383</v>
      </c>
      <c r="M13" s="402"/>
    </row>
    <row r="14" spans="1:13">
      <c r="B14" s="109"/>
      <c r="D14" s="755"/>
      <c r="E14" s="753"/>
      <c r="F14" s="756"/>
      <c r="J14" s="222"/>
      <c r="L14" s="402"/>
      <c r="M14" s="402"/>
    </row>
    <row r="15" spans="1:13">
      <c r="A15" s="105">
        <f>A13+1</f>
        <v>3</v>
      </c>
      <c r="B15" s="437" t="s">
        <v>437</v>
      </c>
      <c r="C15" s="105"/>
      <c r="D15" s="752">
        <v>1569696317.0899997</v>
      </c>
      <c r="E15" s="753"/>
      <c r="F15" s="754">
        <v>1635300</v>
      </c>
      <c r="H15" s="408">
        <f>ROUND(F15/F$47,5)</f>
        <v>0.23927999999999999</v>
      </c>
      <c r="J15" s="222">
        <f>H15*$J$53</f>
        <v>9999318.2411571257</v>
      </c>
      <c r="L15" s="402">
        <f>D15+J15</f>
        <v>1579695635.3311567</v>
      </c>
      <c r="M15" s="402"/>
    </row>
    <row r="16" spans="1:13">
      <c r="B16" s="109"/>
      <c r="C16" s="105"/>
      <c r="D16" s="755"/>
      <c r="E16" s="753"/>
      <c r="F16" s="756"/>
      <c r="J16" s="222"/>
      <c r="L16" s="402"/>
      <c r="M16" s="402"/>
    </row>
    <row r="17" spans="1:13">
      <c r="A17" s="105">
        <f>A15+1</f>
        <v>4</v>
      </c>
      <c r="B17" s="437" t="s">
        <v>438</v>
      </c>
      <c r="C17" s="105"/>
      <c r="D17" s="752">
        <v>98149468.760000005</v>
      </c>
      <c r="E17" s="753"/>
      <c r="F17" s="754">
        <v>86900</v>
      </c>
      <c r="H17" s="408">
        <f>ROUND(F17/F$47,5)</f>
        <v>1.272E-2</v>
      </c>
      <c r="J17" s="222">
        <f>H17*$J$53</f>
        <v>531558.5424085533</v>
      </c>
      <c r="L17" s="402">
        <f>D17+J17</f>
        <v>98681027.302408561</v>
      </c>
      <c r="M17" s="402"/>
    </row>
    <row r="18" spans="1:13">
      <c r="B18" s="405"/>
      <c r="C18" s="105"/>
      <c r="D18" s="755"/>
      <c r="E18" s="753"/>
      <c r="F18" s="756"/>
      <c r="J18" s="222"/>
      <c r="L18" s="402"/>
      <c r="M18" s="402"/>
    </row>
    <row r="19" spans="1:13">
      <c r="A19" s="105">
        <f>A17+1</f>
        <v>5</v>
      </c>
      <c r="B19" s="437" t="s">
        <v>446</v>
      </c>
      <c r="C19" s="105"/>
      <c r="D19" s="752">
        <v>337843976.63999999</v>
      </c>
      <c r="E19" s="753"/>
      <c r="F19" s="754">
        <v>465390</v>
      </c>
      <c r="H19" s="408">
        <f>ROUND(F19/F$47,5)</f>
        <v>6.8099999999999994E-2</v>
      </c>
      <c r="J19" s="222">
        <f>H19*$J$53</f>
        <v>2845844.0831778678</v>
      </c>
      <c r="L19" s="402">
        <f>D19+J19</f>
        <v>340689820.72317785</v>
      </c>
      <c r="M19" s="402"/>
    </row>
    <row r="20" spans="1:13">
      <c r="B20" s="405"/>
      <c r="C20" s="105"/>
      <c r="D20" s="755"/>
      <c r="E20" s="753"/>
      <c r="F20" s="756"/>
      <c r="J20" s="222"/>
      <c r="L20" s="402"/>
      <c r="M20" s="402"/>
    </row>
    <row r="21" spans="1:13">
      <c r="A21" s="105">
        <f>A19+1</f>
        <v>6</v>
      </c>
      <c r="B21" s="437" t="s">
        <v>447</v>
      </c>
      <c r="C21" s="105"/>
      <c r="D21" s="752">
        <v>958133869.62</v>
      </c>
      <c r="E21" s="753"/>
      <c r="F21" s="754">
        <v>552330</v>
      </c>
      <c r="H21" s="408">
        <f>ROUND(F21/F$47,5)</f>
        <v>8.0820000000000003E-2</v>
      </c>
      <c r="J21" s="222">
        <f>H21*$J$53</f>
        <v>3377402.6255864217</v>
      </c>
      <c r="L21" s="402">
        <f>D21+J21</f>
        <v>961511272.2455864</v>
      </c>
      <c r="M21" s="402"/>
    </row>
    <row r="22" spans="1:13">
      <c r="B22" s="405"/>
      <c r="C22" s="105"/>
      <c r="D22" s="755"/>
      <c r="E22" s="753"/>
      <c r="F22" s="756"/>
      <c r="J22" s="222"/>
      <c r="L22" s="402"/>
      <c r="M22" s="402"/>
    </row>
    <row r="23" spans="1:13">
      <c r="A23" s="105">
        <f>A21+1</f>
        <v>7</v>
      </c>
      <c r="B23" s="437" t="s">
        <v>640</v>
      </c>
      <c r="C23" s="105"/>
      <c r="D23" s="752">
        <v>141513680.36000001</v>
      </c>
      <c r="E23" s="753"/>
      <c r="F23" s="754">
        <v>191680</v>
      </c>
      <c r="H23" s="408">
        <f>ROUND(F23/F$47,5)</f>
        <v>2.8049999999999999E-2</v>
      </c>
      <c r="J23" s="222">
        <f>H23*$J$53</f>
        <v>1172186.8800754654</v>
      </c>
      <c r="L23" s="402">
        <f>D23+J23</f>
        <v>142685867.24007547</v>
      </c>
      <c r="M23" s="402"/>
    </row>
    <row r="24" spans="1:13">
      <c r="B24" s="405"/>
      <c r="C24" s="105"/>
      <c r="D24" s="755"/>
      <c r="E24" s="753"/>
      <c r="F24" s="756"/>
      <c r="J24" s="222"/>
      <c r="L24" s="402"/>
      <c r="M24" s="402"/>
    </row>
    <row r="25" spans="1:13">
      <c r="A25" s="105">
        <f>A23+1</f>
        <v>8</v>
      </c>
      <c r="B25" s="437" t="s">
        <v>448</v>
      </c>
      <c r="C25" s="105"/>
      <c r="D25" s="752">
        <v>0</v>
      </c>
      <c r="E25" s="753"/>
      <c r="F25" s="754">
        <v>0</v>
      </c>
      <c r="H25" s="408">
        <f>ROUND(F25/F$47,5)</f>
        <v>0</v>
      </c>
      <c r="J25" s="222">
        <f>H25*$J$53</f>
        <v>0</v>
      </c>
      <c r="L25" s="402">
        <f>D25+J25</f>
        <v>0</v>
      </c>
      <c r="M25" s="402"/>
    </row>
    <row r="26" spans="1:13">
      <c r="B26" s="109"/>
      <c r="C26" s="105"/>
      <c r="D26" s="755"/>
      <c r="E26" s="753"/>
      <c r="F26" s="756"/>
      <c r="J26" s="222"/>
      <c r="L26" s="402"/>
      <c r="M26" s="402"/>
    </row>
    <row r="27" spans="1:13">
      <c r="A27" s="105">
        <f>A25+1</f>
        <v>9</v>
      </c>
      <c r="B27" s="437" t="s">
        <v>449</v>
      </c>
      <c r="C27" s="105"/>
      <c r="D27" s="752">
        <v>9655556</v>
      </c>
      <c r="E27" s="753"/>
      <c r="F27" s="754">
        <v>53280</v>
      </c>
      <c r="H27" s="408">
        <f>ROUND(F27/F$47,5)</f>
        <v>7.7999999999999996E-3</v>
      </c>
      <c r="J27" s="222">
        <f>H27*$J$53</f>
        <v>325955.70996750909</v>
      </c>
      <c r="L27" s="402">
        <f>D27+J27</f>
        <v>9981511.7099675089</v>
      </c>
      <c r="M27" s="402"/>
    </row>
    <row r="28" spans="1:13">
      <c r="B28" s="405"/>
      <c r="C28" s="105"/>
      <c r="D28" s="755"/>
      <c r="E28" s="753"/>
      <c r="F28" s="756"/>
      <c r="J28" s="222"/>
      <c r="L28" s="402"/>
      <c r="M28" s="402"/>
    </row>
    <row r="29" spans="1:13">
      <c r="A29" s="105">
        <f>A27+1</f>
        <v>10</v>
      </c>
      <c r="B29" s="437" t="s">
        <v>450</v>
      </c>
      <c r="C29" s="105"/>
      <c r="D29" s="752">
        <v>13770078</v>
      </c>
      <c r="E29" s="753"/>
      <c r="F29" s="754">
        <v>100800</v>
      </c>
      <c r="H29" s="408">
        <f>ROUND(F29/F$47,5)</f>
        <v>1.4749999999999999E-2</v>
      </c>
      <c r="J29" s="222">
        <f>H29*$J$53</f>
        <v>616390.60538727685</v>
      </c>
      <c r="L29" s="402">
        <f>D29+J29</f>
        <v>14386468.605387276</v>
      </c>
      <c r="M29" s="402"/>
    </row>
    <row r="30" spans="1:13">
      <c r="B30" s="405"/>
      <c r="C30" s="105"/>
      <c r="D30" s="755"/>
      <c r="E30" s="753"/>
      <c r="F30" s="756"/>
      <c r="J30" s="222"/>
      <c r="L30" s="402"/>
      <c r="M30" s="402"/>
    </row>
    <row r="31" spans="1:13">
      <c r="A31" s="105">
        <f>A29+1</f>
        <v>11</v>
      </c>
      <c r="B31" s="437" t="s">
        <v>451</v>
      </c>
      <c r="C31" s="105"/>
      <c r="D31" s="752">
        <v>3463907</v>
      </c>
      <c r="E31" s="753"/>
      <c r="F31" s="754">
        <v>26640</v>
      </c>
      <c r="H31" s="408">
        <f>ROUND(F31/F$47,5)</f>
        <v>3.8999999999999998E-3</v>
      </c>
      <c r="J31" s="222">
        <f>H31*$J$53</f>
        <v>162977.85498375454</v>
      </c>
      <c r="L31" s="402">
        <f>D31+J31</f>
        <v>3626884.8549837545</v>
      </c>
      <c r="M31" s="402"/>
    </row>
    <row r="32" spans="1:13">
      <c r="B32" s="405"/>
      <c r="C32" s="105"/>
      <c r="D32" s="755"/>
      <c r="E32" s="753"/>
      <c r="F32" s="756"/>
      <c r="J32" s="222"/>
      <c r="L32" s="402"/>
      <c r="M32" s="402"/>
    </row>
    <row r="33" spans="1:13">
      <c r="A33" s="105">
        <f>A31+1</f>
        <v>12</v>
      </c>
      <c r="B33" s="437" t="s">
        <v>452</v>
      </c>
      <c r="C33" s="105"/>
      <c r="D33" s="752">
        <v>9643969</v>
      </c>
      <c r="E33" s="753"/>
      <c r="F33" s="754">
        <v>59300</v>
      </c>
      <c r="H33" s="408">
        <f>ROUND(F33/F$47,5)</f>
        <v>8.6800000000000002E-3</v>
      </c>
      <c r="J33" s="222">
        <f>H33*$J$53</f>
        <v>362730.20032281784</v>
      </c>
      <c r="L33" s="402">
        <f>D33+J33</f>
        <v>10006699.200322818</v>
      </c>
      <c r="M33" s="402"/>
    </row>
    <row r="34" spans="1:13">
      <c r="B34" s="405"/>
      <c r="C34" s="105"/>
      <c r="D34" s="755"/>
      <c r="E34" s="753"/>
      <c r="F34" s="756"/>
      <c r="J34" s="222"/>
      <c r="L34" s="402"/>
      <c r="M34" s="402"/>
    </row>
    <row r="35" spans="1:13">
      <c r="A35" s="105">
        <f>A33+1</f>
        <v>13</v>
      </c>
      <c r="B35" s="437" t="s">
        <v>641</v>
      </c>
      <c r="C35" s="105"/>
      <c r="D35" s="752">
        <v>432452931.79000002</v>
      </c>
      <c r="E35" s="753"/>
      <c r="F35" s="754">
        <v>867850</v>
      </c>
      <c r="H35" s="408">
        <f>ROUND(F35/F$47,5)</f>
        <v>0.12698999999999999</v>
      </c>
      <c r="J35" s="222">
        <f>H35*$J$53</f>
        <v>5306809.6934325611</v>
      </c>
      <c r="L35" s="402">
        <f>D35+J35</f>
        <v>437759741.48343259</v>
      </c>
      <c r="M35" s="402"/>
    </row>
    <row r="36" spans="1:13">
      <c r="B36" s="405"/>
      <c r="C36" s="105"/>
      <c r="D36" s="755"/>
      <c r="E36" s="753"/>
      <c r="F36" s="756"/>
      <c r="J36" s="222"/>
      <c r="L36" s="402"/>
      <c r="M36" s="402"/>
    </row>
    <row r="37" spans="1:13">
      <c r="A37" s="105">
        <f>A35+1</f>
        <v>14</v>
      </c>
      <c r="B37" s="437" t="s">
        <v>747</v>
      </c>
      <c r="C37" s="105"/>
      <c r="D37" s="752">
        <v>165657754</v>
      </c>
      <c r="E37" s="753"/>
      <c r="F37" s="754">
        <v>280500</v>
      </c>
      <c r="H37" s="408">
        <f>ROUND(F37/F$47,5)</f>
        <v>4.104E-2</v>
      </c>
      <c r="J37" s="222">
        <f>H37*$J$53</f>
        <v>1715028.5047521249</v>
      </c>
      <c r="L37" s="402">
        <f>D37+J37</f>
        <v>167372782.50475213</v>
      </c>
      <c r="M37" s="402"/>
    </row>
    <row r="38" spans="1:13">
      <c r="B38" s="405"/>
      <c r="C38" s="105"/>
      <c r="D38" s="755"/>
      <c r="E38" s="753"/>
      <c r="F38" s="756"/>
      <c r="J38" s="222"/>
      <c r="L38" s="402"/>
      <c r="M38" s="402"/>
    </row>
    <row r="39" spans="1:13">
      <c r="A39" s="105">
        <f>A37+1</f>
        <v>15</v>
      </c>
      <c r="B39" s="437" t="s">
        <v>1207</v>
      </c>
      <c r="C39" s="105"/>
      <c r="D39" s="752">
        <v>218412942.02000001</v>
      </c>
      <c r="E39" s="753"/>
      <c r="F39" s="754">
        <v>397800</v>
      </c>
      <c r="H39" s="408">
        <f>ROUND(F39/F$47,5)</f>
        <v>5.8209999999999998E-2</v>
      </c>
      <c r="J39" s="222">
        <f>H39*$J$53</f>
        <v>2432548.9586165007</v>
      </c>
      <c r="L39" s="402">
        <f>D39+J39</f>
        <v>220845490.97861651</v>
      </c>
      <c r="M39" s="402"/>
    </row>
    <row r="40" spans="1:13">
      <c r="B40" s="405"/>
      <c r="C40" s="105"/>
      <c r="D40" s="755"/>
      <c r="E40" s="753"/>
      <c r="F40" s="756"/>
      <c r="J40" s="222"/>
      <c r="L40" s="402"/>
      <c r="M40" s="402"/>
    </row>
    <row r="41" spans="1:13">
      <c r="A41" s="105">
        <f>A39+1</f>
        <v>16</v>
      </c>
      <c r="B41" s="437" t="s">
        <v>748</v>
      </c>
      <c r="C41" s="105"/>
      <c r="D41" s="752">
        <v>403569587.74000001</v>
      </c>
      <c r="E41" s="753"/>
      <c r="F41" s="754">
        <v>685100</v>
      </c>
      <c r="H41" s="408">
        <f>ROUND(F41/F$47,5)</f>
        <v>0.10024</v>
      </c>
      <c r="J41" s="222">
        <f>H41*$J$53</f>
        <v>4188948.7650183477</v>
      </c>
      <c r="L41" s="402">
        <f>D41+J41</f>
        <v>407758536.50501835</v>
      </c>
      <c r="M41" s="402"/>
    </row>
    <row r="42" spans="1:13">
      <c r="B42" s="405"/>
      <c r="C42" s="105"/>
      <c r="D42" s="755"/>
      <c r="E42" s="753"/>
      <c r="F42" s="756"/>
      <c r="J42" s="222"/>
      <c r="L42" s="402"/>
      <c r="M42" s="402"/>
    </row>
    <row r="43" spans="1:13">
      <c r="A43" s="105">
        <f>A41+1</f>
        <v>17</v>
      </c>
      <c r="B43" s="437" t="s">
        <v>1802</v>
      </c>
      <c r="C43" s="105"/>
      <c r="D43" s="752">
        <v>277711782</v>
      </c>
      <c r="E43" s="753"/>
      <c r="F43" s="754">
        <v>505800</v>
      </c>
      <c r="H43" s="408">
        <f>ROUND(F43/F$47,5)</f>
        <v>7.4010000000000006E-2</v>
      </c>
      <c r="J43" s="222">
        <f>H43*$J$53</f>
        <v>3092818.2172686346</v>
      </c>
      <c r="L43" s="402">
        <f>D43+J43</f>
        <v>280804600.21726865</v>
      </c>
      <c r="M43" s="402"/>
    </row>
    <row r="44" spans="1:13">
      <c r="B44" s="405"/>
      <c r="C44" s="105"/>
      <c r="D44" s="405"/>
      <c r="E44" s="109"/>
      <c r="F44" s="109"/>
      <c r="J44" s="222"/>
      <c r="L44" s="402"/>
      <c r="M44" s="402"/>
    </row>
    <row r="45" spans="1:13">
      <c r="A45" s="105">
        <f>A43+1</f>
        <v>18</v>
      </c>
      <c r="B45" s="1200" t="s">
        <v>453</v>
      </c>
      <c r="C45" s="105"/>
      <c r="D45" s="752">
        <v>60826687</v>
      </c>
      <c r="E45" s="109"/>
      <c r="F45" s="754">
        <v>300000</v>
      </c>
      <c r="H45" s="408">
        <f>ROUND(F45/F$47,5)</f>
        <v>4.3900000000000002E-2</v>
      </c>
      <c r="J45" s="222">
        <f>H45*$J$53</f>
        <v>1834545.5984068783</v>
      </c>
      <c r="L45" s="402">
        <f>D45+J45</f>
        <v>62661232.598406881</v>
      </c>
      <c r="M45" s="402"/>
    </row>
    <row r="47" spans="1:13">
      <c r="A47" s="105">
        <f>A45+1</f>
        <v>19</v>
      </c>
      <c r="B47" t="s">
        <v>795</v>
      </c>
      <c r="D47" s="622">
        <f>SUM(D11:D45)</f>
        <v>5284552577.0200005</v>
      </c>
      <c r="F47" s="623">
        <f>SUM(F11:F45)</f>
        <v>6834270</v>
      </c>
      <c r="H47" s="624">
        <f>ROUND(SUM(H11:H45),4)</f>
        <v>1</v>
      </c>
      <c r="J47" s="625">
        <f>SUM(J11:J45)</f>
        <v>41790447.261385664</v>
      </c>
      <c r="K47" s="493"/>
      <c r="L47" s="625">
        <f>SUM(L11:L45)</f>
        <v>5326343024.2813854</v>
      </c>
      <c r="M47" s="985"/>
    </row>
    <row r="48" spans="1:13">
      <c r="A48" s="105"/>
      <c r="H48" s="408"/>
    </row>
    <row r="49" spans="1:13">
      <c r="A49" s="105">
        <f>A47+1</f>
        <v>20</v>
      </c>
      <c r="I49" s="150" t="s">
        <v>1779</v>
      </c>
      <c r="J49" s="515">
        <v>0.72249996633935976</v>
      </c>
      <c r="M49" s="985"/>
    </row>
    <row r="51" spans="1:13">
      <c r="A51" s="105">
        <f>A49+1</f>
        <v>21</v>
      </c>
      <c r="F51" s="109"/>
      <c r="G51" s="109"/>
      <c r="H51" s="109"/>
      <c r="I51" s="1118" t="s">
        <v>961</v>
      </c>
      <c r="J51" s="146">
        <f>'Schedule 2'!H20</f>
        <v>57839717</v>
      </c>
      <c r="M51" s="985"/>
    </row>
    <row r="52" spans="1:13">
      <c r="J52" s="409"/>
    </row>
    <row r="53" spans="1:13">
      <c r="A53" s="105">
        <f>A51+1</f>
        <v>22</v>
      </c>
      <c r="I53" s="150" t="s">
        <v>1780</v>
      </c>
      <c r="J53" s="134">
        <f>J49*J51</f>
        <v>41789193.585578091</v>
      </c>
    </row>
    <row r="54" spans="1:13">
      <c r="A54" s="105"/>
      <c r="J54" s="134"/>
      <c r="L54" s="407"/>
    </row>
    <row r="55" spans="1:13">
      <c r="B55" s="78" t="s">
        <v>927</v>
      </c>
    </row>
    <row r="56" spans="1:13">
      <c r="B56" s="78" t="s">
        <v>928</v>
      </c>
    </row>
  </sheetData>
  <phoneticPr fontId="2" type="noConversion"/>
  <printOptions horizontalCentered="1"/>
  <pageMargins left="0.75" right="0.75" top="1" bottom="1" header="0.5" footer="0.5"/>
  <pageSetup scale="78" orientation="portrait" r:id="rId1"/>
  <headerFooter alignWithMargins="0">
    <oddHeader>&amp;RPage &amp;P of &amp;N</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dimension ref="A1:BA379"/>
  <sheetViews>
    <sheetView workbookViewId="0">
      <selection activeCell="J21" sqref="J21"/>
    </sheetView>
  </sheetViews>
  <sheetFormatPr defaultRowHeight="12.75"/>
  <cols>
    <col min="1" max="1" width="5.42578125" customWidth="1"/>
    <col min="2" max="2" width="10.140625" customWidth="1"/>
    <col min="3" max="3" width="5.5703125" customWidth="1"/>
    <col min="4" max="26" width="6.28515625" customWidth="1"/>
    <col min="27" max="27" width="6.7109375" customWidth="1"/>
    <col min="28" max="28" width="8.5703125" customWidth="1"/>
    <col min="29" max="29" width="6.85546875" customWidth="1"/>
    <col min="30" max="30" width="5" customWidth="1"/>
    <col min="31" max="31" width="5.140625" bestFit="1" customWidth="1"/>
    <col min="32" max="33" width="5.7109375" bestFit="1" customWidth="1"/>
    <col min="34" max="34" width="5.85546875" customWidth="1"/>
    <col min="35" max="53" width="5.140625" bestFit="1" customWidth="1"/>
    <col min="257" max="257" width="5.42578125" customWidth="1"/>
    <col min="258" max="258" width="10.140625" customWidth="1"/>
    <col min="259" max="259" width="5.5703125" customWidth="1"/>
    <col min="260" max="282" width="6.28515625" customWidth="1"/>
    <col min="283" max="283" width="6.7109375" customWidth="1"/>
    <col min="284" max="284" width="8.5703125" customWidth="1"/>
    <col min="285" max="285" width="6.85546875" customWidth="1"/>
    <col min="286" max="286" width="5" customWidth="1"/>
    <col min="287" max="287" width="5.140625" bestFit="1" customWidth="1"/>
    <col min="288" max="289" width="5.7109375" bestFit="1" customWidth="1"/>
    <col min="290" max="290" width="5.85546875" customWidth="1"/>
    <col min="291" max="309" width="5.140625" bestFit="1" customWidth="1"/>
    <col min="513" max="513" width="5.42578125" customWidth="1"/>
    <col min="514" max="514" width="10.140625" customWidth="1"/>
    <col min="515" max="515" width="5.5703125" customWidth="1"/>
    <col min="516" max="538" width="6.28515625" customWidth="1"/>
    <col min="539" max="539" width="6.7109375" customWidth="1"/>
    <col min="540" max="540" width="8.5703125" customWidth="1"/>
    <col min="541" max="541" width="6.85546875" customWidth="1"/>
    <col min="542" max="542" width="5" customWidth="1"/>
    <col min="543" max="543" width="5.140625" bestFit="1" customWidth="1"/>
    <col min="544" max="545" width="5.7109375" bestFit="1" customWidth="1"/>
    <col min="546" max="546" width="5.85546875" customWidth="1"/>
    <col min="547" max="565" width="5.140625" bestFit="1" customWidth="1"/>
    <col min="769" max="769" width="5.42578125" customWidth="1"/>
    <col min="770" max="770" width="10.140625" customWidth="1"/>
    <col min="771" max="771" width="5.5703125" customWidth="1"/>
    <col min="772" max="794" width="6.28515625" customWidth="1"/>
    <col min="795" max="795" width="6.7109375" customWidth="1"/>
    <col min="796" max="796" width="8.5703125" customWidth="1"/>
    <col min="797" max="797" width="6.85546875" customWidth="1"/>
    <col min="798" max="798" width="5" customWidth="1"/>
    <col min="799" max="799" width="5.140625" bestFit="1" customWidth="1"/>
    <col min="800" max="801" width="5.7109375" bestFit="1" customWidth="1"/>
    <col min="802" max="802" width="5.85546875" customWidth="1"/>
    <col min="803" max="821" width="5.140625" bestFit="1" customWidth="1"/>
    <col min="1025" max="1025" width="5.42578125" customWidth="1"/>
    <col min="1026" max="1026" width="10.140625" customWidth="1"/>
    <col min="1027" max="1027" width="5.5703125" customWidth="1"/>
    <col min="1028" max="1050" width="6.28515625" customWidth="1"/>
    <col min="1051" max="1051" width="6.7109375" customWidth="1"/>
    <col min="1052" max="1052" width="8.5703125" customWidth="1"/>
    <col min="1053" max="1053" width="6.85546875" customWidth="1"/>
    <col min="1054" max="1054" width="5" customWidth="1"/>
    <col min="1055" max="1055" width="5.140625" bestFit="1" customWidth="1"/>
    <col min="1056" max="1057" width="5.7109375" bestFit="1" customWidth="1"/>
    <col min="1058" max="1058" width="5.85546875" customWidth="1"/>
    <col min="1059" max="1077" width="5.140625" bestFit="1" customWidth="1"/>
    <col min="1281" max="1281" width="5.42578125" customWidth="1"/>
    <col min="1282" max="1282" width="10.140625" customWidth="1"/>
    <col min="1283" max="1283" width="5.5703125" customWidth="1"/>
    <col min="1284" max="1306" width="6.28515625" customWidth="1"/>
    <col min="1307" max="1307" width="6.7109375" customWidth="1"/>
    <col min="1308" max="1308" width="8.5703125" customWidth="1"/>
    <col min="1309" max="1309" width="6.85546875" customWidth="1"/>
    <col min="1310" max="1310" width="5" customWidth="1"/>
    <col min="1311" max="1311" width="5.140625" bestFit="1" customWidth="1"/>
    <col min="1312" max="1313" width="5.7109375" bestFit="1" customWidth="1"/>
    <col min="1314" max="1314" width="5.85546875" customWidth="1"/>
    <col min="1315" max="1333" width="5.140625" bestFit="1" customWidth="1"/>
    <col min="1537" max="1537" width="5.42578125" customWidth="1"/>
    <col min="1538" max="1538" width="10.140625" customWidth="1"/>
    <col min="1539" max="1539" width="5.5703125" customWidth="1"/>
    <col min="1540" max="1562" width="6.28515625" customWidth="1"/>
    <col min="1563" max="1563" width="6.7109375" customWidth="1"/>
    <col min="1564" max="1564" width="8.5703125" customWidth="1"/>
    <col min="1565" max="1565" width="6.85546875" customWidth="1"/>
    <col min="1566" max="1566" width="5" customWidth="1"/>
    <col min="1567" max="1567" width="5.140625" bestFit="1" customWidth="1"/>
    <col min="1568" max="1569" width="5.7109375" bestFit="1" customWidth="1"/>
    <col min="1570" max="1570" width="5.85546875" customWidth="1"/>
    <col min="1571" max="1589" width="5.140625" bestFit="1" customWidth="1"/>
    <col min="1793" max="1793" width="5.42578125" customWidth="1"/>
    <col min="1794" max="1794" width="10.140625" customWidth="1"/>
    <col min="1795" max="1795" width="5.5703125" customWidth="1"/>
    <col min="1796" max="1818" width="6.28515625" customWidth="1"/>
    <col min="1819" max="1819" width="6.7109375" customWidth="1"/>
    <col min="1820" max="1820" width="8.5703125" customWidth="1"/>
    <col min="1821" max="1821" width="6.85546875" customWidth="1"/>
    <col min="1822" max="1822" width="5" customWidth="1"/>
    <col min="1823" max="1823" width="5.140625" bestFit="1" customWidth="1"/>
    <col min="1824" max="1825" width="5.7109375" bestFit="1" customWidth="1"/>
    <col min="1826" max="1826" width="5.85546875" customWidth="1"/>
    <col min="1827" max="1845" width="5.140625" bestFit="1" customWidth="1"/>
    <col min="2049" max="2049" width="5.42578125" customWidth="1"/>
    <col min="2050" max="2050" width="10.140625" customWidth="1"/>
    <col min="2051" max="2051" width="5.5703125" customWidth="1"/>
    <col min="2052" max="2074" width="6.28515625" customWidth="1"/>
    <col min="2075" max="2075" width="6.7109375" customWidth="1"/>
    <col min="2076" max="2076" width="8.5703125" customWidth="1"/>
    <col min="2077" max="2077" width="6.85546875" customWidth="1"/>
    <col min="2078" max="2078" width="5" customWidth="1"/>
    <col min="2079" max="2079" width="5.140625" bestFit="1" customWidth="1"/>
    <col min="2080" max="2081" width="5.7109375" bestFit="1" customWidth="1"/>
    <col min="2082" max="2082" width="5.85546875" customWidth="1"/>
    <col min="2083" max="2101" width="5.140625" bestFit="1" customWidth="1"/>
    <col min="2305" max="2305" width="5.42578125" customWidth="1"/>
    <col min="2306" max="2306" width="10.140625" customWidth="1"/>
    <col min="2307" max="2307" width="5.5703125" customWidth="1"/>
    <col min="2308" max="2330" width="6.28515625" customWidth="1"/>
    <col min="2331" max="2331" width="6.7109375" customWidth="1"/>
    <col min="2332" max="2332" width="8.5703125" customWidth="1"/>
    <col min="2333" max="2333" width="6.85546875" customWidth="1"/>
    <col min="2334" max="2334" width="5" customWidth="1"/>
    <col min="2335" max="2335" width="5.140625" bestFit="1" customWidth="1"/>
    <col min="2336" max="2337" width="5.7109375" bestFit="1" customWidth="1"/>
    <col min="2338" max="2338" width="5.85546875" customWidth="1"/>
    <col min="2339" max="2357" width="5.140625" bestFit="1" customWidth="1"/>
    <col min="2561" max="2561" width="5.42578125" customWidth="1"/>
    <col min="2562" max="2562" width="10.140625" customWidth="1"/>
    <col min="2563" max="2563" width="5.5703125" customWidth="1"/>
    <col min="2564" max="2586" width="6.28515625" customWidth="1"/>
    <col min="2587" max="2587" width="6.7109375" customWidth="1"/>
    <col min="2588" max="2588" width="8.5703125" customWidth="1"/>
    <col min="2589" max="2589" width="6.85546875" customWidth="1"/>
    <col min="2590" max="2590" width="5" customWidth="1"/>
    <col min="2591" max="2591" width="5.140625" bestFit="1" customWidth="1"/>
    <col min="2592" max="2593" width="5.7109375" bestFit="1" customWidth="1"/>
    <col min="2594" max="2594" width="5.85546875" customWidth="1"/>
    <col min="2595" max="2613" width="5.140625" bestFit="1" customWidth="1"/>
    <col min="2817" max="2817" width="5.42578125" customWidth="1"/>
    <col min="2818" max="2818" width="10.140625" customWidth="1"/>
    <col min="2819" max="2819" width="5.5703125" customWidth="1"/>
    <col min="2820" max="2842" width="6.28515625" customWidth="1"/>
    <col min="2843" max="2843" width="6.7109375" customWidth="1"/>
    <col min="2844" max="2844" width="8.5703125" customWidth="1"/>
    <col min="2845" max="2845" width="6.85546875" customWidth="1"/>
    <col min="2846" max="2846" width="5" customWidth="1"/>
    <col min="2847" max="2847" width="5.140625" bestFit="1" customWidth="1"/>
    <col min="2848" max="2849" width="5.7109375" bestFit="1" customWidth="1"/>
    <col min="2850" max="2850" width="5.85546875" customWidth="1"/>
    <col min="2851" max="2869" width="5.140625" bestFit="1" customWidth="1"/>
    <col min="3073" max="3073" width="5.42578125" customWidth="1"/>
    <col min="3074" max="3074" width="10.140625" customWidth="1"/>
    <col min="3075" max="3075" width="5.5703125" customWidth="1"/>
    <col min="3076" max="3098" width="6.28515625" customWidth="1"/>
    <col min="3099" max="3099" width="6.7109375" customWidth="1"/>
    <col min="3100" max="3100" width="8.5703125" customWidth="1"/>
    <col min="3101" max="3101" width="6.85546875" customWidth="1"/>
    <col min="3102" max="3102" width="5" customWidth="1"/>
    <col min="3103" max="3103" width="5.140625" bestFit="1" customWidth="1"/>
    <col min="3104" max="3105" width="5.7109375" bestFit="1" customWidth="1"/>
    <col min="3106" max="3106" width="5.85546875" customWidth="1"/>
    <col min="3107" max="3125" width="5.140625" bestFit="1" customWidth="1"/>
    <col min="3329" max="3329" width="5.42578125" customWidth="1"/>
    <col min="3330" max="3330" width="10.140625" customWidth="1"/>
    <col min="3331" max="3331" width="5.5703125" customWidth="1"/>
    <col min="3332" max="3354" width="6.28515625" customWidth="1"/>
    <col min="3355" max="3355" width="6.7109375" customWidth="1"/>
    <col min="3356" max="3356" width="8.5703125" customWidth="1"/>
    <col min="3357" max="3357" width="6.85546875" customWidth="1"/>
    <col min="3358" max="3358" width="5" customWidth="1"/>
    <col min="3359" max="3359" width="5.140625" bestFit="1" customWidth="1"/>
    <col min="3360" max="3361" width="5.7109375" bestFit="1" customWidth="1"/>
    <col min="3362" max="3362" width="5.85546875" customWidth="1"/>
    <col min="3363" max="3381" width="5.140625" bestFit="1" customWidth="1"/>
    <col min="3585" max="3585" width="5.42578125" customWidth="1"/>
    <col min="3586" max="3586" width="10.140625" customWidth="1"/>
    <col min="3587" max="3587" width="5.5703125" customWidth="1"/>
    <col min="3588" max="3610" width="6.28515625" customWidth="1"/>
    <col min="3611" max="3611" width="6.7109375" customWidth="1"/>
    <col min="3612" max="3612" width="8.5703125" customWidth="1"/>
    <col min="3613" max="3613" width="6.85546875" customWidth="1"/>
    <col min="3614" max="3614" width="5" customWidth="1"/>
    <col min="3615" max="3615" width="5.140625" bestFit="1" customWidth="1"/>
    <col min="3616" max="3617" width="5.7109375" bestFit="1" customWidth="1"/>
    <col min="3618" max="3618" width="5.85546875" customWidth="1"/>
    <col min="3619" max="3637" width="5.140625" bestFit="1" customWidth="1"/>
    <col min="3841" max="3841" width="5.42578125" customWidth="1"/>
    <col min="3842" max="3842" width="10.140625" customWidth="1"/>
    <col min="3843" max="3843" width="5.5703125" customWidth="1"/>
    <col min="3844" max="3866" width="6.28515625" customWidth="1"/>
    <col min="3867" max="3867" width="6.7109375" customWidth="1"/>
    <col min="3868" max="3868" width="8.5703125" customWidth="1"/>
    <col min="3869" max="3869" width="6.85546875" customWidth="1"/>
    <col min="3870" max="3870" width="5" customWidth="1"/>
    <col min="3871" max="3871" width="5.140625" bestFit="1" customWidth="1"/>
    <col min="3872" max="3873" width="5.7109375" bestFit="1" customWidth="1"/>
    <col min="3874" max="3874" width="5.85546875" customWidth="1"/>
    <col min="3875" max="3893" width="5.140625" bestFit="1" customWidth="1"/>
    <col min="4097" max="4097" width="5.42578125" customWidth="1"/>
    <col min="4098" max="4098" width="10.140625" customWidth="1"/>
    <col min="4099" max="4099" width="5.5703125" customWidth="1"/>
    <col min="4100" max="4122" width="6.28515625" customWidth="1"/>
    <col min="4123" max="4123" width="6.7109375" customWidth="1"/>
    <col min="4124" max="4124" width="8.5703125" customWidth="1"/>
    <col min="4125" max="4125" width="6.85546875" customWidth="1"/>
    <col min="4126" max="4126" width="5" customWidth="1"/>
    <col min="4127" max="4127" width="5.140625" bestFit="1" customWidth="1"/>
    <col min="4128" max="4129" width="5.7109375" bestFit="1" customWidth="1"/>
    <col min="4130" max="4130" width="5.85546875" customWidth="1"/>
    <col min="4131" max="4149" width="5.140625" bestFit="1" customWidth="1"/>
    <col min="4353" max="4353" width="5.42578125" customWidth="1"/>
    <col min="4354" max="4354" width="10.140625" customWidth="1"/>
    <col min="4355" max="4355" width="5.5703125" customWidth="1"/>
    <col min="4356" max="4378" width="6.28515625" customWidth="1"/>
    <col min="4379" max="4379" width="6.7109375" customWidth="1"/>
    <col min="4380" max="4380" width="8.5703125" customWidth="1"/>
    <col min="4381" max="4381" width="6.85546875" customWidth="1"/>
    <col min="4382" max="4382" width="5" customWidth="1"/>
    <col min="4383" max="4383" width="5.140625" bestFit="1" customWidth="1"/>
    <col min="4384" max="4385" width="5.7109375" bestFit="1" customWidth="1"/>
    <col min="4386" max="4386" width="5.85546875" customWidth="1"/>
    <col min="4387" max="4405" width="5.140625" bestFit="1" customWidth="1"/>
    <col min="4609" max="4609" width="5.42578125" customWidth="1"/>
    <col min="4610" max="4610" width="10.140625" customWidth="1"/>
    <col min="4611" max="4611" width="5.5703125" customWidth="1"/>
    <col min="4612" max="4634" width="6.28515625" customWidth="1"/>
    <col min="4635" max="4635" width="6.7109375" customWidth="1"/>
    <col min="4636" max="4636" width="8.5703125" customWidth="1"/>
    <col min="4637" max="4637" width="6.85546875" customWidth="1"/>
    <col min="4638" max="4638" width="5" customWidth="1"/>
    <col min="4639" max="4639" width="5.140625" bestFit="1" customWidth="1"/>
    <col min="4640" max="4641" width="5.7109375" bestFit="1" customWidth="1"/>
    <col min="4642" max="4642" width="5.85546875" customWidth="1"/>
    <col min="4643" max="4661" width="5.140625" bestFit="1" customWidth="1"/>
    <col min="4865" max="4865" width="5.42578125" customWidth="1"/>
    <col min="4866" max="4866" width="10.140625" customWidth="1"/>
    <col min="4867" max="4867" width="5.5703125" customWidth="1"/>
    <col min="4868" max="4890" width="6.28515625" customWidth="1"/>
    <col min="4891" max="4891" width="6.7109375" customWidth="1"/>
    <col min="4892" max="4892" width="8.5703125" customWidth="1"/>
    <col min="4893" max="4893" width="6.85546875" customWidth="1"/>
    <col min="4894" max="4894" width="5" customWidth="1"/>
    <col min="4895" max="4895" width="5.140625" bestFit="1" customWidth="1"/>
    <col min="4896" max="4897" width="5.7109375" bestFit="1" customWidth="1"/>
    <col min="4898" max="4898" width="5.85546875" customWidth="1"/>
    <col min="4899" max="4917" width="5.140625" bestFit="1" customWidth="1"/>
    <col min="5121" max="5121" width="5.42578125" customWidth="1"/>
    <col min="5122" max="5122" width="10.140625" customWidth="1"/>
    <col min="5123" max="5123" width="5.5703125" customWidth="1"/>
    <col min="5124" max="5146" width="6.28515625" customWidth="1"/>
    <col min="5147" max="5147" width="6.7109375" customWidth="1"/>
    <col min="5148" max="5148" width="8.5703125" customWidth="1"/>
    <col min="5149" max="5149" width="6.85546875" customWidth="1"/>
    <col min="5150" max="5150" width="5" customWidth="1"/>
    <col min="5151" max="5151" width="5.140625" bestFit="1" customWidth="1"/>
    <col min="5152" max="5153" width="5.7109375" bestFit="1" customWidth="1"/>
    <col min="5154" max="5154" width="5.85546875" customWidth="1"/>
    <col min="5155" max="5173" width="5.140625" bestFit="1" customWidth="1"/>
    <col min="5377" max="5377" width="5.42578125" customWidth="1"/>
    <col min="5378" max="5378" width="10.140625" customWidth="1"/>
    <col min="5379" max="5379" width="5.5703125" customWidth="1"/>
    <col min="5380" max="5402" width="6.28515625" customWidth="1"/>
    <col min="5403" max="5403" width="6.7109375" customWidth="1"/>
    <col min="5404" max="5404" width="8.5703125" customWidth="1"/>
    <col min="5405" max="5405" width="6.85546875" customWidth="1"/>
    <col min="5406" max="5406" width="5" customWidth="1"/>
    <col min="5407" max="5407" width="5.140625" bestFit="1" customWidth="1"/>
    <col min="5408" max="5409" width="5.7109375" bestFit="1" customWidth="1"/>
    <col min="5410" max="5410" width="5.85546875" customWidth="1"/>
    <col min="5411" max="5429" width="5.140625" bestFit="1" customWidth="1"/>
    <col min="5633" max="5633" width="5.42578125" customWidth="1"/>
    <col min="5634" max="5634" width="10.140625" customWidth="1"/>
    <col min="5635" max="5635" width="5.5703125" customWidth="1"/>
    <col min="5636" max="5658" width="6.28515625" customWidth="1"/>
    <col min="5659" max="5659" width="6.7109375" customWidth="1"/>
    <col min="5660" max="5660" width="8.5703125" customWidth="1"/>
    <col min="5661" max="5661" width="6.85546875" customWidth="1"/>
    <col min="5662" max="5662" width="5" customWidth="1"/>
    <col min="5663" max="5663" width="5.140625" bestFit="1" customWidth="1"/>
    <col min="5664" max="5665" width="5.7109375" bestFit="1" customWidth="1"/>
    <col min="5666" max="5666" width="5.85546875" customWidth="1"/>
    <col min="5667" max="5685" width="5.140625" bestFit="1" customWidth="1"/>
    <col min="5889" max="5889" width="5.42578125" customWidth="1"/>
    <col min="5890" max="5890" width="10.140625" customWidth="1"/>
    <col min="5891" max="5891" width="5.5703125" customWidth="1"/>
    <col min="5892" max="5914" width="6.28515625" customWidth="1"/>
    <col min="5915" max="5915" width="6.7109375" customWidth="1"/>
    <col min="5916" max="5916" width="8.5703125" customWidth="1"/>
    <col min="5917" max="5917" width="6.85546875" customWidth="1"/>
    <col min="5918" max="5918" width="5" customWidth="1"/>
    <col min="5919" max="5919" width="5.140625" bestFit="1" customWidth="1"/>
    <col min="5920" max="5921" width="5.7109375" bestFit="1" customWidth="1"/>
    <col min="5922" max="5922" width="5.85546875" customWidth="1"/>
    <col min="5923" max="5941" width="5.140625" bestFit="1" customWidth="1"/>
    <col min="6145" max="6145" width="5.42578125" customWidth="1"/>
    <col min="6146" max="6146" width="10.140625" customWidth="1"/>
    <col min="6147" max="6147" width="5.5703125" customWidth="1"/>
    <col min="6148" max="6170" width="6.28515625" customWidth="1"/>
    <col min="6171" max="6171" width="6.7109375" customWidth="1"/>
    <col min="6172" max="6172" width="8.5703125" customWidth="1"/>
    <col min="6173" max="6173" width="6.85546875" customWidth="1"/>
    <col min="6174" max="6174" width="5" customWidth="1"/>
    <col min="6175" max="6175" width="5.140625" bestFit="1" customWidth="1"/>
    <col min="6176" max="6177" width="5.7109375" bestFit="1" customWidth="1"/>
    <col min="6178" max="6178" width="5.85546875" customWidth="1"/>
    <col min="6179" max="6197" width="5.140625" bestFit="1" customWidth="1"/>
    <col min="6401" max="6401" width="5.42578125" customWidth="1"/>
    <col min="6402" max="6402" width="10.140625" customWidth="1"/>
    <col min="6403" max="6403" width="5.5703125" customWidth="1"/>
    <col min="6404" max="6426" width="6.28515625" customWidth="1"/>
    <col min="6427" max="6427" width="6.7109375" customWidth="1"/>
    <col min="6428" max="6428" width="8.5703125" customWidth="1"/>
    <col min="6429" max="6429" width="6.85546875" customWidth="1"/>
    <col min="6430" max="6430" width="5" customWidth="1"/>
    <col min="6431" max="6431" width="5.140625" bestFit="1" customWidth="1"/>
    <col min="6432" max="6433" width="5.7109375" bestFit="1" customWidth="1"/>
    <col min="6434" max="6434" width="5.85546875" customWidth="1"/>
    <col min="6435" max="6453" width="5.140625" bestFit="1" customWidth="1"/>
    <col min="6657" max="6657" width="5.42578125" customWidth="1"/>
    <col min="6658" max="6658" width="10.140625" customWidth="1"/>
    <col min="6659" max="6659" width="5.5703125" customWidth="1"/>
    <col min="6660" max="6682" width="6.28515625" customWidth="1"/>
    <col min="6683" max="6683" width="6.7109375" customWidth="1"/>
    <col min="6684" max="6684" width="8.5703125" customWidth="1"/>
    <col min="6685" max="6685" width="6.85546875" customWidth="1"/>
    <col min="6686" max="6686" width="5" customWidth="1"/>
    <col min="6687" max="6687" width="5.140625" bestFit="1" customWidth="1"/>
    <col min="6688" max="6689" width="5.7109375" bestFit="1" customWidth="1"/>
    <col min="6690" max="6690" width="5.85546875" customWidth="1"/>
    <col min="6691" max="6709" width="5.140625" bestFit="1" customWidth="1"/>
    <col min="6913" max="6913" width="5.42578125" customWidth="1"/>
    <col min="6914" max="6914" width="10.140625" customWidth="1"/>
    <col min="6915" max="6915" width="5.5703125" customWidth="1"/>
    <col min="6916" max="6938" width="6.28515625" customWidth="1"/>
    <col min="6939" max="6939" width="6.7109375" customWidth="1"/>
    <col min="6940" max="6940" width="8.5703125" customWidth="1"/>
    <col min="6941" max="6941" width="6.85546875" customWidth="1"/>
    <col min="6942" max="6942" width="5" customWidth="1"/>
    <col min="6943" max="6943" width="5.140625" bestFit="1" customWidth="1"/>
    <col min="6944" max="6945" width="5.7109375" bestFit="1" customWidth="1"/>
    <col min="6946" max="6946" width="5.85546875" customWidth="1"/>
    <col min="6947" max="6965" width="5.140625" bestFit="1" customWidth="1"/>
    <col min="7169" max="7169" width="5.42578125" customWidth="1"/>
    <col min="7170" max="7170" width="10.140625" customWidth="1"/>
    <col min="7171" max="7171" width="5.5703125" customWidth="1"/>
    <col min="7172" max="7194" width="6.28515625" customWidth="1"/>
    <col min="7195" max="7195" width="6.7109375" customWidth="1"/>
    <col min="7196" max="7196" width="8.5703125" customWidth="1"/>
    <col min="7197" max="7197" width="6.85546875" customWidth="1"/>
    <col min="7198" max="7198" width="5" customWidth="1"/>
    <col min="7199" max="7199" width="5.140625" bestFit="1" customWidth="1"/>
    <col min="7200" max="7201" width="5.7109375" bestFit="1" customWidth="1"/>
    <col min="7202" max="7202" width="5.85546875" customWidth="1"/>
    <col min="7203" max="7221" width="5.140625" bestFit="1" customWidth="1"/>
    <col min="7425" max="7425" width="5.42578125" customWidth="1"/>
    <col min="7426" max="7426" width="10.140625" customWidth="1"/>
    <col min="7427" max="7427" width="5.5703125" customWidth="1"/>
    <col min="7428" max="7450" width="6.28515625" customWidth="1"/>
    <col min="7451" max="7451" width="6.7109375" customWidth="1"/>
    <col min="7452" max="7452" width="8.5703125" customWidth="1"/>
    <col min="7453" max="7453" width="6.85546875" customWidth="1"/>
    <col min="7454" max="7454" width="5" customWidth="1"/>
    <col min="7455" max="7455" width="5.140625" bestFit="1" customWidth="1"/>
    <col min="7456" max="7457" width="5.7109375" bestFit="1" customWidth="1"/>
    <col min="7458" max="7458" width="5.85546875" customWidth="1"/>
    <col min="7459" max="7477" width="5.140625" bestFit="1" customWidth="1"/>
    <col min="7681" max="7681" width="5.42578125" customWidth="1"/>
    <col min="7682" max="7682" width="10.140625" customWidth="1"/>
    <col min="7683" max="7683" width="5.5703125" customWidth="1"/>
    <col min="7684" max="7706" width="6.28515625" customWidth="1"/>
    <col min="7707" max="7707" width="6.7109375" customWidth="1"/>
    <col min="7708" max="7708" width="8.5703125" customWidth="1"/>
    <col min="7709" max="7709" width="6.85546875" customWidth="1"/>
    <col min="7710" max="7710" width="5" customWidth="1"/>
    <col min="7711" max="7711" width="5.140625" bestFit="1" customWidth="1"/>
    <col min="7712" max="7713" width="5.7109375" bestFit="1" customWidth="1"/>
    <col min="7714" max="7714" width="5.85546875" customWidth="1"/>
    <col min="7715" max="7733" width="5.140625" bestFit="1" customWidth="1"/>
    <col min="7937" max="7937" width="5.42578125" customWidth="1"/>
    <col min="7938" max="7938" width="10.140625" customWidth="1"/>
    <col min="7939" max="7939" width="5.5703125" customWidth="1"/>
    <col min="7940" max="7962" width="6.28515625" customWidth="1"/>
    <col min="7963" max="7963" width="6.7109375" customWidth="1"/>
    <col min="7964" max="7964" width="8.5703125" customWidth="1"/>
    <col min="7965" max="7965" width="6.85546875" customWidth="1"/>
    <col min="7966" max="7966" width="5" customWidth="1"/>
    <col min="7967" max="7967" width="5.140625" bestFit="1" customWidth="1"/>
    <col min="7968" max="7969" width="5.7109375" bestFit="1" customWidth="1"/>
    <col min="7970" max="7970" width="5.85546875" customWidth="1"/>
    <col min="7971" max="7989" width="5.140625" bestFit="1" customWidth="1"/>
    <col min="8193" max="8193" width="5.42578125" customWidth="1"/>
    <col min="8194" max="8194" width="10.140625" customWidth="1"/>
    <col min="8195" max="8195" width="5.5703125" customWidth="1"/>
    <col min="8196" max="8218" width="6.28515625" customWidth="1"/>
    <col min="8219" max="8219" width="6.7109375" customWidth="1"/>
    <col min="8220" max="8220" width="8.5703125" customWidth="1"/>
    <col min="8221" max="8221" width="6.85546875" customWidth="1"/>
    <col min="8222" max="8222" width="5" customWidth="1"/>
    <col min="8223" max="8223" width="5.140625" bestFit="1" customWidth="1"/>
    <col min="8224" max="8225" width="5.7109375" bestFit="1" customWidth="1"/>
    <col min="8226" max="8226" width="5.85546875" customWidth="1"/>
    <col min="8227" max="8245" width="5.140625" bestFit="1" customWidth="1"/>
    <col min="8449" max="8449" width="5.42578125" customWidth="1"/>
    <col min="8450" max="8450" width="10.140625" customWidth="1"/>
    <col min="8451" max="8451" width="5.5703125" customWidth="1"/>
    <col min="8452" max="8474" width="6.28515625" customWidth="1"/>
    <col min="8475" max="8475" width="6.7109375" customWidth="1"/>
    <col min="8476" max="8476" width="8.5703125" customWidth="1"/>
    <col min="8477" max="8477" width="6.85546875" customWidth="1"/>
    <col min="8478" max="8478" width="5" customWidth="1"/>
    <col min="8479" max="8479" width="5.140625" bestFit="1" customWidth="1"/>
    <col min="8480" max="8481" width="5.7109375" bestFit="1" customWidth="1"/>
    <col min="8482" max="8482" width="5.85546875" customWidth="1"/>
    <col min="8483" max="8501" width="5.140625" bestFit="1" customWidth="1"/>
    <col min="8705" max="8705" width="5.42578125" customWidth="1"/>
    <col min="8706" max="8706" width="10.140625" customWidth="1"/>
    <col min="8707" max="8707" width="5.5703125" customWidth="1"/>
    <col min="8708" max="8730" width="6.28515625" customWidth="1"/>
    <col min="8731" max="8731" width="6.7109375" customWidth="1"/>
    <col min="8732" max="8732" width="8.5703125" customWidth="1"/>
    <col min="8733" max="8733" width="6.85546875" customWidth="1"/>
    <col min="8734" max="8734" width="5" customWidth="1"/>
    <col min="8735" max="8735" width="5.140625" bestFit="1" customWidth="1"/>
    <col min="8736" max="8737" width="5.7109375" bestFit="1" customWidth="1"/>
    <col min="8738" max="8738" width="5.85546875" customWidth="1"/>
    <col min="8739" max="8757" width="5.140625" bestFit="1" customWidth="1"/>
    <col min="8961" max="8961" width="5.42578125" customWidth="1"/>
    <col min="8962" max="8962" width="10.140625" customWidth="1"/>
    <col min="8963" max="8963" width="5.5703125" customWidth="1"/>
    <col min="8964" max="8986" width="6.28515625" customWidth="1"/>
    <col min="8987" max="8987" width="6.7109375" customWidth="1"/>
    <col min="8988" max="8988" width="8.5703125" customWidth="1"/>
    <col min="8989" max="8989" width="6.85546875" customWidth="1"/>
    <col min="8990" max="8990" width="5" customWidth="1"/>
    <col min="8991" max="8991" width="5.140625" bestFit="1" customWidth="1"/>
    <col min="8992" max="8993" width="5.7109375" bestFit="1" customWidth="1"/>
    <col min="8994" max="8994" width="5.85546875" customWidth="1"/>
    <col min="8995" max="9013" width="5.140625" bestFit="1" customWidth="1"/>
    <col min="9217" max="9217" width="5.42578125" customWidth="1"/>
    <col min="9218" max="9218" width="10.140625" customWidth="1"/>
    <col min="9219" max="9219" width="5.5703125" customWidth="1"/>
    <col min="9220" max="9242" width="6.28515625" customWidth="1"/>
    <col min="9243" max="9243" width="6.7109375" customWidth="1"/>
    <col min="9244" max="9244" width="8.5703125" customWidth="1"/>
    <col min="9245" max="9245" width="6.85546875" customWidth="1"/>
    <col min="9246" max="9246" width="5" customWidth="1"/>
    <col min="9247" max="9247" width="5.140625" bestFit="1" customWidth="1"/>
    <col min="9248" max="9249" width="5.7109375" bestFit="1" customWidth="1"/>
    <col min="9250" max="9250" width="5.85546875" customWidth="1"/>
    <col min="9251" max="9269" width="5.140625" bestFit="1" customWidth="1"/>
    <col min="9473" max="9473" width="5.42578125" customWidth="1"/>
    <col min="9474" max="9474" width="10.140625" customWidth="1"/>
    <col min="9475" max="9475" width="5.5703125" customWidth="1"/>
    <col min="9476" max="9498" width="6.28515625" customWidth="1"/>
    <col min="9499" max="9499" width="6.7109375" customWidth="1"/>
    <col min="9500" max="9500" width="8.5703125" customWidth="1"/>
    <col min="9501" max="9501" width="6.85546875" customWidth="1"/>
    <col min="9502" max="9502" width="5" customWidth="1"/>
    <col min="9503" max="9503" width="5.140625" bestFit="1" customWidth="1"/>
    <col min="9504" max="9505" width="5.7109375" bestFit="1" customWidth="1"/>
    <col min="9506" max="9506" width="5.85546875" customWidth="1"/>
    <col min="9507" max="9525" width="5.140625" bestFit="1" customWidth="1"/>
    <col min="9729" max="9729" width="5.42578125" customWidth="1"/>
    <col min="9730" max="9730" width="10.140625" customWidth="1"/>
    <col min="9731" max="9731" width="5.5703125" customWidth="1"/>
    <col min="9732" max="9754" width="6.28515625" customWidth="1"/>
    <col min="9755" max="9755" width="6.7109375" customWidth="1"/>
    <col min="9756" max="9756" width="8.5703125" customWidth="1"/>
    <col min="9757" max="9757" width="6.85546875" customWidth="1"/>
    <col min="9758" max="9758" width="5" customWidth="1"/>
    <col min="9759" max="9759" width="5.140625" bestFit="1" customWidth="1"/>
    <col min="9760" max="9761" width="5.7109375" bestFit="1" customWidth="1"/>
    <col min="9762" max="9762" width="5.85546875" customWidth="1"/>
    <col min="9763" max="9781" width="5.140625" bestFit="1" customWidth="1"/>
    <col min="9985" max="9985" width="5.42578125" customWidth="1"/>
    <col min="9986" max="9986" width="10.140625" customWidth="1"/>
    <col min="9987" max="9987" width="5.5703125" customWidth="1"/>
    <col min="9988" max="10010" width="6.28515625" customWidth="1"/>
    <col min="10011" max="10011" width="6.7109375" customWidth="1"/>
    <col min="10012" max="10012" width="8.5703125" customWidth="1"/>
    <col min="10013" max="10013" width="6.85546875" customWidth="1"/>
    <col min="10014" max="10014" width="5" customWidth="1"/>
    <col min="10015" max="10015" width="5.140625" bestFit="1" customWidth="1"/>
    <col min="10016" max="10017" width="5.7109375" bestFit="1" customWidth="1"/>
    <col min="10018" max="10018" width="5.85546875" customWidth="1"/>
    <col min="10019" max="10037" width="5.140625" bestFit="1" customWidth="1"/>
    <col min="10241" max="10241" width="5.42578125" customWidth="1"/>
    <col min="10242" max="10242" width="10.140625" customWidth="1"/>
    <col min="10243" max="10243" width="5.5703125" customWidth="1"/>
    <col min="10244" max="10266" width="6.28515625" customWidth="1"/>
    <col min="10267" max="10267" width="6.7109375" customWidth="1"/>
    <col min="10268" max="10268" width="8.5703125" customWidth="1"/>
    <col min="10269" max="10269" width="6.85546875" customWidth="1"/>
    <col min="10270" max="10270" width="5" customWidth="1"/>
    <col min="10271" max="10271" width="5.140625" bestFit="1" customWidth="1"/>
    <col min="10272" max="10273" width="5.7109375" bestFit="1" customWidth="1"/>
    <col min="10274" max="10274" width="5.85546875" customWidth="1"/>
    <col min="10275" max="10293" width="5.140625" bestFit="1" customWidth="1"/>
    <col min="10497" max="10497" width="5.42578125" customWidth="1"/>
    <col min="10498" max="10498" width="10.140625" customWidth="1"/>
    <col min="10499" max="10499" width="5.5703125" customWidth="1"/>
    <col min="10500" max="10522" width="6.28515625" customWidth="1"/>
    <col min="10523" max="10523" width="6.7109375" customWidth="1"/>
    <col min="10524" max="10524" width="8.5703125" customWidth="1"/>
    <col min="10525" max="10525" width="6.85546875" customWidth="1"/>
    <col min="10526" max="10526" width="5" customWidth="1"/>
    <col min="10527" max="10527" width="5.140625" bestFit="1" customWidth="1"/>
    <col min="10528" max="10529" width="5.7109375" bestFit="1" customWidth="1"/>
    <col min="10530" max="10530" width="5.85546875" customWidth="1"/>
    <col min="10531" max="10549" width="5.140625" bestFit="1" customWidth="1"/>
    <col min="10753" max="10753" width="5.42578125" customWidth="1"/>
    <col min="10754" max="10754" width="10.140625" customWidth="1"/>
    <col min="10755" max="10755" width="5.5703125" customWidth="1"/>
    <col min="10756" max="10778" width="6.28515625" customWidth="1"/>
    <col min="10779" max="10779" width="6.7109375" customWidth="1"/>
    <col min="10780" max="10780" width="8.5703125" customWidth="1"/>
    <col min="10781" max="10781" width="6.85546875" customWidth="1"/>
    <col min="10782" max="10782" width="5" customWidth="1"/>
    <col min="10783" max="10783" width="5.140625" bestFit="1" customWidth="1"/>
    <col min="10784" max="10785" width="5.7109375" bestFit="1" customWidth="1"/>
    <col min="10786" max="10786" width="5.85546875" customWidth="1"/>
    <col min="10787" max="10805" width="5.140625" bestFit="1" customWidth="1"/>
    <col min="11009" max="11009" width="5.42578125" customWidth="1"/>
    <col min="11010" max="11010" width="10.140625" customWidth="1"/>
    <col min="11011" max="11011" width="5.5703125" customWidth="1"/>
    <col min="11012" max="11034" width="6.28515625" customWidth="1"/>
    <col min="11035" max="11035" width="6.7109375" customWidth="1"/>
    <col min="11036" max="11036" width="8.5703125" customWidth="1"/>
    <col min="11037" max="11037" width="6.85546875" customWidth="1"/>
    <col min="11038" max="11038" width="5" customWidth="1"/>
    <col min="11039" max="11039" width="5.140625" bestFit="1" customWidth="1"/>
    <col min="11040" max="11041" width="5.7109375" bestFit="1" customWidth="1"/>
    <col min="11042" max="11042" width="5.85546875" customWidth="1"/>
    <col min="11043" max="11061" width="5.140625" bestFit="1" customWidth="1"/>
    <col min="11265" max="11265" width="5.42578125" customWidth="1"/>
    <col min="11266" max="11266" width="10.140625" customWidth="1"/>
    <col min="11267" max="11267" width="5.5703125" customWidth="1"/>
    <col min="11268" max="11290" width="6.28515625" customWidth="1"/>
    <col min="11291" max="11291" width="6.7109375" customWidth="1"/>
    <col min="11292" max="11292" width="8.5703125" customWidth="1"/>
    <col min="11293" max="11293" width="6.85546875" customWidth="1"/>
    <col min="11294" max="11294" width="5" customWidth="1"/>
    <col min="11295" max="11295" width="5.140625" bestFit="1" customWidth="1"/>
    <col min="11296" max="11297" width="5.7109375" bestFit="1" customWidth="1"/>
    <col min="11298" max="11298" width="5.85546875" customWidth="1"/>
    <col min="11299" max="11317" width="5.140625" bestFit="1" customWidth="1"/>
    <col min="11521" max="11521" width="5.42578125" customWidth="1"/>
    <col min="11522" max="11522" width="10.140625" customWidth="1"/>
    <col min="11523" max="11523" width="5.5703125" customWidth="1"/>
    <col min="11524" max="11546" width="6.28515625" customWidth="1"/>
    <col min="11547" max="11547" width="6.7109375" customWidth="1"/>
    <col min="11548" max="11548" width="8.5703125" customWidth="1"/>
    <col min="11549" max="11549" width="6.85546875" customWidth="1"/>
    <col min="11550" max="11550" width="5" customWidth="1"/>
    <col min="11551" max="11551" width="5.140625" bestFit="1" customWidth="1"/>
    <col min="11552" max="11553" width="5.7109375" bestFit="1" customWidth="1"/>
    <col min="11554" max="11554" width="5.85546875" customWidth="1"/>
    <col min="11555" max="11573" width="5.140625" bestFit="1" customWidth="1"/>
    <col min="11777" max="11777" width="5.42578125" customWidth="1"/>
    <col min="11778" max="11778" width="10.140625" customWidth="1"/>
    <col min="11779" max="11779" width="5.5703125" customWidth="1"/>
    <col min="11780" max="11802" width="6.28515625" customWidth="1"/>
    <col min="11803" max="11803" width="6.7109375" customWidth="1"/>
    <col min="11804" max="11804" width="8.5703125" customWidth="1"/>
    <col min="11805" max="11805" width="6.85546875" customWidth="1"/>
    <col min="11806" max="11806" width="5" customWidth="1"/>
    <col min="11807" max="11807" width="5.140625" bestFit="1" customWidth="1"/>
    <col min="11808" max="11809" width="5.7109375" bestFit="1" customWidth="1"/>
    <col min="11810" max="11810" width="5.85546875" customWidth="1"/>
    <col min="11811" max="11829" width="5.140625" bestFit="1" customWidth="1"/>
    <col min="12033" max="12033" width="5.42578125" customWidth="1"/>
    <col min="12034" max="12034" width="10.140625" customWidth="1"/>
    <col min="12035" max="12035" width="5.5703125" customWidth="1"/>
    <col min="12036" max="12058" width="6.28515625" customWidth="1"/>
    <col min="12059" max="12059" width="6.7109375" customWidth="1"/>
    <col min="12060" max="12060" width="8.5703125" customWidth="1"/>
    <col min="12061" max="12061" width="6.85546875" customWidth="1"/>
    <col min="12062" max="12062" width="5" customWidth="1"/>
    <col min="12063" max="12063" width="5.140625" bestFit="1" customWidth="1"/>
    <col min="12064" max="12065" width="5.7109375" bestFit="1" customWidth="1"/>
    <col min="12066" max="12066" width="5.85546875" customWidth="1"/>
    <col min="12067" max="12085" width="5.140625" bestFit="1" customWidth="1"/>
    <col min="12289" max="12289" width="5.42578125" customWidth="1"/>
    <col min="12290" max="12290" width="10.140625" customWidth="1"/>
    <col min="12291" max="12291" width="5.5703125" customWidth="1"/>
    <col min="12292" max="12314" width="6.28515625" customWidth="1"/>
    <col min="12315" max="12315" width="6.7109375" customWidth="1"/>
    <col min="12316" max="12316" width="8.5703125" customWidth="1"/>
    <col min="12317" max="12317" width="6.85546875" customWidth="1"/>
    <col min="12318" max="12318" width="5" customWidth="1"/>
    <col min="12319" max="12319" width="5.140625" bestFit="1" customWidth="1"/>
    <col min="12320" max="12321" width="5.7109375" bestFit="1" customWidth="1"/>
    <col min="12322" max="12322" width="5.85546875" customWidth="1"/>
    <col min="12323" max="12341" width="5.140625" bestFit="1" customWidth="1"/>
    <col min="12545" max="12545" width="5.42578125" customWidth="1"/>
    <col min="12546" max="12546" width="10.140625" customWidth="1"/>
    <col min="12547" max="12547" width="5.5703125" customWidth="1"/>
    <col min="12548" max="12570" width="6.28515625" customWidth="1"/>
    <col min="12571" max="12571" width="6.7109375" customWidth="1"/>
    <col min="12572" max="12572" width="8.5703125" customWidth="1"/>
    <col min="12573" max="12573" width="6.85546875" customWidth="1"/>
    <col min="12574" max="12574" width="5" customWidth="1"/>
    <col min="12575" max="12575" width="5.140625" bestFit="1" customWidth="1"/>
    <col min="12576" max="12577" width="5.7109375" bestFit="1" customWidth="1"/>
    <col min="12578" max="12578" width="5.85546875" customWidth="1"/>
    <col min="12579" max="12597" width="5.140625" bestFit="1" customWidth="1"/>
    <col min="12801" max="12801" width="5.42578125" customWidth="1"/>
    <col min="12802" max="12802" width="10.140625" customWidth="1"/>
    <col min="12803" max="12803" width="5.5703125" customWidth="1"/>
    <col min="12804" max="12826" width="6.28515625" customWidth="1"/>
    <col min="12827" max="12827" width="6.7109375" customWidth="1"/>
    <col min="12828" max="12828" width="8.5703125" customWidth="1"/>
    <col min="12829" max="12829" width="6.85546875" customWidth="1"/>
    <col min="12830" max="12830" width="5" customWidth="1"/>
    <col min="12831" max="12831" width="5.140625" bestFit="1" customWidth="1"/>
    <col min="12832" max="12833" width="5.7109375" bestFit="1" customWidth="1"/>
    <col min="12834" max="12834" width="5.85546875" customWidth="1"/>
    <col min="12835" max="12853" width="5.140625" bestFit="1" customWidth="1"/>
    <col min="13057" max="13057" width="5.42578125" customWidth="1"/>
    <col min="13058" max="13058" width="10.140625" customWidth="1"/>
    <col min="13059" max="13059" width="5.5703125" customWidth="1"/>
    <col min="13060" max="13082" width="6.28515625" customWidth="1"/>
    <col min="13083" max="13083" width="6.7109375" customWidth="1"/>
    <col min="13084" max="13084" width="8.5703125" customWidth="1"/>
    <col min="13085" max="13085" width="6.85546875" customWidth="1"/>
    <col min="13086" max="13086" width="5" customWidth="1"/>
    <col min="13087" max="13087" width="5.140625" bestFit="1" customWidth="1"/>
    <col min="13088" max="13089" width="5.7109375" bestFit="1" customWidth="1"/>
    <col min="13090" max="13090" width="5.85546875" customWidth="1"/>
    <col min="13091" max="13109" width="5.140625" bestFit="1" customWidth="1"/>
    <col min="13313" max="13313" width="5.42578125" customWidth="1"/>
    <col min="13314" max="13314" width="10.140625" customWidth="1"/>
    <col min="13315" max="13315" width="5.5703125" customWidth="1"/>
    <col min="13316" max="13338" width="6.28515625" customWidth="1"/>
    <col min="13339" max="13339" width="6.7109375" customWidth="1"/>
    <col min="13340" max="13340" width="8.5703125" customWidth="1"/>
    <col min="13341" max="13341" width="6.85546875" customWidth="1"/>
    <col min="13342" max="13342" width="5" customWidth="1"/>
    <col min="13343" max="13343" width="5.140625" bestFit="1" customWidth="1"/>
    <col min="13344" max="13345" width="5.7109375" bestFit="1" customWidth="1"/>
    <col min="13346" max="13346" width="5.85546875" customWidth="1"/>
    <col min="13347" max="13365" width="5.140625" bestFit="1" customWidth="1"/>
    <col min="13569" max="13569" width="5.42578125" customWidth="1"/>
    <col min="13570" max="13570" width="10.140625" customWidth="1"/>
    <col min="13571" max="13571" width="5.5703125" customWidth="1"/>
    <col min="13572" max="13594" width="6.28515625" customWidth="1"/>
    <col min="13595" max="13595" width="6.7109375" customWidth="1"/>
    <col min="13596" max="13596" width="8.5703125" customWidth="1"/>
    <col min="13597" max="13597" width="6.85546875" customWidth="1"/>
    <col min="13598" max="13598" width="5" customWidth="1"/>
    <col min="13599" max="13599" width="5.140625" bestFit="1" customWidth="1"/>
    <col min="13600" max="13601" width="5.7109375" bestFit="1" customWidth="1"/>
    <col min="13602" max="13602" width="5.85546875" customWidth="1"/>
    <col min="13603" max="13621" width="5.140625" bestFit="1" customWidth="1"/>
    <col min="13825" max="13825" width="5.42578125" customWidth="1"/>
    <col min="13826" max="13826" width="10.140625" customWidth="1"/>
    <col min="13827" max="13827" width="5.5703125" customWidth="1"/>
    <col min="13828" max="13850" width="6.28515625" customWidth="1"/>
    <col min="13851" max="13851" width="6.7109375" customWidth="1"/>
    <col min="13852" max="13852" width="8.5703125" customWidth="1"/>
    <col min="13853" max="13853" width="6.85546875" customWidth="1"/>
    <col min="13854" max="13854" width="5" customWidth="1"/>
    <col min="13855" max="13855" width="5.140625" bestFit="1" customWidth="1"/>
    <col min="13856" max="13857" width="5.7109375" bestFit="1" customWidth="1"/>
    <col min="13858" max="13858" width="5.85546875" customWidth="1"/>
    <col min="13859" max="13877" width="5.140625" bestFit="1" customWidth="1"/>
    <col min="14081" max="14081" width="5.42578125" customWidth="1"/>
    <col min="14082" max="14082" width="10.140625" customWidth="1"/>
    <col min="14083" max="14083" width="5.5703125" customWidth="1"/>
    <col min="14084" max="14106" width="6.28515625" customWidth="1"/>
    <col min="14107" max="14107" width="6.7109375" customWidth="1"/>
    <col min="14108" max="14108" width="8.5703125" customWidth="1"/>
    <col min="14109" max="14109" width="6.85546875" customWidth="1"/>
    <col min="14110" max="14110" width="5" customWidth="1"/>
    <col min="14111" max="14111" width="5.140625" bestFit="1" customWidth="1"/>
    <col min="14112" max="14113" width="5.7109375" bestFit="1" customWidth="1"/>
    <col min="14114" max="14114" width="5.85546875" customWidth="1"/>
    <col min="14115" max="14133" width="5.140625" bestFit="1" customWidth="1"/>
    <col min="14337" max="14337" width="5.42578125" customWidth="1"/>
    <col min="14338" max="14338" width="10.140625" customWidth="1"/>
    <col min="14339" max="14339" width="5.5703125" customWidth="1"/>
    <col min="14340" max="14362" width="6.28515625" customWidth="1"/>
    <col min="14363" max="14363" width="6.7109375" customWidth="1"/>
    <col min="14364" max="14364" width="8.5703125" customWidth="1"/>
    <col min="14365" max="14365" width="6.85546875" customWidth="1"/>
    <col min="14366" max="14366" width="5" customWidth="1"/>
    <col min="14367" max="14367" width="5.140625" bestFit="1" customWidth="1"/>
    <col min="14368" max="14369" width="5.7109375" bestFit="1" customWidth="1"/>
    <col min="14370" max="14370" width="5.85546875" customWidth="1"/>
    <col min="14371" max="14389" width="5.140625" bestFit="1" customWidth="1"/>
    <col min="14593" max="14593" width="5.42578125" customWidth="1"/>
    <col min="14594" max="14594" width="10.140625" customWidth="1"/>
    <col min="14595" max="14595" width="5.5703125" customWidth="1"/>
    <col min="14596" max="14618" width="6.28515625" customWidth="1"/>
    <col min="14619" max="14619" width="6.7109375" customWidth="1"/>
    <col min="14620" max="14620" width="8.5703125" customWidth="1"/>
    <col min="14621" max="14621" width="6.85546875" customWidth="1"/>
    <col min="14622" max="14622" width="5" customWidth="1"/>
    <col min="14623" max="14623" width="5.140625" bestFit="1" customWidth="1"/>
    <col min="14624" max="14625" width="5.7109375" bestFit="1" customWidth="1"/>
    <col min="14626" max="14626" width="5.85546875" customWidth="1"/>
    <col min="14627" max="14645" width="5.140625" bestFit="1" customWidth="1"/>
    <col min="14849" max="14849" width="5.42578125" customWidth="1"/>
    <col min="14850" max="14850" width="10.140625" customWidth="1"/>
    <col min="14851" max="14851" width="5.5703125" customWidth="1"/>
    <col min="14852" max="14874" width="6.28515625" customWidth="1"/>
    <col min="14875" max="14875" width="6.7109375" customWidth="1"/>
    <col min="14876" max="14876" width="8.5703125" customWidth="1"/>
    <col min="14877" max="14877" width="6.85546875" customWidth="1"/>
    <col min="14878" max="14878" width="5" customWidth="1"/>
    <col min="14879" max="14879" width="5.140625" bestFit="1" customWidth="1"/>
    <col min="14880" max="14881" width="5.7109375" bestFit="1" customWidth="1"/>
    <col min="14882" max="14882" width="5.85546875" customWidth="1"/>
    <col min="14883" max="14901" width="5.140625" bestFit="1" customWidth="1"/>
    <col min="15105" max="15105" width="5.42578125" customWidth="1"/>
    <col min="15106" max="15106" width="10.140625" customWidth="1"/>
    <col min="15107" max="15107" width="5.5703125" customWidth="1"/>
    <col min="15108" max="15130" width="6.28515625" customWidth="1"/>
    <col min="15131" max="15131" width="6.7109375" customWidth="1"/>
    <col min="15132" max="15132" width="8.5703125" customWidth="1"/>
    <col min="15133" max="15133" width="6.85546875" customWidth="1"/>
    <col min="15134" max="15134" width="5" customWidth="1"/>
    <col min="15135" max="15135" width="5.140625" bestFit="1" customWidth="1"/>
    <col min="15136" max="15137" width="5.7109375" bestFit="1" customWidth="1"/>
    <col min="15138" max="15138" width="5.85546875" customWidth="1"/>
    <col min="15139" max="15157" width="5.140625" bestFit="1" customWidth="1"/>
    <col min="15361" max="15361" width="5.42578125" customWidth="1"/>
    <col min="15362" max="15362" width="10.140625" customWidth="1"/>
    <col min="15363" max="15363" width="5.5703125" customWidth="1"/>
    <col min="15364" max="15386" width="6.28515625" customWidth="1"/>
    <col min="15387" max="15387" width="6.7109375" customWidth="1"/>
    <col min="15388" max="15388" width="8.5703125" customWidth="1"/>
    <col min="15389" max="15389" width="6.85546875" customWidth="1"/>
    <col min="15390" max="15390" width="5" customWidth="1"/>
    <col min="15391" max="15391" width="5.140625" bestFit="1" customWidth="1"/>
    <col min="15392" max="15393" width="5.7109375" bestFit="1" customWidth="1"/>
    <col min="15394" max="15394" width="5.85546875" customWidth="1"/>
    <col min="15395" max="15413" width="5.140625" bestFit="1" customWidth="1"/>
    <col min="15617" max="15617" width="5.42578125" customWidth="1"/>
    <col min="15618" max="15618" width="10.140625" customWidth="1"/>
    <col min="15619" max="15619" width="5.5703125" customWidth="1"/>
    <col min="15620" max="15642" width="6.28515625" customWidth="1"/>
    <col min="15643" max="15643" width="6.7109375" customWidth="1"/>
    <col min="15644" max="15644" width="8.5703125" customWidth="1"/>
    <col min="15645" max="15645" width="6.85546875" customWidth="1"/>
    <col min="15646" max="15646" width="5" customWidth="1"/>
    <col min="15647" max="15647" width="5.140625" bestFit="1" customWidth="1"/>
    <col min="15648" max="15649" width="5.7109375" bestFit="1" customWidth="1"/>
    <col min="15650" max="15650" width="5.85546875" customWidth="1"/>
    <col min="15651" max="15669" width="5.140625" bestFit="1" customWidth="1"/>
    <col min="15873" max="15873" width="5.42578125" customWidth="1"/>
    <col min="15874" max="15874" width="10.140625" customWidth="1"/>
    <col min="15875" max="15875" width="5.5703125" customWidth="1"/>
    <col min="15876" max="15898" width="6.28515625" customWidth="1"/>
    <col min="15899" max="15899" width="6.7109375" customWidth="1"/>
    <col min="15900" max="15900" width="8.5703125" customWidth="1"/>
    <col min="15901" max="15901" width="6.85546875" customWidth="1"/>
    <col min="15902" max="15902" width="5" customWidth="1"/>
    <col min="15903" max="15903" width="5.140625" bestFit="1" customWidth="1"/>
    <col min="15904" max="15905" width="5.7109375" bestFit="1" customWidth="1"/>
    <col min="15906" max="15906" width="5.85546875" customWidth="1"/>
    <col min="15907" max="15925" width="5.140625" bestFit="1" customWidth="1"/>
    <col min="16129" max="16129" width="5.42578125" customWidth="1"/>
    <col min="16130" max="16130" width="10.140625" customWidth="1"/>
    <col min="16131" max="16131" width="5.5703125" customWidth="1"/>
    <col min="16132" max="16154" width="6.28515625" customWidth="1"/>
    <col min="16155" max="16155" width="6.7109375" customWidth="1"/>
    <col min="16156" max="16156" width="8.5703125" customWidth="1"/>
    <col min="16157" max="16157" width="6.85546875" customWidth="1"/>
    <col min="16158" max="16158" width="5" customWidth="1"/>
    <col min="16159" max="16159" width="5.140625" bestFit="1" customWidth="1"/>
    <col min="16160" max="16161" width="5.7109375" bestFit="1" customWidth="1"/>
    <col min="16162" max="16162" width="5.85546875" customWidth="1"/>
    <col min="16163" max="16181" width="5.140625" bestFit="1" customWidth="1"/>
  </cols>
  <sheetData>
    <row r="1" spans="1:53">
      <c r="A1" s="847" t="s">
        <v>779</v>
      </c>
      <c r="Z1" s="109"/>
      <c r="AA1" s="109"/>
      <c r="AB1" s="1119" t="s">
        <v>766</v>
      </c>
      <c r="AC1" s="847" t="str">
        <f>A1</f>
        <v>Public Service Company of Colorado</v>
      </c>
      <c r="AY1" s="109"/>
      <c r="AZ1" s="109"/>
      <c r="BA1" s="1119" t="str">
        <f>AB1</f>
        <v>Table 34</v>
      </c>
    </row>
    <row r="2" spans="1:53">
      <c r="A2" s="847" t="s">
        <v>383</v>
      </c>
      <c r="Z2" s="109"/>
      <c r="AA2" s="109"/>
      <c r="AB2" s="1119" t="str">
        <f ca="1">MID(CELL("filename",$A$1),FIND("]",CELL("filename",$A$1))+1,LEN(CELL("filename",$A$1))-FIND("]",CELL("filename",$A$1)))</f>
        <v>WP_Load Factor</v>
      </c>
      <c r="AC2" s="847" t="str">
        <f>A2</f>
        <v>Transmission Formula Rate Template</v>
      </c>
      <c r="AY2" s="109"/>
      <c r="AZ2" s="109"/>
      <c r="BA2" s="1119" t="str">
        <f ca="1">AB2</f>
        <v>WP_Load Factor</v>
      </c>
    </row>
    <row r="3" spans="1:53">
      <c r="A3" s="847" t="s">
        <v>1057</v>
      </c>
      <c r="AC3" s="847" t="str">
        <f>A3</f>
        <v>Hourly Demand Data from Form 714 page 9a</v>
      </c>
    </row>
    <row r="5" spans="1:53">
      <c r="G5" s="150" t="s">
        <v>1058</v>
      </c>
      <c r="H5" s="627">
        <f>AVERAGE(AB12:AB347)</f>
        <v>6606.333333333333</v>
      </c>
    </row>
    <row r="6" spans="1:53" ht="13.5" thickBot="1">
      <c r="C6" s="150"/>
      <c r="G6" s="150" t="s">
        <v>1059</v>
      </c>
      <c r="H6" s="630">
        <f>AVERAGE(AD12:BA376)/2</f>
        <v>77.763463865738089</v>
      </c>
    </row>
    <row r="7" spans="1:53" ht="13.5" thickBot="1">
      <c r="G7" s="150" t="s">
        <v>328</v>
      </c>
      <c r="H7" s="631">
        <f>H6/H5</f>
        <v>1.1771047560281259E-2</v>
      </c>
    </row>
    <row r="9" spans="1:53" ht="13.5" thickBot="1"/>
    <row r="10" spans="1:53" ht="26.25" thickBot="1">
      <c r="A10" s="1120" t="s">
        <v>1385</v>
      </c>
      <c r="B10" s="1121" t="s">
        <v>934</v>
      </c>
      <c r="C10" s="1122" t="s">
        <v>1015</v>
      </c>
      <c r="D10" s="1123" t="s">
        <v>1016</v>
      </c>
      <c r="E10" s="1124" t="s">
        <v>1017</v>
      </c>
      <c r="F10" s="1123" t="s">
        <v>1018</v>
      </c>
      <c r="G10" s="1124" t="s">
        <v>1019</v>
      </c>
      <c r="H10" s="1123" t="s">
        <v>1020</v>
      </c>
      <c r="I10" s="1124" t="s">
        <v>1021</v>
      </c>
      <c r="J10" s="1123" t="s">
        <v>1022</v>
      </c>
      <c r="K10" s="1124" t="s">
        <v>1023</v>
      </c>
      <c r="L10" s="1123" t="s">
        <v>1024</v>
      </c>
      <c r="M10" s="1124" t="s">
        <v>1025</v>
      </c>
      <c r="N10" s="1123" t="s">
        <v>1026</v>
      </c>
      <c r="O10" s="1124" t="s">
        <v>1027</v>
      </c>
      <c r="P10" s="1123" t="s">
        <v>1028</v>
      </c>
      <c r="Q10" s="1124" t="s">
        <v>1029</v>
      </c>
      <c r="R10" s="1123" t="s">
        <v>1030</v>
      </c>
      <c r="S10" s="1124" t="s">
        <v>1031</v>
      </c>
      <c r="T10" s="1123" t="s">
        <v>1032</v>
      </c>
      <c r="U10" s="1124" t="s">
        <v>1050</v>
      </c>
      <c r="V10" s="1123" t="s">
        <v>1051</v>
      </c>
      <c r="W10" s="1124" t="s">
        <v>1052</v>
      </c>
      <c r="X10" s="1123" t="s">
        <v>1053</v>
      </c>
      <c r="Y10" s="1124" t="s">
        <v>1054</v>
      </c>
      <c r="Z10" s="1123" t="s">
        <v>1055</v>
      </c>
      <c r="AA10" s="1125" t="s">
        <v>1056</v>
      </c>
      <c r="AB10" s="1126" t="s">
        <v>1014</v>
      </c>
      <c r="AC10" s="1120" t="str">
        <f>A10</f>
        <v>Line No</v>
      </c>
      <c r="AD10" s="1127" t="s">
        <v>1016</v>
      </c>
      <c r="AE10" s="1128" t="s">
        <v>1017</v>
      </c>
      <c r="AF10" s="1127" t="s">
        <v>1018</v>
      </c>
      <c r="AG10" s="1128" t="s">
        <v>1019</v>
      </c>
      <c r="AH10" s="1127" t="s">
        <v>1020</v>
      </c>
      <c r="AI10" s="1128" t="s">
        <v>1021</v>
      </c>
      <c r="AJ10" s="1127" t="s">
        <v>1022</v>
      </c>
      <c r="AK10" s="1128" t="s">
        <v>1023</v>
      </c>
      <c r="AL10" s="1127" t="s">
        <v>1024</v>
      </c>
      <c r="AM10" s="1128" t="s">
        <v>1025</v>
      </c>
      <c r="AN10" s="1127" t="s">
        <v>1026</v>
      </c>
      <c r="AO10" s="1128" t="s">
        <v>1027</v>
      </c>
      <c r="AP10" s="1127" t="s">
        <v>1028</v>
      </c>
      <c r="AQ10" s="1128" t="s">
        <v>1029</v>
      </c>
      <c r="AR10" s="1127" t="s">
        <v>1030</v>
      </c>
      <c r="AS10" s="1128" t="s">
        <v>1031</v>
      </c>
      <c r="AT10" s="1127" t="s">
        <v>1032</v>
      </c>
      <c r="AU10" s="1128" t="s">
        <v>1050</v>
      </c>
      <c r="AV10" s="1127" t="s">
        <v>1051</v>
      </c>
      <c r="AW10" s="1128" t="s">
        <v>1052</v>
      </c>
      <c r="AX10" s="1127" t="s">
        <v>1053</v>
      </c>
      <c r="AY10" s="1128" t="s">
        <v>1054</v>
      </c>
      <c r="AZ10" s="1127" t="s">
        <v>1055</v>
      </c>
      <c r="BA10" s="1128" t="s">
        <v>1056</v>
      </c>
    </row>
    <row r="11" spans="1:53">
      <c r="A11" s="1129"/>
      <c r="B11" s="1130">
        <v>-1</v>
      </c>
      <c r="C11" s="1130">
        <v>-2</v>
      </c>
      <c r="D11" s="1130">
        <v>-3</v>
      </c>
      <c r="E11" s="1130">
        <v>-4</v>
      </c>
      <c r="F11" s="1130">
        <v>-5</v>
      </c>
      <c r="G11" s="1130">
        <v>-6</v>
      </c>
      <c r="H11" s="1130">
        <v>-7</v>
      </c>
      <c r="I11" s="1130">
        <v>-8</v>
      </c>
      <c r="J11" s="1130">
        <v>-9</v>
      </c>
      <c r="K11" s="1130">
        <v>-10</v>
      </c>
      <c r="L11" s="1130">
        <v>-11</v>
      </c>
      <c r="M11" s="1130">
        <v>-12</v>
      </c>
      <c r="N11" s="1130">
        <v>-13</v>
      </c>
      <c r="O11" s="1130">
        <v>-14</v>
      </c>
      <c r="P11" s="1130">
        <v>-15</v>
      </c>
      <c r="Q11" s="1130">
        <v>-16</v>
      </c>
      <c r="R11" s="1130">
        <v>-17</v>
      </c>
      <c r="S11" s="1130">
        <v>-18</v>
      </c>
      <c r="T11" s="1130">
        <v>-19</v>
      </c>
      <c r="U11" s="1130">
        <v>-20</v>
      </c>
      <c r="V11" s="1130">
        <v>-21</v>
      </c>
      <c r="W11" s="1130">
        <v>-22</v>
      </c>
      <c r="X11" s="1130">
        <v>-23</v>
      </c>
      <c r="Y11" s="1130">
        <v>-24</v>
      </c>
      <c r="Z11" s="1130">
        <v>-25</v>
      </c>
      <c r="AA11" s="1130">
        <v>-26</v>
      </c>
      <c r="AB11" s="1130">
        <v>-27</v>
      </c>
      <c r="AC11" s="1130"/>
      <c r="AD11" s="1130">
        <v>-28</v>
      </c>
      <c r="AE11" s="1130">
        <v>-29</v>
      </c>
      <c r="AF11" s="1130">
        <v>-30</v>
      </c>
      <c r="AG11" s="1130">
        <v>-31</v>
      </c>
      <c r="AH11" s="1130">
        <v>-32</v>
      </c>
      <c r="AI11" s="1130">
        <v>-33</v>
      </c>
      <c r="AJ11" s="1130">
        <v>-34</v>
      </c>
      <c r="AK11" s="1130">
        <v>-35</v>
      </c>
      <c r="AL11" s="1130">
        <v>-36</v>
      </c>
      <c r="AM11" s="1130">
        <v>-37</v>
      </c>
      <c r="AN11" s="1130">
        <v>-38</v>
      </c>
      <c r="AO11" s="1130">
        <v>-39</v>
      </c>
      <c r="AP11" s="1130">
        <v>-40</v>
      </c>
      <c r="AQ11" s="1130">
        <v>-41</v>
      </c>
      <c r="AR11" s="1130">
        <v>-42</v>
      </c>
      <c r="AS11" s="1130">
        <v>-43</v>
      </c>
      <c r="AT11" s="1130">
        <v>-44</v>
      </c>
      <c r="AU11" s="1130">
        <v>-45</v>
      </c>
      <c r="AV11" s="1130">
        <v>-46</v>
      </c>
      <c r="AW11" s="1130">
        <v>-47</v>
      </c>
      <c r="AX11" s="1130">
        <v>-48</v>
      </c>
      <c r="AY11" s="1130">
        <v>-49</v>
      </c>
      <c r="AZ11" s="1130">
        <v>-50</v>
      </c>
      <c r="BA11" s="1130">
        <v>-51</v>
      </c>
    </row>
    <row r="12" spans="1:53">
      <c r="A12" s="105">
        <v>1</v>
      </c>
      <c r="B12" s="745">
        <v>42370</v>
      </c>
      <c r="C12" s="746" t="s">
        <v>1771</v>
      </c>
      <c r="D12" s="747">
        <v>5183</v>
      </c>
      <c r="E12" s="747">
        <v>5051</v>
      </c>
      <c r="F12" s="747">
        <v>4972</v>
      </c>
      <c r="G12" s="747">
        <v>4935</v>
      </c>
      <c r="H12" s="747">
        <v>4970</v>
      </c>
      <c r="I12" s="747">
        <v>5033</v>
      </c>
      <c r="J12" s="747">
        <v>5096</v>
      </c>
      <c r="K12" s="747">
        <v>5149</v>
      </c>
      <c r="L12" s="747">
        <v>5177</v>
      </c>
      <c r="M12" s="747">
        <v>5192</v>
      </c>
      <c r="N12" s="747">
        <v>5182</v>
      </c>
      <c r="O12" s="747">
        <v>5144</v>
      </c>
      <c r="P12" s="747">
        <v>5049</v>
      </c>
      <c r="Q12" s="747">
        <v>4980</v>
      </c>
      <c r="R12" s="747">
        <v>4936</v>
      </c>
      <c r="S12" s="747">
        <v>5017</v>
      </c>
      <c r="T12" s="747">
        <v>5341</v>
      </c>
      <c r="U12" s="747">
        <v>5925</v>
      </c>
      <c r="V12" s="747">
        <v>5975</v>
      </c>
      <c r="W12" s="747">
        <v>5889</v>
      </c>
      <c r="X12" s="747">
        <v>5773</v>
      </c>
      <c r="Y12" s="747">
        <v>5569</v>
      </c>
      <c r="Z12" s="747">
        <v>5249</v>
      </c>
      <c r="AA12" s="747">
        <v>4955</v>
      </c>
      <c r="AB12" s="627">
        <f>MAX(D12:AA42)</f>
        <v>6299</v>
      </c>
      <c r="AC12" s="628">
        <v>1</v>
      </c>
      <c r="AE12" s="627">
        <f t="shared" ref="AE12:AT27" si="0">ABS(E12-D12)</f>
        <v>132</v>
      </c>
      <c r="AF12" s="627">
        <f t="shared" si="0"/>
        <v>79</v>
      </c>
      <c r="AG12" s="627">
        <f t="shared" si="0"/>
        <v>37</v>
      </c>
      <c r="AH12" s="627">
        <f t="shared" si="0"/>
        <v>35</v>
      </c>
      <c r="AI12" s="627">
        <f t="shared" si="0"/>
        <v>63</v>
      </c>
      <c r="AJ12" s="627">
        <f t="shared" si="0"/>
        <v>63</v>
      </c>
      <c r="AK12" s="627">
        <f t="shared" si="0"/>
        <v>53</v>
      </c>
      <c r="AL12" s="627">
        <f t="shared" si="0"/>
        <v>28</v>
      </c>
      <c r="AM12" s="627">
        <f t="shared" si="0"/>
        <v>15</v>
      </c>
      <c r="AN12" s="627">
        <f t="shared" si="0"/>
        <v>10</v>
      </c>
      <c r="AO12" s="627">
        <f t="shared" si="0"/>
        <v>38</v>
      </c>
      <c r="AP12" s="627">
        <f t="shared" si="0"/>
        <v>95</v>
      </c>
      <c r="AQ12" s="627">
        <f t="shared" si="0"/>
        <v>69</v>
      </c>
      <c r="AR12" s="627">
        <f t="shared" si="0"/>
        <v>44</v>
      </c>
      <c r="AS12" s="627">
        <f t="shared" si="0"/>
        <v>81</v>
      </c>
      <c r="AT12" s="627">
        <f t="shared" si="0"/>
        <v>324</v>
      </c>
      <c r="AU12" s="627">
        <f t="shared" ref="AU12:BA27" si="1">ABS(U12-T12)</f>
        <v>584</v>
      </c>
      <c r="AV12" s="627">
        <f t="shared" si="1"/>
        <v>50</v>
      </c>
      <c r="AW12" s="627">
        <f t="shared" si="1"/>
        <v>86</v>
      </c>
      <c r="AX12" s="627">
        <f t="shared" si="1"/>
        <v>116</v>
      </c>
      <c r="AY12" s="627">
        <f t="shared" si="1"/>
        <v>204</v>
      </c>
      <c r="AZ12" s="627">
        <f t="shared" si="1"/>
        <v>320</v>
      </c>
      <c r="BA12" s="627">
        <f>ABS(AA12-Z12)</f>
        <v>294</v>
      </c>
    </row>
    <row r="13" spans="1:53">
      <c r="A13" s="105">
        <f>A12+1</f>
        <v>2</v>
      </c>
      <c r="B13" s="745">
        <v>42371</v>
      </c>
      <c r="C13" s="746" t="s">
        <v>1771</v>
      </c>
      <c r="D13" s="747">
        <v>4783</v>
      </c>
      <c r="E13" s="747">
        <v>4787</v>
      </c>
      <c r="F13" s="747">
        <v>4829</v>
      </c>
      <c r="G13" s="747">
        <v>4849</v>
      </c>
      <c r="H13" s="747">
        <v>4913</v>
      </c>
      <c r="I13" s="747">
        <v>5040</v>
      </c>
      <c r="J13" s="747">
        <v>5210</v>
      </c>
      <c r="K13" s="747">
        <v>5357</v>
      </c>
      <c r="L13" s="747">
        <v>5384</v>
      </c>
      <c r="M13" s="747">
        <v>5345</v>
      </c>
      <c r="N13" s="747">
        <v>5240</v>
      </c>
      <c r="O13" s="747">
        <v>5177</v>
      </c>
      <c r="P13" s="747">
        <v>5008</v>
      </c>
      <c r="Q13" s="747">
        <v>4977</v>
      </c>
      <c r="R13" s="747">
        <v>4963</v>
      </c>
      <c r="S13" s="747">
        <v>5047</v>
      </c>
      <c r="T13" s="747">
        <v>5383</v>
      </c>
      <c r="U13" s="747">
        <v>5922</v>
      </c>
      <c r="V13" s="747">
        <v>5958</v>
      </c>
      <c r="W13" s="747">
        <v>5879</v>
      </c>
      <c r="X13" s="747">
        <v>5768</v>
      </c>
      <c r="Y13" s="747">
        <v>5555</v>
      </c>
      <c r="Z13" s="747">
        <v>5239</v>
      </c>
      <c r="AA13" s="747">
        <v>4953</v>
      </c>
      <c r="AC13" s="628">
        <f>AC12+1</f>
        <v>2</v>
      </c>
      <c r="AD13" s="627">
        <f>ABS(D13-AA12)</f>
        <v>172</v>
      </c>
      <c r="AE13" s="627">
        <f t="shared" si="0"/>
        <v>4</v>
      </c>
      <c r="AF13" s="627">
        <f t="shared" si="0"/>
        <v>42</v>
      </c>
      <c r="AG13" s="627">
        <f t="shared" si="0"/>
        <v>20</v>
      </c>
      <c r="AH13" s="627">
        <f t="shared" si="0"/>
        <v>64</v>
      </c>
      <c r="AI13" s="627">
        <f t="shared" si="0"/>
        <v>127</v>
      </c>
      <c r="AJ13" s="627">
        <f t="shared" si="0"/>
        <v>170</v>
      </c>
      <c r="AK13" s="627">
        <f t="shared" si="0"/>
        <v>147</v>
      </c>
      <c r="AL13" s="627">
        <f t="shared" si="0"/>
        <v>27</v>
      </c>
      <c r="AM13" s="627">
        <f t="shared" si="0"/>
        <v>39</v>
      </c>
      <c r="AN13" s="627">
        <f t="shared" si="0"/>
        <v>105</v>
      </c>
      <c r="AO13" s="627">
        <f t="shared" si="0"/>
        <v>63</v>
      </c>
      <c r="AP13" s="627">
        <f t="shared" si="0"/>
        <v>169</v>
      </c>
      <c r="AQ13" s="627">
        <f t="shared" si="0"/>
        <v>31</v>
      </c>
      <c r="AR13" s="627">
        <f t="shared" si="0"/>
        <v>14</v>
      </c>
      <c r="AS13" s="627">
        <f t="shared" si="0"/>
        <v>84</v>
      </c>
      <c r="AT13" s="627">
        <f t="shared" si="0"/>
        <v>336</v>
      </c>
      <c r="AU13" s="627">
        <f t="shared" si="1"/>
        <v>539</v>
      </c>
      <c r="AV13" s="627">
        <f t="shared" si="1"/>
        <v>36</v>
      </c>
      <c r="AW13" s="627">
        <f t="shared" si="1"/>
        <v>79</v>
      </c>
      <c r="AX13" s="627">
        <f t="shared" si="1"/>
        <v>111</v>
      </c>
      <c r="AY13" s="627">
        <f t="shared" si="1"/>
        <v>213</v>
      </c>
      <c r="AZ13" s="627">
        <f t="shared" si="1"/>
        <v>316</v>
      </c>
      <c r="BA13" s="627">
        <f>ABS(AA13-Z13)</f>
        <v>286</v>
      </c>
    </row>
    <row r="14" spans="1:53">
      <c r="A14" s="105">
        <f t="shared" ref="A14:A77" si="2">A13+1</f>
        <v>3</v>
      </c>
      <c r="B14" s="745">
        <v>42372</v>
      </c>
      <c r="C14" s="746" t="s">
        <v>1771</v>
      </c>
      <c r="D14" s="747">
        <v>4801</v>
      </c>
      <c r="E14" s="747">
        <v>4846</v>
      </c>
      <c r="F14" s="747">
        <v>4831</v>
      </c>
      <c r="G14" s="747">
        <v>4806</v>
      </c>
      <c r="H14" s="747">
        <v>4851</v>
      </c>
      <c r="I14" s="747">
        <v>4948</v>
      </c>
      <c r="J14" s="747">
        <v>5009</v>
      </c>
      <c r="K14" s="747">
        <v>5058</v>
      </c>
      <c r="L14" s="747">
        <v>5102</v>
      </c>
      <c r="M14" s="747">
        <v>5066</v>
      </c>
      <c r="N14" s="747">
        <v>5068</v>
      </c>
      <c r="O14" s="747">
        <v>5032</v>
      </c>
      <c r="P14" s="747">
        <v>4977</v>
      </c>
      <c r="Q14" s="747">
        <v>4934</v>
      </c>
      <c r="R14" s="747">
        <v>4935</v>
      </c>
      <c r="S14" s="747">
        <v>5009</v>
      </c>
      <c r="T14" s="747">
        <v>5280</v>
      </c>
      <c r="U14" s="747">
        <v>5831</v>
      </c>
      <c r="V14" s="747">
        <v>5979</v>
      </c>
      <c r="W14" s="747">
        <v>5867</v>
      </c>
      <c r="X14" s="747">
        <v>5725</v>
      </c>
      <c r="Y14" s="747">
        <v>5456</v>
      </c>
      <c r="Z14" s="747">
        <v>5038</v>
      </c>
      <c r="AA14" s="747">
        <v>4821</v>
      </c>
      <c r="AC14" s="628">
        <f t="shared" ref="AC14:AC77" si="3">AC13+1</f>
        <v>3</v>
      </c>
      <c r="AD14" s="627">
        <f t="shared" ref="AD14:AD77" si="4">ABS(D14-AA13)</f>
        <v>152</v>
      </c>
      <c r="AE14" s="627">
        <f t="shared" si="0"/>
        <v>45</v>
      </c>
      <c r="AF14" s="627">
        <f t="shared" si="0"/>
        <v>15</v>
      </c>
      <c r="AG14" s="627">
        <f t="shared" si="0"/>
        <v>25</v>
      </c>
      <c r="AH14" s="627">
        <f t="shared" si="0"/>
        <v>45</v>
      </c>
      <c r="AI14" s="627">
        <f t="shared" si="0"/>
        <v>97</v>
      </c>
      <c r="AJ14" s="627">
        <f t="shared" si="0"/>
        <v>61</v>
      </c>
      <c r="AK14" s="627">
        <f t="shared" si="0"/>
        <v>49</v>
      </c>
      <c r="AL14" s="627">
        <f t="shared" si="0"/>
        <v>44</v>
      </c>
      <c r="AM14" s="627">
        <f t="shared" si="0"/>
        <v>36</v>
      </c>
      <c r="AN14" s="627">
        <f t="shared" si="0"/>
        <v>2</v>
      </c>
      <c r="AO14" s="627">
        <f t="shared" si="0"/>
        <v>36</v>
      </c>
      <c r="AP14" s="627">
        <f t="shared" si="0"/>
        <v>55</v>
      </c>
      <c r="AQ14" s="627">
        <f t="shared" si="0"/>
        <v>43</v>
      </c>
      <c r="AR14" s="627">
        <f t="shared" si="0"/>
        <v>1</v>
      </c>
      <c r="AS14" s="627">
        <f t="shared" si="0"/>
        <v>74</v>
      </c>
      <c r="AT14" s="627">
        <f t="shared" si="0"/>
        <v>271</v>
      </c>
      <c r="AU14" s="627">
        <f t="shared" si="1"/>
        <v>551</v>
      </c>
      <c r="AV14" s="627">
        <f t="shared" si="1"/>
        <v>148</v>
      </c>
      <c r="AW14" s="627">
        <f t="shared" si="1"/>
        <v>112</v>
      </c>
      <c r="AX14" s="627">
        <f t="shared" si="1"/>
        <v>142</v>
      </c>
      <c r="AY14" s="627">
        <f t="shared" si="1"/>
        <v>269</v>
      </c>
      <c r="AZ14" s="627">
        <f t="shared" si="1"/>
        <v>418</v>
      </c>
      <c r="BA14" s="627">
        <f t="shared" si="1"/>
        <v>217</v>
      </c>
    </row>
    <row r="15" spans="1:53">
      <c r="A15" s="105">
        <f t="shared" si="2"/>
        <v>4</v>
      </c>
      <c r="B15" s="745">
        <v>42373</v>
      </c>
      <c r="C15" s="746" t="s">
        <v>1771</v>
      </c>
      <c r="D15" s="747">
        <v>4687</v>
      </c>
      <c r="E15" s="747">
        <v>4611</v>
      </c>
      <c r="F15" s="747">
        <v>4670</v>
      </c>
      <c r="G15" s="747">
        <v>4756</v>
      </c>
      <c r="H15" s="747">
        <v>4871</v>
      </c>
      <c r="I15" s="747">
        <v>5145</v>
      </c>
      <c r="J15" s="747">
        <v>5548</v>
      </c>
      <c r="K15" s="747">
        <v>5773</v>
      </c>
      <c r="L15" s="747">
        <v>5681</v>
      </c>
      <c r="M15" s="747">
        <v>5573</v>
      </c>
      <c r="N15" s="747">
        <v>5497</v>
      </c>
      <c r="O15" s="747">
        <v>5428</v>
      </c>
      <c r="P15" s="747">
        <v>5383</v>
      </c>
      <c r="Q15" s="747">
        <v>5335</v>
      </c>
      <c r="R15" s="747">
        <v>5340</v>
      </c>
      <c r="S15" s="747">
        <v>5390</v>
      </c>
      <c r="T15" s="747">
        <v>5673</v>
      </c>
      <c r="U15" s="747">
        <v>6175</v>
      </c>
      <c r="V15" s="747">
        <v>6210</v>
      </c>
      <c r="W15" s="747">
        <v>6102</v>
      </c>
      <c r="X15" s="747">
        <v>5891</v>
      </c>
      <c r="Y15" s="747">
        <v>5563</v>
      </c>
      <c r="Z15" s="747">
        <v>5065</v>
      </c>
      <c r="AA15" s="747">
        <v>4818</v>
      </c>
      <c r="AC15" s="628">
        <f t="shared" si="3"/>
        <v>4</v>
      </c>
      <c r="AD15" s="627">
        <f t="shared" si="4"/>
        <v>134</v>
      </c>
      <c r="AE15" s="627">
        <f t="shared" si="0"/>
        <v>76</v>
      </c>
      <c r="AF15" s="627">
        <f t="shared" si="0"/>
        <v>59</v>
      </c>
      <c r="AG15" s="627">
        <f t="shared" si="0"/>
        <v>86</v>
      </c>
      <c r="AH15" s="627">
        <f t="shared" si="0"/>
        <v>115</v>
      </c>
      <c r="AI15" s="627">
        <f t="shared" si="0"/>
        <v>274</v>
      </c>
      <c r="AJ15" s="627">
        <f t="shared" si="0"/>
        <v>403</v>
      </c>
      <c r="AK15" s="627">
        <f t="shared" si="0"/>
        <v>225</v>
      </c>
      <c r="AL15" s="627">
        <f t="shared" si="0"/>
        <v>92</v>
      </c>
      <c r="AM15" s="627">
        <f t="shared" si="0"/>
        <v>108</v>
      </c>
      <c r="AN15" s="627">
        <f t="shared" si="0"/>
        <v>76</v>
      </c>
      <c r="AO15" s="627">
        <f t="shared" si="0"/>
        <v>69</v>
      </c>
      <c r="AP15" s="627">
        <f t="shared" si="0"/>
        <v>45</v>
      </c>
      <c r="AQ15" s="627">
        <f t="shared" si="0"/>
        <v>48</v>
      </c>
      <c r="AR15" s="627">
        <f t="shared" si="0"/>
        <v>5</v>
      </c>
      <c r="AS15" s="627">
        <f t="shared" si="0"/>
        <v>50</v>
      </c>
      <c r="AT15" s="627">
        <f t="shared" si="0"/>
        <v>283</v>
      </c>
      <c r="AU15" s="627">
        <f t="shared" si="1"/>
        <v>502</v>
      </c>
      <c r="AV15" s="627">
        <f t="shared" si="1"/>
        <v>35</v>
      </c>
      <c r="AW15" s="627">
        <f t="shared" si="1"/>
        <v>108</v>
      </c>
      <c r="AX15" s="627">
        <f t="shared" si="1"/>
        <v>211</v>
      </c>
      <c r="AY15" s="627">
        <f t="shared" si="1"/>
        <v>328</v>
      </c>
      <c r="AZ15" s="627">
        <f t="shared" si="1"/>
        <v>498</v>
      </c>
      <c r="BA15" s="627">
        <f t="shared" si="1"/>
        <v>247</v>
      </c>
    </row>
    <row r="16" spans="1:53">
      <c r="A16" s="105">
        <f t="shared" si="2"/>
        <v>5</v>
      </c>
      <c r="B16" s="745">
        <v>42374</v>
      </c>
      <c r="C16" s="746" t="s">
        <v>1771</v>
      </c>
      <c r="D16" s="747">
        <v>4633</v>
      </c>
      <c r="E16" s="747">
        <v>4570</v>
      </c>
      <c r="F16" s="747">
        <v>4658</v>
      </c>
      <c r="G16" s="747">
        <v>4564</v>
      </c>
      <c r="H16" s="747">
        <v>4712</v>
      </c>
      <c r="I16" s="747">
        <v>4891</v>
      </c>
      <c r="J16" s="747">
        <v>5400</v>
      </c>
      <c r="K16" s="747">
        <v>5610</v>
      </c>
      <c r="L16" s="747">
        <v>5543</v>
      </c>
      <c r="M16" s="747">
        <v>5456</v>
      </c>
      <c r="N16" s="747">
        <v>5385</v>
      </c>
      <c r="O16" s="747">
        <v>5309</v>
      </c>
      <c r="P16" s="747">
        <v>5256</v>
      </c>
      <c r="Q16" s="747">
        <v>5213</v>
      </c>
      <c r="R16" s="747">
        <v>5198</v>
      </c>
      <c r="S16" s="747">
        <v>5242</v>
      </c>
      <c r="T16" s="747">
        <v>5508</v>
      </c>
      <c r="U16" s="747">
        <v>6029</v>
      </c>
      <c r="V16" s="747">
        <v>6084</v>
      </c>
      <c r="W16" s="747">
        <v>5996</v>
      </c>
      <c r="X16" s="747">
        <v>5810</v>
      </c>
      <c r="Y16" s="747">
        <v>5497</v>
      </c>
      <c r="Z16" s="747">
        <v>5156</v>
      </c>
      <c r="AA16" s="747">
        <v>4914</v>
      </c>
      <c r="AC16" s="628">
        <f t="shared" si="3"/>
        <v>5</v>
      </c>
      <c r="AD16" s="627">
        <f t="shared" si="4"/>
        <v>185</v>
      </c>
      <c r="AE16" s="627">
        <f t="shared" si="0"/>
        <v>63</v>
      </c>
      <c r="AF16" s="627">
        <f t="shared" si="0"/>
        <v>88</v>
      </c>
      <c r="AG16" s="627">
        <f t="shared" si="0"/>
        <v>94</v>
      </c>
      <c r="AH16" s="627">
        <f t="shared" si="0"/>
        <v>148</v>
      </c>
      <c r="AI16" s="627">
        <f t="shared" si="0"/>
        <v>179</v>
      </c>
      <c r="AJ16" s="627">
        <f t="shared" si="0"/>
        <v>509</v>
      </c>
      <c r="AK16" s="627">
        <f t="shared" si="0"/>
        <v>210</v>
      </c>
      <c r="AL16" s="627">
        <f t="shared" si="0"/>
        <v>67</v>
      </c>
      <c r="AM16" s="627">
        <f t="shared" si="0"/>
        <v>87</v>
      </c>
      <c r="AN16" s="627">
        <f t="shared" si="0"/>
        <v>71</v>
      </c>
      <c r="AO16" s="627">
        <f t="shared" si="0"/>
        <v>76</v>
      </c>
      <c r="AP16" s="627">
        <f t="shared" si="0"/>
        <v>53</v>
      </c>
      <c r="AQ16" s="627">
        <f t="shared" si="0"/>
        <v>43</v>
      </c>
      <c r="AR16" s="627">
        <f t="shared" si="0"/>
        <v>15</v>
      </c>
      <c r="AS16" s="627">
        <f t="shared" si="0"/>
        <v>44</v>
      </c>
      <c r="AT16" s="627">
        <f t="shared" si="0"/>
        <v>266</v>
      </c>
      <c r="AU16" s="627">
        <f t="shared" si="1"/>
        <v>521</v>
      </c>
      <c r="AV16" s="627">
        <f t="shared" si="1"/>
        <v>55</v>
      </c>
      <c r="AW16" s="627">
        <f t="shared" si="1"/>
        <v>88</v>
      </c>
      <c r="AX16" s="627">
        <f t="shared" si="1"/>
        <v>186</v>
      </c>
      <c r="AY16" s="627">
        <f t="shared" si="1"/>
        <v>313</v>
      </c>
      <c r="AZ16" s="627">
        <f t="shared" si="1"/>
        <v>341</v>
      </c>
      <c r="BA16" s="627">
        <f t="shared" si="1"/>
        <v>242</v>
      </c>
    </row>
    <row r="17" spans="1:53">
      <c r="A17" s="105">
        <f t="shared" si="2"/>
        <v>6</v>
      </c>
      <c r="B17" s="745">
        <v>42375</v>
      </c>
      <c r="C17" s="746" t="s">
        <v>1771</v>
      </c>
      <c r="D17" s="747">
        <v>4745</v>
      </c>
      <c r="E17" s="747">
        <v>4688</v>
      </c>
      <c r="F17" s="747">
        <v>4588</v>
      </c>
      <c r="G17" s="747">
        <v>4521</v>
      </c>
      <c r="H17" s="747">
        <v>4625</v>
      </c>
      <c r="I17" s="747">
        <v>4872</v>
      </c>
      <c r="J17" s="747">
        <v>5386</v>
      </c>
      <c r="K17" s="747">
        <v>5619</v>
      </c>
      <c r="L17" s="747">
        <v>5568</v>
      </c>
      <c r="M17" s="747">
        <v>5494</v>
      </c>
      <c r="N17" s="747">
        <v>5421</v>
      </c>
      <c r="O17" s="747">
        <v>5320</v>
      </c>
      <c r="P17" s="747">
        <v>5205</v>
      </c>
      <c r="Q17" s="747">
        <v>5180</v>
      </c>
      <c r="R17" s="747">
        <v>5149</v>
      </c>
      <c r="S17" s="747">
        <v>5184</v>
      </c>
      <c r="T17" s="747">
        <v>5454</v>
      </c>
      <c r="U17" s="747">
        <v>5966</v>
      </c>
      <c r="V17" s="747">
        <v>6018</v>
      </c>
      <c r="W17" s="747">
        <v>5902</v>
      </c>
      <c r="X17" s="747">
        <v>5726</v>
      </c>
      <c r="Y17" s="747">
        <v>5442</v>
      </c>
      <c r="Z17" s="747">
        <v>5180</v>
      </c>
      <c r="AA17" s="747">
        <v>4932</v>
      </c>
      <c r="AC17" s="628">
        <f t="shared" si="3"/>
        <v>6</v>
      </c>
      <c r="AD17" s="627">
        <f t="shared" si="4"/>
        <v>169</v>
      </c>
      <c r="AE17" s="627">
        <f t="shared" si="0"/>
        <v>57</v>
      </c>
      <c r="AF17" s="627">
        <f t="shared" si="0"/>
        <v>100</v>
      </c>
      <c r="AG17" s="627">
        <f t="shared" si="0"/>
        <v>67</v>
      </c>
      <c r="AH17" s="627">
        <f t="shared" si="0"/>
        <v>104</v>
      </c>
      <c r="AI17" s="627">
        <f t="shared" si="0"/>
        <v>247</v>
      </c>
      <c r="AJ17" s="627">
        <f t="shared" si="0"/>
        <v>514</v>
      </c>
      <c r="AK17" s="627">
        <f t="shared" si="0"/>
        <v>233</v>
      </c>
      <c r="AL17" s="627">
        <f t="shared" si="0"/>
        <v>51</v>
      </c>
      <c r="AM17" s="627">
        <f t="shared" si="0"/>
        <v>74</v>
      </c>
      <c r="AN17" s="627">
        <f t="shared" si="0"/>
        <v>73</v>
      </c>
      <c r="AO17" s="627">
        <f t="shared" si="0"/>
        <v>101</v>
      </c>
      <c r="AP17" s="627">
        <f t="shared" si="0"/>
        <v>115</v>
      </c>
      <c r="AQ17" s="627">
        <f t="shared" si="0"/>
        <v>25</v>
      </c>
      <c r="AR17" s="627">
        <f t="shared" si="0"/>
        <v>31</v>
      </c>
      <c r="AS17" s="627">
        <f t="shared" si="0"/>
        <v>35</v>
      </c>
      <c r="AT17" s="627">
        <f t="shared" si="0"/>
        <v>270</v>
      </c>
      <c r="AU17" s="627">
        <f t="shared" si="1"/>
        <v>512</v>
      </c>
      <c r="AV17" s="627">
        <f t="shared" si="1"/>
        <v>52</v>
      </c>
      <c r="AW17" s="627">
        <f t="shared" si="1"/>
        <v>116</v>
      </c>
      <c r="AX17" s="627">
        <f t="shared" si="1"/>
        <v>176</v>
      </c>
      <c r="AY17" s="627">
        <f t="shared" si="1"/>
        <v>284</v>
      </c>
      <c r="AZ17" s="627">
        <f t="shared" si="1"/>
        <v>262</v>
      </c>
      <c r="BA17" s="627">
        <f t="shared" si="1"/>
        <v>248</v>
      </c>
    </row>
    <row r="18" spans="1:53">
      <c r="A18" s="105">
        <f t="shared" si="2"/>
        <v>7</v>
      </c>
      <c r="B18" s="745">
        <v>42376</v>
      </c>
      <c r="C18" s="746" t="s">
        <v>1771</v>
      </c>
      <c r="D18" s="747">
        <v>4733</v>
      </c>
      <c r="E18" s="747">
        <v>4634</v>
      </c>
      <c r="F18" s="747">
        <v>4512</v>
      </c>
      <c r="G18" s="747">
        <v>4443</v>
      </c>
      <c r="H18" s="747">
        <v>4540</v>
      </c>
      <c r="I18" s="747">
        <v>4797</v>
      </c>
      <c r="J18" s="747">
        <v>5309</v>
      </c>
      <c r="K18" s="747">
        <v>5519</v>
      </c>
      <c r="L18" s="747">
        <v>5558</v>
      </c>
      <c r="M18" s="747">
        <v>5605</v>
      </c>
      <c r="N18" s="747">
        <v>5607</v>
      </c>
      <c r="O18" s="747">
        <v>5517</v>
      </c>
      <c r="P18" s="747">
        <v>5463</v>
      </c>
      <c r="Q18" s="747">
        <v>5430</v>
      </c>
      <c r="R18" s="747">
        <v>5461</v>
      </c>
      <c r="S18" s="747">
        <v>5496</v>
      </c>
      <c r="T18" s="747">
        <v>5749</v>
      </c>
      <c r="U18" s="747">
        <v>6148</v>
      </c>
      <c r="V18" s="747">
        <v>6148</v>
      </c>
      <c r="W18" s="747">
        <v>5997</v>
      </c>
      <c r="X18" s="747">
        <v>5767</v>
      </c>
      <c r="Y18" s="747">
        <v>5445</v>
      </c>
      <c r="Z18" s="747">
        <v>5035</v>
      </c>
      <c r="AA18" s="747">
        <v>4684</v>
      </c>
      <c r="AC18" s="628">
        <f t="shared" si="3"/>
        <v>7</v>
      </c>
      <c r="AD18" s="627">
        <f t="shared" si="4"/>
        <v>199</v>
      </c>
      <c r="AE18" s="627">
        <f t="shared" si="0"/>
        <v>99</v>
      </c>
      <c r="AF18" s="627">
        <f t="shared" si="0"/>
        <v>122</v>
      </c>
      <c r="AG18" s="627">
        <f t="shared" si="0"/>
        <v>69</v>
      </c>
      <c r="AH18" s="627">
        <f t="shared" si="0"/>
        <v>97</v>
      </c>
      <c r="AI18" s="627">
        <f t="shared" si="0"/>
        <v>257</v>
      </c>
      <c r="AJ18" s="627">
        <f t="shared" si="0"/>
        <v>512</v>
      </c>
      <c r="AK18" s="627">
        <f t="shared" si="0"/>
        <v>210</v>
      </c>
      <c r="AL18" s="627">
        <f t="shared" si="0"/>
        <v>39</v>
      </c>
      <c r="AM18" s="627">
        <f t="shared" si="0"/>
        <v>47</v>
      </c>
      <c r="AN18" s="627">
        <f t="shared" si="0"/>
        <v>2</v>
      </c>
      <c r="AO18" s="627">
        <f t="shared" si="0"/>
        <v>90</v>
      </c>
      <c r="AP18" s="627">
        <f t="shared" si="0"/>
        <v>54</v>
      </c>
      <c r="AQ18" s="627">
        <f t="shared" si="0"/>
        <v>33</v>
      </c>
      <c r="AR18" s="627">
        <f t="shared" si="0"/>
        <v>31</v>
      </c>
      <c r="AS18" s="627">
        <f t="shared" si="0"/>
        <v>35</v>
      </c>
      <c r="AT18" s="627">
        <f t="shared" si="0"/>
        <v>253</v>
      </c>
      <c r="AU18" s="627">
        <f t="shared" si="1"/>
        <v>399</v>
      </c>
      <c r="AV18" s="627">
        <f t="shared" si="1"/>
        <v>0</v>
      </c>
      <c r="AW18" s="627">
        <f t="shared" si="1"/>
        <v>151</v>
      </c>
      <c r="AX18" s="627">
        <f t="shared" si="1"/>
        <v>230</v>
      </c>
      <c r="AY18" s="627">
        <f t="shared" si="1"/>
        <v>322</v>
      </c>
      <c r="AZ18" s="627">
        <f t="shared" si="1"/>
        <v>410</v>
      </c>
      <c r="BA18" s="627">
        <f t="shared" si="1"/>
        <v>351</v>
      </c>
    </row>
    <row r="19" spans="1:53">
      <c r="A19" s="105">
        <f t="shared" si="2"/>
        <v>8</v>
      </c>
      <c r="B19" s="745">
        <v>42377</v>
      </c>
      <c r="C19" s="746" t="s">
        <v>1771</v>
      </c>
      <c r="D19" s="747">
        <v>4516</v>
      </c>
      <c r="E19" s="747">
        <v>4399</v>
      </c>
      <c r="F19" s="747">
        <v>4526</v>
      </c>
      <c r="G19" s="747">
        <v>4601</v>
      </c>
      <c r="H19" s="747">
        <v>4733</v>
      </c>
      <c r="I19" s="747">
        <v>5021</v>
      </c>
      <c r="J19" s="747">
        <v>5448</v>
      </c>
      <c r="K19" s="747">
        <v>5697</v>
      </c>
      <c r="L19" s="747">
        <v>5768</v>
      </c>
      <c r="M19" s="747">
        <v>5878</v>
      </c>
      <c r="N19" s="747">
        <v>5857</v>
      </c>
      <c r="O19" s="747">
        <v>5782</v>
      </c>
      <c r="P19" s="747">
        <v>5718</v>
      </c>
      <c r="Q19" s="747">
        <v>5681</v>
      </c>
      <c r="R19" s="747">
        <v>5668</v>
      </c>
      <c r="S19" s="747">
        <v>5703</v>
      </c>
      <c r="T19" s="747">
        <v>5832</v>
      </c>
      <c r="U19" s="747">
        <v>6266</v>
      </c>
      <c r="V19" s="747">
        <v>6208</v>
      </c>
      <c r="W19" s="747">
        <v>6053</v>
      </c>
      <c r="X19" s="747">
        <v>5865</v>
      </c>
      <c r="Y19" s="747">
        <v>5598</v>
      </c>
      <c r="Z19" s="747">
        <v>5237</v>
      </c>
      <c r="AA19" s="747">
        <v>4931</v>
      </c>
      <c r="AC19" s="628">
        <f t="shared" si="3"/>
        <v>8</v>
      </c>
      <c r="AD19" s="627">
        <f t="shared" si="4"/>
        <v>168</v>
      </c>
      <c r="AE19" s="627">
        <f t="shared" si="0"/>
        <v>117</v>
      </c>
      <c r="AF19" s="627">
        <f t="shared" si="0"/>
        <v>127</v>
      </c>
      <c r="AG19" s="627">
        <f t="shared" si="0"/>
        <v>75</v>
      </c>
      <c r="AH19" s="627">
        <f t="shared" si="0"/>
        <v>132</v>
      </c>
      <c r="AI19" s="627">
        <f t="shared" si="0"/>
        <v>288</v>
      </c>
      <c r="AJ19" s="627">
        <f t="shared" si="0"/>
        <v>427</v>
      </c>
      <c r="AK19" s="627">
        <f t="shared" si="0"/>
        <v>249</v>
      </c>
      <c r="AL19" s="627">
        <f t="shared" si="0"/>
        <v>71</v>
      </c>
      <c r="AM19" s="627">
        <f t="shared" si="0"/>
        <v>110</v>
      </c>
      <c r="AN19" s="627">
        <f t="shared" si="0"/>
        <v>21</v>
      </c>
      <c r="AO19" s="627">
        <f t="shared" si="0"/>
        <v>75</v>
      </c>
      <c r="AP19" s="627">
        <f t="shared" si="0"/>
        <v>64</v>
      </c>
      <c r="AQ19" s="627">
        <f t="shared" si="0"/>
        <v>37</v>
      </c>
      <c r="AR19" s="627">
        <f t="shared" si="0"/>
        <v>13</v>
      </c>
      <c r="AS19" s="627">
        <f t="shared" si="0"/>
        <v>35</v>
      </c>
      <c r="AT19" s="627">
        <f t="shared" si="0"/>
        <v>129</v>
      </c>
      <c r="AU19" s="627">
        <f t="shared" si="1"/>
        <v>434</v>
      </c>
      <c r="AV19" s="627">
        <f t="shared" si="1"/>
        <v>58</v>
      </c>
      <c r="AW19" s="627">
        <f t="shared" si="1"/>
        <v>155</v>
      </c>
      <c r="AX19" s="627">
        <f t="shared" si="1"/>
        <v>188</v>
      </c>
      <c r="AY19" s="627">
        <f t="shared" si="1"/>
        <v>267</v>
      </c>
      <c r="AZ19" s="627">
        <f t="shared" si="1"/>
        <v>361</v>
      </c>
      <c r="BA19" s="627">
        <f t="shared" si="1"/>
        <v>306</v>
      </c>
    </row>
    <row r="20" spans="1:53">
      <c r="A20" s="105">
        <f t="shared" si="2"/>
        <v>9</v>
      </c>
      <c r="B20" s="745">
        <v>42378</v>
      </c>
      <c r="C20" s="746" t="s">
        <v>1771</v>
      </c>
      <c r="D20" s="747">
        <v>4743</v>
      </c>
      <c r="E20" s="747">
        <v>4827</v>
      </c>
      <c r="F20" s="747">
        <v>4770</v>
      </c>
      <c r="G20" s="747">
        <v>4756</v>
      </c>
      <c r="H20" s="747">
        <v>4807</v>
      </c>
      <c r="I20" s="747">
        <v>4923</v>
      </c>
      <c r="J20" s="747">
        <v>5032</v>
      </c>
      <c r="K20" s="747">
        <v>5202</v>
      </c>
      <c r="L20" s="747">
        <v>5329</v>
      </c>
      <c r="M20" s="747">
        <v>5377</v>
      </c>
      <c r="N20" s="747">
        <v>5406</v>
      </c>
      <c r="O20" s="747">
        <v>5345</v>
      </c>
      <c r="P20" s="747">
        <v>5244</v>
      </c>
      <c r="Q20" s="747">
        <v>5159</v>
      </c>
      <c r="R20" s="747">
        <v>5115</v>
      </c>
      <c r="S20" s="747">
        <v>5151</v>
      </c>
      <c r="T20" s="747">
        <v>5397</v>
      </c>
      <c r="U20" s="747">
        <v>5886</v>
      </c>
      <c r="V20" s="747">
        <v>5974</v>
      </c>
      <c r="W20" s="747">
        <v>5878</v>
      </c>
      <c r="X20" s="747">
        <v>5765</v>
      </c>
      <c r="Y20" s="747">
        <v>5576</v>
      </c>
      <c r="Z20" s="747">
        <v>5282</v>
      </c>
      <c r="AA20" s="747">
        <v>4970</v>
      </c>
      <c r="AC20" s="628">
        <f t="shared" si="3"/>
        <v>9</v>
      </c>
      <c r="AD20" s="627">
        <f t="shared" si="4"/>
        <v>188</v>
      </c>
      <c r="AE20" s="627">
        <f t="shared" si="0"/>
        <v>84</v>
      </c>
      <c r="AF20" s="627">
        <f t="shared" si="0"/>
        <v>57</v>
      </c>
      <c r="AG20" s="627">
        <f t="shared" si="0"/>
        <v>14</v>
      </c>
      <c r="AH20" s="627">
        <f t="shared" si="0"/>
        <v>51</v>
      </c>
      <c r="AI20" s="627">
        <f t="shared" si="0"/>
        <v>116</v>
      </c>
      <c r="AJ20" s="627">
        <f t="shared" si="0"/>
        <v>109</v>
      </c>
      <c r="AK20" s="627">
        <f t="shared" si="0"/>
        <v>170</v>
      </c>
      <c r="AL20" s="627">
        <f t="shared" si="0"/>
        <v>127</v>
      </c>
      <c r="AM20" s="627">
        <f t="shared" si="0"/>
        <v>48</v>
      </c>
      <c r="AN20" s="627">
        <f t="shared" si="0"/>
        <v>29</v>
      </c>
      <c r="AO20" s="627">
        <f t="shared" si="0"/>
        <v>61</v>
      </c>
      <c r="AP20" s="627">
        <f t="shared" si="0"/>
        <v>101</v>
      </c>
      <c r="AQ20" s="627">
        <f t="shared" si="0"/>
        <v>85</v>
      </c>
      <c r="AR20" s="627">
        <f t="shared" si="0"/>
        <v>44</v>
      </c>
      <c r="AS20" s="627">
        <f t="shared" si="0"/>
        <v>36</v>
      </c>
      <c r="AT20" s="627">
        <f t="shared" si="0"/>
        <v>246</v>
      </c>
      <c r="AU20" s="627">
        <f t="shared" si="1"/>
        <v>489</v>
      </c>
      <c r="AV20" s="627">
        <f t="shared" si="1"/>
        <v>88</v>
      </c>
      <c r="AW20" s="627">
        <f t="shared" si="1"/>
        <v>96</v>
      </c>
      <c r="AX20" s="627">
        <f t="shared" si="1"/>
        <v>113</v>
      </c>
      <c r="AY20" s="627">
        <f t="shared" si="1"/>
        <v>189</v>
      </c>
      <c r="AZ20" s="627">
        <f t="shared" si="1"/>
        <v>294</v>
      </c>
      <c r="BA20" s="627">
        <f t="shared" si="1"/>
        <v>312</v>
      </c>
    </row>
    <row r="21" spans="1:53">
      <c r="A21" s="105">
        <f t="shared" si="2"/>
        <v>10</v>
      </c>
      <c r="B21" s="745">
        <v>42379</v>
      </c>
      <c r="C21" s="746" t="s">
        <v>1771</v>
      </c>
      <c r="D21" s="747">
        <v>4877</v>
      </c>
      <c r="E21" s="747">
        <v>4819</v>
      </c>
      <c r="F21" s="747">
        <v>4778</v>
      </c>
      <c r="G21" s="747">
        <v>4818</v>
      </c>
      <c r="H21" s="747">
        <v>4933</v>
      </c>
      <c r="I21" s="747">
        <v>4971</v>
      </c>
      <c r="J21" s="747">
        <v>5113</v>
      </c>
      <c r="K21" s="747">
        <v>5201</v>
      </c>
      <c r="L21" s="747">
        <v>5268</v>
      </c>
      <c r="M21" s="747">
        <v>5288</v>
      </c>
      <c r="N21" s="747">
        <v>5270</v>
      </c>
      <c r="O21" s="747">
        <v>5253</v>
      </c>
      <c r="P21" s="747">
        <v>5147</v>
      </c>
      <c r="Q21" s="747">
        <v>5121</v>
      </c>
      <c r="R21" s="747">
        <v>5118</v>
      </c>
      <c r="S21" s="747">
        <v>5175</v>
      </c>
      <c r="T21" s="747">
        <v>5462</v>
      </c>
      <c r="U21" s="747">
        <v>6070</v>
      </c>
      <c r="V21" s="747">
        <v>6156</v>
      </c>
      <c r="W21" s="747">
        <v>6057</v>
      </c>
      <c r="X21" s="747">
        <v>5905</v>
      </c>
      <c r="Y21" s="747">
        <v>5620</v>
      </c>
      <c r="Z21" s="747">
        <v>5198</v>
      </c>
      <c r="AA21" s="747">
        <v>5003</v>
      </c>
      <c r="AC21" s="628">
        <f t="shared" si="3"/>
        <v>10</v>
      </c>
      <c r="AD21" s="627">
        <f t="shared" si="4"/>
        <v>93</v>
      </c>
      <c r="AE21" s="627">
        <f t="shared" si="0"/>
        <v>58</v>
      </c>
      <c r="AF21" s="627">
        <f t="shared" si="0"/>
        <v>41</v>
      </c>
      <c r="AG21" s="627">
        <f t="shared" si="0"/>
        <v>40</v>
      </c>
      <c r="AH21" s="627">
        <f t="shared" si="0"/>
        <v>115</v>
      </c>
      <c r="AI21" s="627">
        <f t="shared" si="0"/>
        <v>38</v>
      </c>
      <c r="AJ21" s="627">
        <f t="shared" si="0"/>
        <v>142</v>
      </c>
      <c r="AK21" s="627">
        <f t="shared" si="0"/>
        <v>88</v>
      </c>
      <c r="AL21" s="627">
        <f t="shared" si="0"/>
        <v>67</v>
      </c>
      <c r="AM21" s="627">
        <f t="shared" si="0"/>
        <v>20</v>
      </c>
      <c r="AN21" s="627">
        <f t="shared" si="0"/>
        <v>18</v>
      </c>
      <c r="AO21" s="627">
        <f t="shared" si="0"/>
        <v>17</v>
      </c>
      <c r="AP21" s="627">
        <f t="shared" si="0"/>
        <v>106</v>
      </c>
      <c r="AQ21" s="627">
        <f t="shared" si="0"/>
        <v>26</v>
      </c>
      <c r="AR21" s="627">
        <f t="shared" si="0"/>
        <v>3</v>
      </c>
      <c r="AS21" s="627">
        <f t="shared" si="0"/>
        <v>57</v>
      </c>
      <c r="AT21" s="627">
        <f t="shared" si="0"/>
        <v>287</v>
      </c>
      <c r="AU21" s="627">
        <f t="shared" si="1"/>
        <v>608</v>
      </c>
      <c r="AV21" s="627">
        <f t="shared" si="1"/>
        <v>86</v>
      </c>
      <c r="AW21" s="627">
        <f t="shared" si="1"/>
        <v>99</v>
      </c>
      <c r="AX21" s="627">
        <f t="shared" si="1"/>
        <v>152</v>
      </c>
      <c r="AY21" s="627">
        <f t="shared" si="1"/>
        <v>285</v>
      </c>
      <c r="AZ21" s="627">
        <f t="shared" si="1"/>
        <v>422</v>
      </c>
      <c r="BA21" s="627">
        <f t="shared" si="1"/>
        <v>195</v>
      </c>
    </row>
    <row r="22" spans="1:53">
      <c r="A22" s="105">
        <f t="shared" si="2"/>
        <v>11</v>
      </c>
      <c r="B22" s="745">
        <v>42380</v>
      </c>
      <c r="C22" s="746" t="s">
        <v>1771</v>
      </c>
      <c r="D22" s="747">
        <v>4978</v>
      </c>
      <c r="E22" s="747">
        <v>4928</v>
      </c>
      <c r="F22" s="747">
        <v>4896</v>
      </c>
      <c r="G22" s="747">
        <v>4936</v>
      </c>
      <c r="H22" s="747">
        <v>5060</v>
      </c>
      <c r="I22" s="747">
        <v>5273</v>
      </c>
      <c r="J22" s="747">
        <v>5793</v>
      </c>
      <c r="K22" s="747">
        <v>5956</v>
      </c>
      <c r="L22" s="747">
        <v>5830</v>
      </c>
      <c r="M22" s="747">
        <v>5764</v>
      </c>
      <c r="N22" s="747">
        <v>5731</v>
      </c>
      <c r="O22" s="747">
        <v>5621</v>
      </c>
      <c r="P22" s="747">
        <v>5537</v>
      </c>
      <c r="Q22" s="747">
        <v>5451</v>
      </c>
      <c r="R22" s="747">
        <v>5397</v>
      </c>
      <c r="S22" s="747">
        <v>5408</v>
      </c>
      <c r="T22" s="747">
        <v>5618</v>
      </c>
      <c r="U22" s="747">
        <v>6191</v>
      </c>
      <c r="V22" s="747">
        <v>6299</v>
      </c>
      <c r="W22" s="747">
        <v>6179</v>
      </c>
      <c r="X22" s="747">
        <v>5967</v>
      </c>
      <c r="Y22" s="747">
        <v>5641</v>
      </c>
      <c r="Z22" s="747">
        <v>5227</v>
      </c>
      <c r="AA22" s="747">
        <v>5005</v>
      </c>
      <c r="AC22" s="628">
        <f t="shared" si="3"/>
        <v>11</v>
      </c>
      <c r="AD22" s="627">
        <f t="shared" si="4"/>
        <v>25</v>
      </c>
      <c r="AE22" s="627">
        <f t="shared" si="0"/>
        <v>50</v>
      </c>
      <c r="AF22" s="627">
        <f t="shared" si="0"/>
        <v>32</v>
      </c>
      <c r="AG22" s="627">
        <f t="shared" si="0"/>
        <v>40</v>
      </c>
      <c r="AH22" s="627">
        <f t="shared" si="0"/>
        <v>124</v>
      </c>
      <c r="AI22" s="627">
        <f t="shared" si="0"/>
        <v>213</v>
      </c>
      <c r="AJ22" s="627">
        <f t="shared" si="0"/>
        <v>520</v>
      </c>
      <c r="AK22" s="627">
        <f t="shared" si="0"/>
        <v>163</v>
      </c>
      <c r="AL22" s="627">
        <f t="shared" si="0"/>
        <v>126</v>
      </c>
      <c r="AM22" s="627">
        <f t="shared" si="0"/>
        <v>66</v>
      </c>
      <c r="AN22" s="627">
        <f t="shared" si="0"/>
        <v>33</v>
      </c>
      <c r="AO22" s="627">
        <f t="shared" si="0"/>
        <v>110</v>
      </c>
      <c r="AP22" s="627">
        <f t="shared" si="0"/>
        <v>84</v>
      </c>
      <c r="AQ22" s="627">
        <f t="shared" si="0"/>
        <v>86</v>
      </c>
      <c r="AR22" s="627">
        <f t="shared" si="0"/>
        <v>54</v>
      </c>
      <c r="AS22" s="627">
        <f t="shared" si="0"/>
        <v>11</v>
      </c>
      <c r="AT22" s="627">
        <f t="shared" si="0"/>
        <v>210</v>
      </c>
      <c r="AU22" s="627">
        <f t="shared" si="1"/>
        <v>573</v>
      </c>
      <c r="AV22" s="627">
        <f t="shared" si="1"/>
        <v>108</v>
      </c>
      <c r="AW22" s="627">
        <f t="shared" si="1"/>
        <v>120</v>
      </c>
      <c r="AX22" s="627">
        <f t="shared" si="1"/>
        <v>212</v>
      </c>
      <c r="AY22" s="627">
        <f t="shared" si="1"/>
        <v>326</v>
      </c>
      <c r="AZ22" s="627">
        <f t="shared" si="1"/>
        <v>414</v>
      </c>
      <c r="BA22" s="627">
        <f t="shared" si="1"/>
        <v>222</v>
      </c>
    </row>
    <row r="23" spans="1:53">
      <c r="A23" s="105">
        <f t="shared" si="2"/>
        <v>12</v>
      </c>
      <c r="B23" s="745">
        <v>42381</v>
      </c>
      <c r="C23" s="746" t="s">
        <v>1771</v>
      </c>
      <c r="D23" s="747">
        <v>4939</v>
      </c>
      <c r="E23" s="747">
        <v>4847</v>
      </c>
      <c r="F23" s="747">
        <v>4793</v>
      </c>
      <c r="G23" s="747">
        <v>4797</v>
      </c>
      <c r="H23" s="747">
        <v>4891</v>
      </c>
      <c r="I23" s="747">
        <v>5201</v>
      </c>
      <c r="J23" s="747">
        <v>5628</v>
      </c>
      <c r="K23" s="747">
        <v>5858</v>
      </c>
      <c r="L23" s="747">
        <v>5831</v>
      </c>
      <c r="M23" s="747">
        <v>5704</v>
      </c>
      <c r="N23" s="747">
        <v>5633</v>
      </c>
      <c r="O23" s="747">
        <v>5516</v>
      </c>
      <c r="P23" s="747">
        <v>5384</v>
      </c>
      <c r="Q23" s="747">
        <v>5304</v>
      </c>
      <c r="R23" s="747">
        <v>5313</v>
      </c>
      <c r="S23" s="747">
        <v>5342</v>
      </c>
      <c r="T23" s="747">
        <v>5561</v>
      </c>
      <c r="U23" s="747">
        <v>6076</v>
      </c>
      <c r="V23" s="747">
        <v>6134</v>
      </c>
      <c r="W23" s="747">
        <v>6024</v>
      </c>
      <c r="X23" s="747">
        <v>5859</v>
      </c>
      <c r="Y23" s="747">
        <v>5537</v>
      </c>
      <c r="Z23" s="747">
        <v>5136</v>
      </c>
      <c r="AA23" s="747">
        <v>4937</v>
      </c>
      <c r="AC23" s="628">
        <f t="shared" si="3"/>
        <v>12</v>
      </c>
      <c r="AD23" s="627">
        <f t="shared" si="4"/>
        <v>66</v>
      </c>
      <c r="AE23" s="627">
        <f t="shared" si="0"/>
        <v>92</v>
      </c>
      <c r="AF23" s="627">
        <f t="shared" si="0"/>
        <v>54</v>
      </c>
      <c r="AG23" s="627">
        <f t="shared" si="0"/>
        <v>4</v>
      </c>
      <c r="AH23" s="627">
        <f t="shared" si="0"/>
        <v>94</v>
      </c>
      <c r="AI23" s="627">
        <f t="shared" si="0"/>
        <v>310</v>
      </c>
      <c r="AJ23" s="627">
        <f t="shared" si="0"/>
        <v>427</v>
      </c>
      <c r="AK23" s="627">
        <f t="shared" si="0"/>
        <v>230</v>
      </c>
      <c r="AL23" s="627">
        <f t="shared" si="0"/>
        <v>27</v>
      </c>
      <c r="AM23" s="627">
        <f t="shared" si="0"/>
        <v>127</v>
      </c>
      <c r="AN23" s="627">
        <f t="shared" si="0"/>
        <v>71</v>
      </c>
      <c r="AO23" s="627">
        <f t="shared" si="0"/>
        <v>117</v>
      </c>
      <c r="AP23" s="627">
        <f t="shared" si="0"/>
        <v>132</v>
      </c>
      <c r="AQ23" s="627">
        <f t="shared" si="0"/>
        <v>80</v>
      </c>
      <c r="AR23" s="627">
        <f t="shared" si="0"/>
        <v>9</v>
      </c>
      <c r="AS23" s="627">
        <f t="shared" si="0"/>
        <v>29</v>
      </c>
      <c r="AT23" s="627">
        <f t="shared" si="0"/>
        <v>219</v>
      </c>
      <c r="AU23" s="627">
        <f t="shared" si="1"/>
        <v>515</v>
      </c>
      <c r="AV23" s="627">
        <f t="shared" si="1"/>
        <v>58</v>
      </c>
      <c r="AW23" s="627">
        <f t="shared" si="1"/>
        <v>110</v>
      </c>
      <c r="AX23" s="627">
        <f t="shared" si="1"/>
        <v>165</v>
      </c>
      <c r="AY23" s="627">
        <f t="shared" si="1"/>
        <v>322</v>
      </c>
      <c r="AZ23" s="627">
        <f t="shared" si="1"/>
        <v>401</v>
      </c>
      <c r="BA23" s="627">
        <f t="shared" si="1"/>
        <v>199</v>
      </c>
    </row>
    <row r="24" spans="1:53">
      <c r="A24" s="105">
        <f t="shared" si="2"/>
        <v>13</v>
      </c>
      <c r="B24" s="745">
        <v>42382</v>
      </c>
      <c r="C24" s="746" t="s">
        <v>1771</v>
      </c>
      <c r="D24" s="747">
        <v>4837</v>
      </c>
      <c r="E24" s="747">
        <v>4746</v>
      </c>
      <c r="F24" s="747">
        <v>4671</v>
      </c>
      <c r="G24" s="747">
        <v>4659</v>
      </c>
      <c r="H24" s="747">
        <v>4713</v>
      </c>
      <c r="I24" s="747">
        <v>5010</v>
      </c>
      <c r="J24" s="747">
        <v>5441</v>
      </c>
      <c r="K24" s="747">
        <v>5638</v>
      </c>
      <c r="L24" s="747">
        <v>5565</v>
      </c>
      <c r="M24" s="747">
        <v>5437</v>
      </c>
      <c r="N24" s="747">
        <v>5342</v>
      </c>
      <c r="O24" s="747">
        <v>5256</v>
      </c>
      <c r="P24" s="747">
        <v>5238</v>
      </c>
      <c r="Q24" s="747">
        <v>5210</v>
      </c>
      <c r="R24" s="747">
        <v>5216</v>
      </c>
      <c r="S24" s="747">
        <v>5319</v>
      </c>
      <c r="T24" s="747">
        <v>5498</v>
      </c>
      <c r="U24" s="747">
        <v>5928</v>
      </c>
      <c r="V24" s="747">
        <v>5994</v>
      </c>
      <c r="W24" s="747">
        <v>5829</v>
      </c>
      <c r="X24" s="747">
        <v>5682</v>
      </c>
      <c r="Y24" s="747">
        <v>5410</v>
      </c>
      <c r="Z24" s="747">
        <v>4981</v>
      </c>
      <c r="AA24" s="747">
        <v>4706</v>
      </c>
      <c r="AC24" s="628">
        <f t="shared" si="3"/>
        <v>13</v>
      </c>
      <c r="AD24" s="627">
        <f t="shared" si="4"/>
        <v>100</v>
      </c>
      <c r="AE24" s="627">
        <f t="shared" si="0"/>
        <v>91</v>
      </c>
      <c r="AF24" s="627">
        <f t="shared" si="0"/>
        <v>75</v>
      </c>
      <c r="AG24" s="627">
        <f t="shared" si="0"/>
        <v>12</v>
      </c>
      <c r="AH24" s="627">
        <f t="shared" si="0"/>
        <v>54</v>
      </c>
      <c r="AI24" s="627">
        <f t="shared" si="0"/>
        <v>297</v>
      </c>
      <c r="AJ24" s="627">
        <f t="shared" si="0"/>
        <v>431</v>
      </c>
      <c r="AK24" s="627">
        <f t="shared" si="0"/>
        <v>197</v>
      </c>
      <c r="AL24" s="627">
        <f t="shared" si="0"/>
        <v>73</v>
      </c>
      <c r="AM24" s="627">
        <f t="shared" si="0"/>
        <v>128</v>
      </c>
      <c r="AN24" s="627">
        <f t="shared" si="0"/>
        <v>95</v>
      </c>
      <c r="AO24" s="627">
        <f t="shared" si="0"/>
        <v>86</v>
      </c>
      <c r="AP24" s="627">
        <f t="shared" si="0"/>
        <v>18</v>
      </c>
      <c r="AQ24" s="627">
        <f t="shared" si="0"/>
        <v>28</v>
      </c>
      <c r="AR24" s="627">
        <f t="shared" si="0"/>
        <v>6</v>
      </c>
      <c r="AS24" s="627">
        <f t="shared" si="0"/>
        <v>103</v>
      </c>
      <c r="AT24" s="627">
        <f t="shared" si="0"/>
        <v>179</v>
      </c>
      <c r="AU24" s="627">
        <f t="shared" si="1"/>
        <v>430</v>
      </c>
      <c r="AV24" s="627">
        <f t="shared" si="1"/>
        <v>66</v>
      </c>
      <c r="AW24" s="627">
        <f t="shared" si="1"/>
        <v>165</v>
      </c>
      <c r="AX24" s="627">
        <f t="shared" si="1"/>
        <v>147</v>
      </c>
      <c r="AY24" s="627">
        <f t="shared" si="1"/>
        <v>272</v>
      </c>
      <c r="AZ24" s="627">
        <f t="shared" si="1"/>
        <v>429</v>
      </c>
      <c r="BA24" s="627">
        <f t="shared" si="1"/>
        <v>275</v>
      </c>
    </row>
    <row r="25" spans="1:53">
      <c r="A25" s="105">
        <f t="shared" si="2"/>
        <v>14</v>
      </c>
      <c r="B25" s="745">
        <v>42383</v>
      </c>
      <c r="C25" s="746" t="s">
        <v>1771</v>
      </c>
      <c r="D25" s="747">
        <v>4724</v>
      </c>
      <c r="E25" s="747">
        <v>4626</v>
      </c>
      <c r="F25" s="747">
        <v>4604</v>
      </c>
      <c r="G25" s="747">
        <v>4635</v>
      </c>
      <c r="H25" s="747">
        <v>4755</v>
      </c>
      <c r="I25" s="747">
        <v>5000</v>
      </c>
      <c r="J25" s="747">
        <v>5464</v>
      </c>
      <c r="K25" s="747">
        <v>5578</v>
      </c>
      <c r="L25" s="747">
        <v>5560</v>
      </c>
      <c r="M25" s="747">
        <v>5476</v>
      </c>
      <c r="N25" s="747">
        <v>5422</v>
      </c>
      <c r="O25" s="747">
        <v>5368</v>
      </c>
      <c r="P25" s="747">
        <v>5404</v>
      </c>
      <c r="Q25" s="747">
        <v>5346</v>
      </c>
      <c r="R25" s="747">
        <v>5292</v>
      </c>
      <c r="S25" s="747">
        <v>5316</v>
      </c>
      <c r="T25" s="747">
        <v>5495</v>
      </c>
      <c r="U25" s="747">
        <v>5997</v>
      </c>
      <c r="V25" s="747">
        <v>6064</v>
      </c>
      <c r="W25" s="747">
        <v>5957</v>
      </c>
      <c r="X25" s="747">
        <v>5767</v>
      </c>
      <c r="Y25" s="747">
        <v>5474</v>
      </c>
      <c r="Z25" s="747">
        <v>5068</v>
      </c>
      <c r="AA25" s="747">
        <v>4805</v>
      </c>
      <c r="AC25" s="628">
        <f t="shared" si="3"/>
        <v>14</v>
      </c>
      <c r="AD25" s="627">
        <f t="shared" si="4"/>
        <v>18</v>
      </c>
      <c r="AE25" s="627">
        <f t="shared" si="0"/>
        <v>98</v>
      </c>
      <c r="AF25" s="627">
        <f t="shared" si="0"/>
        <v>22</v>
      </c>
      <c r="AG25" s="627">
        <f t="shared" si="0"/>
        <v>31</v>
      </c>
      <c r="AH25" s="627">
        <f t="shared" si="0"/>
        <v>120</v>
      </c>
      <c r="AI25" s="627">
        <f t="shared" si="0"/>
        <v>245</v>
      </c>
      <c r="AJ25" s="627">
        <f t="shared" si="0"/>
        <v>464</v>
      </c>
      <c r="AK25" s="627">
        <f t="shared" si="0"/>
        <v>114</v>
      </c>
      <c r="AL25" s="627">
        <f t="shared" si="0"/>
        <v>18</v>
      </c>
      <c r="AM25" s="627">
        <f t="shared" si="0"/>
        <v>84</v>
      </c>
      <c r="AN25" s="627">
        <f t="shared" si="0"/>
        <v>54</v>
      </c>
      <c r="AO25" s="627">
        <f t="shared" si="0"/>
        <v>54</v>
      </c>
      <c r="AP25" s="627">
        <f t="shared" si="0"/>
        <v>36</v>
      </c>
      <c r="AQ25" s="627">
        <f t="shared" si="0"/>
        <v>58</v>
      </c>
      <c r="AR25" s="627">
        <f t="shared" si="0"/>
        <v>54</v>
      </c>
      <c r="AS25" s="627">
        <f t="shared" si="0"/>
        <v>24</v>
      </c>
      <c r="AT25" s="627">
        <f t="shared" si="0"/>
        <v>179</v>
      </c>
      <c r="AU25" s="627">
        <f t="shared" si="1"/>
        <v>502</v>
      </c>
      <c r="AV25" s="627">
        <f t="shared" si="1"/>
        <v>67</v>
      </c>
      <c r="AW25" s="627">
        <f t="shared" si="1"/>
        <v>107</v>
      </c>
      <c r="AX25" s="627">
        <f t="shared" si="1"/>
        <v>190</v>
      </c>
      <c r="AY25" s="627">
        <f t="shared" si="1"/>
        <v>293</v>
      </c>
      <c r="AZ25" s="627">
        <f t="shared" si="1"/>
        <v>406</v>
      </c>
      <c r="BA25" s="627">
        <f t="shared" si="1"/>
        <v>263</v>
      </c>
    </row>
    <row r="26" spans="1:53">
      <c r="A26" s="105">
        <f t="shared" si="2"/>
        <v>15</v>
      </c>
      <c r="B26" s="745">
        <v>42384</v>
      </c>
      <c r="C26" s="746" t="s">
        <v>1771</v>
      </c>
      <c r="D26" s="747">
        <v>4723</v>
      </c>
      <c r="E26" s="747">
        <v>4677</v>
      </c>
      <c r="F26" s="747">
        <v>4668</v>
      </c>
      <c r="G26" s="747">
        <v>4688</v>
      </c>
      <c r="H26" s="747">
        <v>4745</v>
      </c>
      <c r="I26" s="747">
        <v>4966</v>
      </c>
      <c r="J26" s="747">
        <v>5455</v>
      </c>
      <c r="K26" s="747">
        <v>5562</v>
      </c>
      <c r="L26" s="747">
        <v>5612</v>
      </c>
      <c r="M26" s="747">
        <v>5581</v>
      </c>
      <c r="N26" s="747">
        <v>5496</v>
      </c>
      <c r="O26" s="747">
        <v>5435</v>
      </c>
      <c r="P26" s="747">
        <v>5365</v>
      </c>
      <c r="Q26" s="747">
        <v>5376</v>
      </c>
      <c r="R26" s="747">
        <v>5365</v>
      </c>
      <c r="S26" s="747">
        <v>5382</v>
      </c>
      <c r="T26" s="747">
        <v>5574</v>
      </c>
      <c r="U26" s="747">
        <v>6011</v>
      </c>
      <c r="V26" s="747">
        <v>6006</v>
      </c>
      <c r="W26" s="747">
        <v>5869</v>
      </c>
      <c r="X26" s="747">
        <v>5652</v>
      </c>
      <c r="Y26" s="747">
        <v>5441</v>
      </c>
      <c r="Z26" s="747">
        <v>5133</v>
      </c>
      <c r="AA26" s="747">
        <v>4860</v>
      </c>
      <c r="AC26" s="628">
        <f t="shared" si="3"/>
        <v>15</v>
      </c>
      <c r="AD26" s="627">
        <f t="shared" si="4"/>
        <v>82</v>
      </c>
      <c r="AE26" s="627">
        <f t="shared" si="0"/>
        <v>46</v>
      </c>
      <c r="AF26" s="627">
        <f t="shared" si="0"/>
        <v>9</v>
      </c>
      <c r="AG26" s="627">
        <f t="shared" si="0"/>
        <v>20</v>
      </c>
      <c r="AH26" s="627">
        <f t="shared" si="0"/>
        <v>57</v>
      </c>
      <c r="AI26" s="627">
        <f t="shared" si="0"/>
        <v>221</v>
      </c>
      <c r="AJ26" s="627">
        <f t="shared" si="0"/>
        <v>489</v>
      </c>
      <c r="AK26" s="627">
        <f t="shared" si="0"/>
        <v>107</v>
      </c>
      <c r="AL26" s="627">
        <f t="shared" si="0"/>
        <v>50</v>
      </c>
      <c r="AM26" s="627">
        <f t="shared" si="0"/>
        <v>31</v>
      </c>
      <c r="AN26" s="627">
        <f t="shared" si="0"/>
        <v>85</v>
      </c>
      <c r="AO26" s="627">
        <f t="shared" si="0"/>
        <v>61</v>
      </c>
      <c r="AP26" s="627">
        <f t="shared" si="0"/>
        <v>70</v>
      </c>
      <c r="AQ26" s="627">
        <f t="shared" si="0"/>
        <v>11</v>
      </c>
      <c r="AR26" s="627">
        <f t="shared" si="0"/>
        <v>11</v>
      </c>
      <c r="AS26" s="627">
        <f t="shared" si="0"/>
        <v>17</v>
      </c>
      <c r="AT26" s="627">
        <f t="shared" si="0"/>
        <v>192</v>
      </c>
      <c r="AU26" s="627">
        <f t="shared" si="1"/>
        <v>437</v>
      </c>
      <c r="AV26" s="627">
        <f t="shared" si="1"/>
        <v>5</v>
      </c>
      <c r="AW26" s="627">
        <f t="shared" si="1"/>
        <v>137</v>
      </c>
      <c r="AX26" s="627">
        <f t="shared" si="1"/>
        <v>217</v>
      </c>
      <c r="AY26" s="627">
        <f t="shared" si="1"/>
        <v>211</v>
      </c>
      <c r="AZ26" s="627">
        <f t="shared" si="1"/>
        <v>308</v>
      </c>
      <c r="BA26" s="627">
        <f t="shared" si="1"/>
        <v>273</v>
      </c>
    </row>
    <row r="27" spans="1:53">
      <c r="A27" s="105">
        <f t="shared" si="2"/>
        <v>16</v>
      </c>
      <c r="B27" s="745">
        <v>42385</v>
      </c>
      <c r="C27" s="746" t="s">
        <v>1771</v>
      </c>
      <c r="D27" s="747">
        <v>4626</v>
      </c>
      <c r="E27" s="747">
        <v>4617</v>
      </c>
      <c r="F27" s="747">
        <v>4677</v>
      </c>
      <c r="G27" s="747">
        <v>4673</v>
      </c>
      <c r="H27" s="747">
        <v>4774</v>
      </c>
      <c r="I27" s="747">
        <v>4948</v>
      </c>
      <c r="J27" s="747">
        <v>5085</v>
      </c>
      <c r="K27" s="747">
        <v>5256</v>
      </c>
      <c r="L27" s="747">
        <v>5340</v>
      </c>
      <c r="M27" s="747">
        <v>5266</v>
      </c>
      <c r="N27" s="747">
        <v>5242</v>
      </c>
      <c r="O27" s="747">
        <v>5148</v>
      </c>
      <c r="P27" s="747">
        <v>5166</v>
      </c>
      <c r="Q27" s="747">
        <v>5119</v>
      </c>
      <c r="R27" s="747">
        <v>5036</v>
      </c>
      <c r="S27" s="747">
        <v>5110</v>
      </c>
      <c r="T27" s="747">
        <v>5294</v>
      </c>
      <c r="U27" s="747">
        <v>5727</v>
      </c>
      <c r="V27" s="747">
        <v>5825</v>
      </c>
      <c r="W27" s="747">
        <v>5695</v>
      </c>
      <c r="X27" s="747">
        <v>5559</v>
      </c>
      <c r="Y27" s="747">
        <v>5352</v>
      </c>
      <c r="Z27" s="747">
        <v>5045</v>
      </c>
      <c r="AA27" s="747">
        <v>4768</v>
      </c>
      <c r="AC27" s="628">
        <f t="shared" si="3"/>
        <v>16</v>
      </c>
      <c r="AD27" s="627">
        <f t="shared" si="4"/>
        <v>234</v>
      </c>
      <c r="AE27" s="627">
        <f t="shared" si="0"/>
        <v>9</v>
      </c>
      <c r="AF27" s="627">
        <f t="shared" si="0"/>
        <v>60</v>
      </c>
      <c r="AG27" s="627">
        <f t="shared" si="0"/>
        <v>4</v>
      </c>
      <c r="AH27" s="627">
        <f t="shared" si="0"/>
        <v>101</v>
      </c>
      <c r="AI27" s="627">
        <f t="shared" si="0"/>
        <v>174</v>
      </c>
      <c r="AJ27" s="627">
        <f t="shared" si="0"/>
        <v>137</v>
      </c>
      <c r="AK27" s="627">
        <f t="shared" si="0"/>
        <v>171</v>
      </c>
      <c r="AL27" s="627">
        <f t="shared" si="0"/>
        <v>84</v>
      </c>
      <c r="AM27" s="627">
        <f t="shared" si="0"/>
        <v>74</v>
      </c>
      <c r="AN27" s="627">
        <f t="shared" si="0"/>
        <v>24</v>
      </c>
      <c r="AO27" s="627">
        <f t="shared" si="0"/>
        <v>94</v>
      </c>
      <c r="AP27" s="627">
        <f t="shared" si="0"/>
        <v>18</v>
      </c>
      <c r="AQ27" s="627">
        <f t="shared" si="0"/>
        <v>47</v>
      </c>
      <c r="AR27" s="627">
        <f t="shared" si="0"/>
        <v>83</v>
      </c>
      <c r="AS27" s="627">
        <f t="shared" si="0"/>
        <v>74</v>
      </c>
      <c r="AT27" s="627">
        <f t="shared" ref="AT27:BA58" si="5">ABS(T27-S27)</f>
        <v>184</v>
      </c>
      <c r="AU27" s="627">
        <f t="shared" si="1"/>
        <v>433</v>
      </c>
      <c r="AV27" s="627">
        <f t="shared" si="1"/>
        <v>98</v>
      </c>
      <c r="AW27" s="627">
        <f t="shared" si="1"/>
        <v>130</v>
      </c>
      <c r="AX27" s="627">
        <f t="shared" si="1"/>
        <v>136</v>
      </c>
      <c r="AY27" s="627">
        <f t="shared" si="1"/>
        <v>207</v>
      </c>
      <c r="AZ27" s="627">
        <f t="shared" si="1"/>
        <v>307</v>
      </c>
      <c r="BA27" s="627">
        <f t="shared" si="1"/>
        <v>277</v>
      </c>
    </row>
    <row r="28" spans="1:53">
      <c r="A28" s="105">
        <f t="shared" si="2"/>
        <v>17</v>
      </c>
      <c r="B28" s="745">
        <v>42386</v>
      </c>
      <c r="C28" s="746" t="s">
        <v>1771</v>
      </c>
      <c r="D28" s="747">
        <v>4675</v>
      </c>
      <c r="E28" s="747">
        <v>4590</v>
      </c>
      <c r="F28" s="747">
        <v>4598</v>
      </c>
      <c r="G28" s="747">
        <v>4649</v>
      </c>
      <c r="H28" s="747">
        <v>4685</v>
      </c>
      <c r="I28" s="747">
        <v>4804</v>
      </c>
      <c r="J28" s="747">
        <v>4896</v>
      </c>
      <c r="K28" s="747">
        <v>5056</v>
      </c>
      <c r="L28" s="747">
        <v>5132</v>
      </c>
      <c r="M28" s="747">
        <v>5142</v>
      </c>
      <c r="N28" s="747">
        <v>5129</v>
      </c>
      <c r="O28" s="747">
        <v>5058</v>
      </c>
      <c r="P28" s="747">
        <v>5014</v>
      </c>
      <c r="Q28" s="747">
        <v>4926</v>
      </c>
      <c r="R28" s="747">
        <v>4884</v>
      </c>
      <c r="S28" s="747">
        <v>4898</v>
      </c>
      <c r="T28" s="747">
        <v>5146</v>
      </c>
      <c r="U28" s="747">
        <v>5547</v>
      </c>
      <c r="V28" s="747">
        <v>5732</v>
      </c>
      <c r="W28" s="747">
        <v>5668</v>
      </c>
      <c r="X28" s="747">
        <v>5554</v>
      </c>
      <c r="Y28" s="747">
        <v>5312</v>
      </c>
      <c r="Z28" s="747">
        <v>4967</v>
      </c>
      <c r="AA28" s="747">
        <v>4807</v>
      </c>
      <c r="AC28" s="628">
        <f t="shared" si="3"/>
        <v>17</v>
      </c>
      <c r="AD28" s="627">
        <f t="shared" si="4"/>
        <v>93</v>
      </c>
      <c r="AE28" s="627">
        <f t="shared" ref="AE28:AS44" si="6">ABS(E28-D28)</f>
        <v>85</v>
      </c>
      <c r="AF28" s="627">
        <f t="shared" si="6"/>
        <v>8</v>
      </c>
      <c r="AG28" s="627">
        <f t="shared" si="6"/>
        <v>51</v>
      </c>
      <c r="AH28" s="627">
        <f t="shared" si="6"/>
        <v>36</v>
      </c>
      <c r="AI28" s="627">
        <f t="shared" si="6"/>
        <v>119</v>
      </c>
      <c r="AJ28" s="627">
        <f t="shared" si="6"/>
        <v>92</v>
      </c>
      <c r="AK28" s="627">
        <f t="shared" si="6"/>
        <v>160</v>
      </c>
      <c r="AL28" s="627">
        <f t="shared" si="6"/>
        <v>76</v>
      </c>
      <c r="AM28" s="627">
        <f t="shared" si="6"/>
        <v>10</v>
      </c>
      <c r="AN28" s="627">
        <f t="shared" si="6"/>
        <v>13</v>
      </c>
      <c r="AO28" s="627">
        <f t="shared" si="6"/>
        <v>71</v>
      </c>
      <c r="AP28" s="627">
        <f t="shared" si="6"/>
        <v>44</v>
      </c>
      <c r="AQ28" s="627">
        <f t="shared" si="6"/>
        <v>88</v>
      </c>
      <c r="AR28" s="627">
        <f t="shared" si="6"/>
        <v>42</v>
      </c>
      <c r="AS28" s="627">
        <f t="shared" si="6"/>
        <v>14</v>
      </c>
      <c r="AT28" s="627">
        <f t="shared" si="5"/>
        <v>248</v>
      </c>
      <c r="AU28" s="627">
        <f t="shared" si="5"/>
        <v>401</v>
      </c>
      <c r="AV28" s="627">
        <f t="shared" si="5"/>
        <v>185</v>
      </c>
      <c r="AW28" s="627">
        <f t="shared" si="5"/>
        <v>64</v>
      </c>
      <c r="AX28" s="627">
        <f t="shared" si="5"/>
        <v>114</v>
      </c>
      <c r="AY28" s="627">
        <f t="shared" si="5"/>
        <v>242</v>
      </c>
      <c r="AZ28" s="627">
        <f t="shared" si="5"/>
        <v>345</v>
      </c>
      <c r="BA28" s="627">
        <f t="shared" si="5"/>
        <v>160</v>
      </c>
    </row>
    <row r="29" spans="1:53">
      <c r="A29" s="105">
        <f t="shared" si="2"/>
        <v>18</v>
      </c>
      <c r="B29" s="745">
        <v>42387</v>
      </c>
      <c r="C29" s="746" t="s">
        <v>1771</v>
      </c>
      <c r="D29" s="747">
        <v>4727</v>
      </c>
      <c r="E29" s="747">
        <v>4610</v>
      </c>
      <c r="F29" s="747">
        <v>4629</v>
      </c>
      <c r="G29" s="747">
        <v>4632</v>
      </c>
      <c r="H29" s="747">
        <v>4663</v>
      </c>
      <c r="I29" s="747">
        <v>4894</v>
      </c>
      <c r="J29" s="747">
        <v>5213</v>
      </c>
      <c r="K29" s="747">
        <v>5344</v>
      </c>
      <c r="L29" s="747">
        <v>5479</v>
      </c>
      <c r="M29" s="747">
        <v>5525</v>
      </c>
      <c r="N29" s="747">
        <v>5531</v>
      </c>
      <c r="O29" s="747">
        <v>5469</v>
      </c>
      <c r="P29" s="747">
        <v>5386</v>
      </c>
      <c r="Q29" s="747">
        <v>5308</v>
      </c>
      <c r="R29" s="747">
        <v>5301</v>
      </c>
      <c r="S29" s="747">
        <v>5326</v>
      </c>
      <c r="T29" s="747">
        <v>5494</v>
      </c>
      <c r="U29" s="747">
        <v>5963</v>
      </c>
      <c r="V29" s="747">
        <v>6015</v>
      </c>
      <c r="W29" s="747">
        <v>5814</v>
      </c>
      <c r="X29" s="747">
        <v>5655</v>
      </c>
      <c r="Y29" s="747">
        <v>5358</v>
      </c>
      <c r="Z29" s="747">
        <v>4921</v>
      </c>
      <c r="AA29" s="747">
        <v>4634</v>
      </c>
      <c r="AC29" s="628">
        <f t="shared" si="3"/>
        <v>18</v>
      </c>
      <c r="AD29" s="627">
        <f t="shared" si="4"/>
        <v>80</v>
      </c>
      <c r="AE29" s="627">
        <f t="shared" si="6"/>
        <v>117</v>
      </c>
      <c r="AF29" s="627">
        <f t="shared" si="6"/>
        <v>19</v>
      </c>
      <c r="AG29" s="627">
        <f t="shared" si="6"/>
        <v>3</v>
      </c>
      <c r="AH29" s="627">
        <f t="shared" si="6"/>
        <v>31</v>
      </c>
      <c r="AI29" s="627">
        <f t="shared" si="6"/>
        <v>231</v>
      </c>
      <c r="AJ29" s="627">
        <f t="shared" si="6"/>
        <v>319</v>
      </c>
      <c r="AK29" s="627">
        <f t="shared" si="6"/>
        <v>131</v>
      </c>
      <c r="AL29" s="627">
        <f t="shared" si="6"/>
        <v>135</v>
      </c>
      <c r="AM29" s="627">
        <f t="shared" si="6"/>
        <v>46</v>
      </c>
      <c r="AN29" s="627">
        <f t="shared" si="6"/>
        <v>6</v>
      </c>
      <c r="AO29" s="627">
        <f t="shared" si="6"/>
        <v>62</v>
      </c>
      <c r="AP29" s="627">
        <f t="shared" si="6"/>
        <v>83</v>
      </c>
      <c r="AQ29" s="627">
        <f t="shared" si="6"/>
        <v>78</v>
      </c>
      <c r="AR29" s="627">
        <f t="shared" si="6"/>
        <v>7</v>
      </c>
      <c r="AS29" s="627">
        <f t="shared" si="6"/>
        <v>25</v>
      </c>
      <c r="AT29" s="627">
        <f t="shared" si="5"/>
        <v>168</v>
      </c>
      <c r="AU29" s="627">
        <f t="shared" si="5"/>
        <v>469</v>
      </c>
      <c r="AV29" s="627">
        <f t="shared" si="5"/>
        <v>52</v>
      </c>
      <c r="AW29" s="627">
        <f t="shared" si="5"/>
        <v>201</v>
      </c>
      <c r="AX29" s="627">
        <f t="shared" si="5"/>
        <v>159</v>
      </c>
      <c r="AY29" s="627">
        <f t="shared" si="5"/>
        <v>297</v>
      </c>
      <c r="AZ29" s="627">
        <f t="shared" si="5"/>
        <v>437</v>
      </c>
      <c r="BA29" s="627">
        <f t="shared" si="5"/>
        <v>287</v>
      </c>
    </row>
    <row r="30" spans="1:53">
      <c r="A30" s="105">
        <f t="shared" si="2"/>
        <v>19</v>
      </c>
      <c r="B30" s="745">
        <v>42388</v>
      </c>
      <c r="C30" s="746" t="s">
        <v>1771</v>
      </c>
      <c r="D30" s="747">
        <v>4479</v>
      </c>
      <c r="E30" s="747">
        <v>4453</v>
      </c>
      <c r="F30" s="747">
        <v>4412</v>
      </c>
      <c r="G30" s="747">
        <v>4446</v>
      </c>
      <c r="H30" s="747">
        <v>4617</v>
      </c>
      <c r="I30" s="747">
        <v>4891</v>
      </c>
      <c r="J30" s="747">
        <v>5356</v>
      </c>
      <c r="K30" s="747">
        <v>5547</v>
      </c>
      <c r="L30" s="747">
        <v>5551</v>
      </c>
      <c r="M30" s="747">
        <v>5482</v>
      </c>
      <c r="N30" s="747">
        <v>5358</v>
      </c>
      <c r="O30" s="747">
        <v>5278</v>
      </c>
      <c r="P30" s="747">
        <v>5209</v>
      </c>
      <c r="Q30" s="747">
        <v>5161</v>
      </c>
      <c r="R30" s="747">
        <v>5138</v>
      </c>
      <c r="S30" s="747">
        <v>5180</v>
      </c>
      <c r="T30" s="747">
        <v>5371</v>
      </c>
      <c r="U30" s="747">
        <v>5885</v>
      </c>
      <c r="V30" s="747">
        <v>5974</v>
      </c>
      <c r="W30" s="747">
        <v>5954</v>
      </c>
      <c r="X30" s="747">
        <v>5802</v>
      </c>
      <c r="Y30" s="747">
        <v>5457</v>
      </c>
      <c r="Z30" s="747">
        <v>5023</v>
      </c>
      <c r="AA30" s="747">
        <v>4893</v>
      </c>
      <c r="AC30" s="628">
        <f t="shared" si="3"/>
        <v>19</v>
      </c>
      <c r="AD30" s="627">
        <f t="shared" si="4"/>
        <v>155</v>
      </c>
      <c r="AE30" s="627">
        <f t="shared" si="6"/>
        <v>26</v>
      </c>
      <c r="AF30" s="627">
        <f t="shared" si="6"/>
        <v>41</v>
      </c>
      <c r="AG30" s="627">
        <f t="shared" si="6"/>
        <v>34</v>
      </c>
      <c r="AH30" s="627">
        <f t="shared" si="6"/>
        <v>171</v>
      </c>
      <c r="AI30" s="627">
        <f t="shared" si="6"/>
        <v>274</v>
      </c>
      <c r="AJ30" s="627">
        <f t="shared" si="6"/>
        <v>465</v>
      </c>
      <c r="AK30" s="627">
        <f t="shared" si="6"/>
        <v>191</v>
      </c>
      <c r="AL30" s="627">
        <f t="shared" si="6"/>
        <v>4</v>
      </c>
      <c r="AM30" s="627">
        <f t="shared" si="6"/>
        <v>69</v>
      </c>
      <c r="AN30" s="627">
        <f t="shared" si="6"/>
        <v>124</v>
      </c>
      <c r="AO30" s="627">
        <f t="shared" si="6"/>
        <v>80</v>
      </c>
      <c r="AP30" s="627">
        <f t="shared" si="6"/>
        <v>69</v>
      </c>
      <c r="AQ30" s="627">
        <f t="shared" si="6"/>
        <v>48</v>
      </c>
      <c r="AR30" s="627">
        <f t="shared" si="6"/>
        <v>23</v>
      </c>
      <c r="AS30" s="627">
        <f t="shared" si="6"/>
        <v>42</v>
      </c>
      <c r="AT30" s="627">
        <f t="shared" si="5"/>
        <v>191</v>
      </c>
      <c r="AU30" s="627">
        <f t="shared" si="5"/>
        <v>514</v>
      </c>
      <c r="AV30" s="627">
        <f t="shared" si="5"/>
        <v>89</v>
      </c>
      <c r="AW30" s="627">
        <f t="shared" si="5"/>
        <v>20</v>
      </c>
      <c r="AX30" s="627">
        <f t="shared" si="5"/>
        <v>152</v>
      </c>
      <c r="AY30" s="627">
        <f t="shared" si="5"/>
        <v>345</v>
      </c>
      <c r="AZ30" s="627">
        <f t="shared" si="5"/>
        <v>434</v>
      </c>
      <c r="BA30" s="627">
        <f t="shared" si="5"/>
        <v>130</v>
      </c>
    </row>
    <row r="31" spans="1:53">
      <c r="A31" s="105">
        <f t="shared" si="2"/>
        <v>20</v>
      </c>
      <c r="B31" s="745">
        <v>42389</v>
      </c>
      <c r="C31" s="746" t="s">
        <v>1771</v>
      </c>
      <c r="D31" s="747">
        <v>4714</v>
      </c>
      <c r="E31" s="747">
        <v>4611</v>
      </c>
      <c r="F31" s="747">
        <v>4568</v>
      </c>
      <c r="G31" s="747">
        <v>4544</v>
      </c>
      <c r="H31" s="747">
        <v>4571</v>
      </c>
      <c r="I31" s="747">
        <v>4809</v>
      </c>
      <c r="J31" s="747">
        <v>5274</v>
      </c>
      <c r="K31" s="747">
        <v>5510</v>
      </c>
      <c r="L31" s="747">
        <v>5558</v>
      </c>
      <c r="M31" s="747">
        <v>5509</v>
      </c>
      <c r="N31" s="747">
        <v>5376</v>
      </c>
      <c r="O31" s="747">
        <v>5262</v>
      </c>
      <c r="P31" s="747">
        <v>5202</v>
      </c>
      <c r="Q31" s="747">
        <v>5139</v>
      </c>
      <c r="R31" s="747">
        <v>5238</v>
      </c>
      <c r="S31" s="747">
        <v>5276</v>
      </c>
      <c r="T31" s="747">
        <v>5440</v>
      </c>
      <c r="U31" s="747">
        <v>5882</v>
      </c>
      <c r="V31" s="747">
        <v>5949</v>
      </c>
      <c r="W31" s="747">
        <v>5833</v>
      </c>
      <c r="X31" s="747">
        <v>5660</v>
      </c>
      <c r="Y31" s="747">
        <v>5361</v>
      </c>
      <c r="Z31" s="747">
        <v>5102</v>
      </c>
      <c r="AA31" s="747">
        <v>4835</v>
      </c>
      <c r="AC31" s="628">
        <f t="shared" si="3"/>
        <v>20</v>
      </c>
      <c r="AD31" s="627">
        <f t="shared" si="4"/>
        <v>179</v>
      </c>
      <c r="AE31" s="627">
        <f t="shared" si="6"/>
        <v>103</v>
      </c>
      <c r="AF31" s="627">
        <f t="shared" si="6"/>
        <v>43</v>
      </c>
      <c r="AG31" s="627">
        <f t="shared" si="6"/>
        <v>24</v>
      </c>
      <c r="AH31" s="627">
        <f t="shared" si="6"/>
        <v>27</v>
      </c>
      <c r="AI31" s="627">
        <f t="shared" si="6"/>
        <v>238</v>
      </c>
      <c r="AJ31" s="627">
        <f t="shared" si="6"/>
        <v>465</v>
      </c>
      <c r="AK31" s="627">
        <f t="shared" si="6"/>
        <v>236</v>
      </c>
      <c r="AL31" s="627">
        <f t="shared" si="6"/>
        <v>48</v>
      </c>
      <c r="AM31" s="627">
        <f t="shared" si="6"/>
        <v>49</v>
      </c>
      <c r="AN31" s="627">
        <f t="shared" si="6"/>
        <v>133</v>
      </c>
      <c r="AO31" s="627">
        <f t="shared" si="6"/>
        <v>114</v>
      </c>
      <c r="AP31" s="627">
        <f t="shared" si="6"/>
        <v>60</v>
      </c>
      <c r="AQ31" s="627">
        <f t="shared" si="6"/>
        <v>63</v>
      </c>
      <c r="AR31" s="627">
        <f t="shared" si="6"/>
        <v>99</v>
      </c>
      <c r="AS31" s="627">
        <f t="shared" si="6"/>
        <v>38</v>
      </c>
      <c r="AT31" s="627">
        <f t="shared" si="5"/>
        <v>164</v>
      </c>
      <c r="AU31" s="627">
        <f t="shared" si="5"/>
        <v>442</v>
      </c>
      <c r="AV31" s="627">
        <f t="shared" si="5"/>
        <v>67</v>
      </c>
      <c r="AW31" s="627">
        <f t="shared" si="5"/>
        <v>116</v>
      </c>
      <c r="AX31" s="627">
        <f t="shared" si="5"/>
        <v>173</v>
      </c>
      <c r="AY31" s="627">
        <f t="shared" si="5"/>
        <v>299</v>
      </c>
      <c r="AZ31" s="627">
        <f t="shared" si="5"/>
        <v>259</v>
      </c>
      <c r="BA31" s="627">
        <f t="shared" si="5"/>
        <v>267</v>
      </c>
    </row>
    <row r="32" spans="1:53">
      <c r="A32" s="105">
        <f t="shared" si="2"/>
        <v>21</v>
      </c>
      <c r="B32" s="745">
        <v>42390</v>
      </c>
      <c r="C32" s="746" t="s">
        <v>1771</v>
      </c>
      <c r="D32" s="747">
        <v>4634</v>
      </c>
      <c r="E32" s="747">
        <v>4559</v>
      </c>
      <c r="F32" s="747">
        <v>4592</v>
      </c>
      <c r="G32" s="747">
        <v>4618</v>
      </c>
      <c r="H32" s="747">
        <v>4650</v>
      </c>
      <c r="I32" s="747">
        <v>4903</v>
      </c>
      <c r="J32" s="747">
        <v>5347</v>
      </c>
      <c r="K32" s="747">
        <v>5602</v>
      </c>
      <c r="L32" s="747">
        <v>5533</v>
      </c>
      <c r="M32" s="747">
        <v>5381</v>
      </c>
      <c r="N32" s="747">
        <v>5338</v>
      </c>
      <c r="O32" s="747">
        <v>5261</v>
      </c>
      <c r="P32" s="747">
        <v>5144</v>
      </c>
      <c r="Q32" s="747">
        <v>5147</v>
      </c>
      <c r="R32" s="747">
        <v>5166</v>
      </c>
      <c r="S32" s="747">
        <v>5136</v>
      </c>
      <c r="T32" s="747">
        <v>5344</v>
      </c>
      <c r="U32" s="747">
        <v>5842</v>
      </c>
      <c r="V32" s="747">
        <v>5968</v>
      </c>
      <c r="W32" s="747">
        <v>5858</v>
      </c>
      <c r="X32" s="747">
        <v>5714</v>
      </c>
      <c r="Y32" s="747">
        <v>5419</v>
      </c>
      <c r="Z32" s="747">
        <v>5028</v>
      </c>
      <c r="AA32" s="747">
        <v>4712</v>
      </c>
      <c r="AC32" s="628">
        <f t="shared" si="3"/>
        <v>21</v>
      </c>
      <c r="AD32" s="627">
        <f t="shared" si="4"/>
        <v>201</v>
      </c>
      <c r="AE32" s="627">
        <f t="shared" si="6"/>
        <v>75</v>
      </c>
      <c r="AF32" s="627">
        <f t="shared" si="6"/>
        <v>33</v>
      </c>
      <c r="AG32" s="627">
        <f t="shared" si="6"/>
        <v>26</v>
      </c>
      <c r="AH32" s="627">
        <f t="shared" si="6"/>
        <v>32</v>
      </c>
      <c r="AI32" s="627">
        <f t="shared" si="6"/>
        <v>253</v>
      </c>
      <c r="AJ32" s="627">
        <f t="shared" si="6"/>
        <v>444</v>
      </c>
      <c r="AK32" s="627">
        <f t="shared" si="6"/>
        <v>255</v>
      </c>
      <c r="AL32" s="627">
        <f t="shared" si="6"/>
        <v>69</v>
      </c>
      <c r="AM32" s="627">
        <f t="shared" si="6"/>
        <v>152</v>
      </c>
      <c r="AN32" s="627">
        <f t="shared" si="6"/>
        <v>43</v>
      </c>
      <c r="AO32" s="627">
        <f t="shared" si="6"/>
        <v>77</v>
      </c>
      <c r="AP32" s="627">
        <f t="shared" si="6"/>
        <v>117</v>
      </c>
      <c r="AQ32" s="627">
        <f t="shared" si="6"/>
        <v>3</v>
      </c>
      <c r="AR32" s="627">
        <f t="shared" si="6"/>
        <v>19</v>
      </c>
      <c r="AS32" s="627">
        <f t="shared" si="6"/>
        <v>30</v>
      </c>
      <c r="AT32" s="627">
        <f t="shared" si="5"/>
        <v>208</v>
      </c>
      <c r="AU32" s="627">
        <f t="shared" si="5"/>
        <v>498</v>
      </c>
      <c r="AV32" s="627">
        <f t="shared" si="5"/>
        <v>126</v>
      </c>
      <c r="AW32" s="627">
        <f t="shared" si="5"/>
        <v>110</v>
      </c>
      <c r="AX32" s="627">
        <f t="shared" si="5"/>
        <v>144</v>
      </c>
      <c r="AY32" s="627">
        <f t="shared" si="5"/>
        <v>295</v>
      </c>
      <c r="AZ32" s="627">
        <f t="shared" si="5"/>
        <v>391</v>
      </c>
      <c r="BA32" s="627">
        <f t="shared" si="5"/>
        <v>316</v>
      </c>
    </row>
    <row r="33" spans="1:53">
      <c r="A33" s="105">
        <f t="shared" si="2"/>
        <v>22</v>
      </c>
      <c r="B33" s="745">
        <v>42391</v>
      </c>
      <c r="C33" s="746" t="s">
        <v>1771</v>
      </c>
      <c r="D33" s="747">
        <v>4732</v>
      </c>
      <c r="E33" s="747">
        <v>4683</v>
      </c>
      <c r="F33" s="747">
        <v>4645</v>
      </c>
      <c r="G33" s="747">
        <v>4669</v>
      </c>
      <c r="H33" s="747">
        <v>4689</v>
      </c>
      <c r="I33" s="747">
        <v>4987</v>
      </c>
      <c r="J33" s="747">
        <v>5448</v>
      </c>
      <c r="K33" s="747">
        <v>5609</v>
      </c>
      <c r="L33" s="747">
        <v>5492</v>
      </c>
      <c r="M33" s="747">
        <v>5357</v>
      </c>
      <c r="N33" s="747">
        <v>5286</v>
      </c>
      <c r="O33" s="747">
        <v>5191</v>
      </c>
      <c r="P33" s="747">
        <v>5088</v>
      </c>
      <c r="Q33" s="747">
        <v>5059</v>
      </c>
      <c r="R33" s="747">
        <v>5020</v>
      </c>
      <c r="S33" s="747">
        <v>4956</v>
      </c>
      <c r="T33" s="747">
        <v>5135</v>
      </c>
      <c r="U33" s="747">
        <v>5564</v>
      </c>
      <c r="V33" s="747">
        <v>5639</v>
      </c>
      <c r="W33" s="747">
        <v>5524</v>
      </c>
      <c r="X33" s="747">
        <v>5396</v>
      </c>
      <c r="Y33" s="747">
        <v>5195</v>
      </c>
      <c r="Z33" s="747">
        <v>4864</v>
      </c>
      <c r="AA33" s="747">
        <v>4590</v>
      </c>
      <c r="AC33" s="628">
        <f t="shared" si="3"/>
        <v>22</v>
      </c>
      <c r="AD33" s="627">
        <f t="shared" si="4"/>
        <v>20</v>
      </c>
      <c r="AE33" s="627">
        <f t="shared" si="6"/>
        <v>49</v>
      </c>
      <c r="AF33" s="627">
        <f t="shared" si="6"/>
        <v>38</v>
      </c>
      <c r="AG33" s="627">
        <f t="shared" si="6"/>
        <v>24</v>
      </c>
      <c r="AH33" s="627">
        <f t="shared" si="6"/>
        <v>20</v>
      </c>
      <c r="AI33" s="627">
        <f t="shared" si="6"/>
        <v>298</v>
      </c>
      <c r="AJ33" s="627">
        <f t="shared" si="6"/>
        <v>461</v>
      </c>
      <c r="AK33" s="627">
        <f t="shared" si="6"/>
        <v>161</v>
      </c>
      <c r="AL33" s="627">
        <f t="shared" si="6"/>
        <v>117</v>
      </c>
      <c r="AM33" s="627">
        <f t="shared" si="6"/>
        <v>135</v>
      </c>
      <c r="AN33" s="627">
        <f t="shared" si="6"/>
        <v>71</v>
      </c>
      <c r="AO33" s="627">
        <f t="shared" si="6"/>
        <v>95</v>
      </c>
      <c r="AP33" s="627">
        <f t="shared" si="6"/>
        <v>103</v>
      </c>
      <c r="AQ33" s="627">
        <f t="shared" si="6"/>
        <v>29</v>
      </c>
      <c r="AR33" s="627">
        <f t="shared" si="6"/>
        <v>39</v>
      </c>
      <c r="AS33" s="627">
        <f t="shared" si="6"/>
        <v>64</v>
      </c>
      <c r="AT33" s="627">
        <f t="shared" si="5"/>
        <v>179</v>
      </c>
      <c r="AU33" s="627">
        <f t="shared" si="5"/>
        <v>429</v>
      </c>
      <c r="AV33" s="627">
        <f t="shared" si="5"/>
        <v>75</v>
      </c>
      <c r="AW33" s="627">
        <f t="shared" si="5"/>
        <v>115</v>
      </c>
      <c r="AX33" s="627">
        <f t="shared" si="5"/>
        <v>128</v>
      </c>
      <c r="AY33" s="627">
        <f t="shared" si="5"/>
        <v>201</v>
      </c>
      <c r="AZ33" s="627">
        <f t="shared" si="5"/>
        <v>331</v>
      </c>
      <c r="BA33" s="627">
        <f t="shared" si="5"/>
        <v>274</v>
      </c>
    </row>
    <row r="34" spans="1:53">
      <c r="A34" s="105">
        <f t="shared" si="2"/>
        <v>23</v>
      </c>
      <c r="B34" s="745">
        <v>42392</v>
      </c>
      <c r="C34" s="746" t="s">
        <v>1771</v>
      </c>
      <c r="D34" s="747">
        <v>4478</v>
      </c>
      <c r="E34" s="747">
        <v>4460</v>
      </c>
      <c r="F34" s="747">
        <v>4384</v>
      </c>
      <c r="G34" s="747">
        <v>4400</v>
      </c>
      <c r="H34" s="747">
        <v>4414</v>
      </c>
      <c r="I34" s="747">
        <v>4468</v>
      </c>
      <c r="J34" s="747">
        <v>4716</v>
      </c>
      <c r="K34" s="747">
        <v>4867</v>
      </c>
      <c r="L34" s="747">
        <v>4892</v>
      </c>
      <c r="M34" s="747">
        <v>4914</v>
      </c>
      <c r="N34" s="747">
        <v>4864</v>
      </c>
      <c r="O34" s="747">
        <v>4759</v>
      </c>
      <c r="P34" s="747">
        <v>4690</v>
      </c>
      <c r="Q34" s="747">
        <v>4608</v>
      </c>
      <c r="R34" s="747">
        <v>4596</v>
      </c>
      <c r="S34" s="747">
        <v>4628</v>
      </c>
      <c r="T34" s="747">
        <v>4720</v>
      </c>
      <c r="U34" s="747">
        <v>5163</v>
      </c>
      <c r="V34" s="747">
        <v>5344</v>
      </c>
      <c r="W34" s="747">
        <v>5244</v>
      </c>
      <c r="X34" s="747">
        <v>5135</v>
      </c>
      <c r="Y34" s="747">
        <v>4952</v>
      </c>
      <c r="Z34" s="747">
        <v>4669</v>
      </c>
      <c r="AA34" s="747">
        <v>4408</v>
      </c>
      <c r="AC34" s="628">
        <f t="shared" si="3"/>
        <v>23</v>
      </c>
      <c r="AD34" s="627">
        <f t="shared" si="4"/>
        <v>112</v>
      </c>
      <c r="AE34" s="627">
        <f t="shared" si="6"/>
        <v>18</v>
      </c>
      <c r="AF34" s="627">
        <f t="shared" si="6"/>
        <v>76</v>
      </c>
      <c r="AG34" s="627">
        <f t="shared" si="6"/>
        <v>16</v>
      </c>
      <c r="AH34" s="627">
        <f t="shared" si="6"/>
        <v>14</v>
      </c>
      <c r="AI34" s="627">
        <f t="shared" si="6"/>
        <v>54</v>
      </c>
      <c r="AJ34" s="627">
        <f t="shared" si="6"/>
        <v>248</v>
      </c>
      <c r="AK34" s="627">
        <f t="shared" si="6"/>
        <v>151</v>
      </c>
      <c r="AL34" s="627">
        <f t="shared" si="6"/>
        <v>25</v>
      </c>
      <c r="AM34" s="627">
        <f t="shared" si="6"/>
        <v>22</v>
      </c>
      <c r="AN34" s="627">
        <f t="shared" si="6"/>
        <v>50</v>
      </c>
      <c r="AO34" s="627">
        <f t="shared" si="6"/>
        <v>105</v>
      </c>
      <c r="AP34" s="627">
        <f t="shared" si="6"/>
        <v>69</v>
      </c>
      <c r="AQ34" s="627">
        <f t="shared" si="6"/>
        <v>82</v>
      </c>
      <c r="AR34" s="627">
        <f t="shared" si="6"/>
        <v>12</v>
      </c>
      <c r="AS34" s="627">
        <f t="shared" si="6"/>
        <v>32</v>
      </c>
      <c r="AT34" s="627">
        <f t="shared" si="5"/>
        <v>92</v>
      </c>
      <c r="AU34" s="627">
        <f t="shared" si="5"/>
        <v>443</v>
      </c>
      <c r="AV34" s="627">
        <f t="shared" si="5"/>
        <v>181</v>
      </c>
      <c r="AW34" s="627">
        <f t="shared" si="5"/>
        <v>100</v>
      </c>
      <c r="AX34" s="627">
        <f t="shared" si="5"/>
        <v>109</v>
      </c>
      <c r="AY34" s="627">
        <f t="shared" si="5"/>
        <v>183</v>
      </c>
      <c r="AZ34" s="627">
        <f t="shared" si="5"/>
        <v>283</v>
      </c>
      <c r="BA34" s="627">
        <f t="shared" si="5"/>
        <v>261</v>
      </c>
    </row>
    <row r="35" spans="1:53">
      <c r="A35" s="105">
        <f t="shared" si="2"/>
        <v>24</v>
      </c>
      <c r="B35" s="745">
        <v>42393</v>
      </c>
      <c r="C35" s="746" t="s">
        <v>1771</v>
      </c>
      <c r="D35" s="747">
        <v>4209</v>
      </c>
      <c r="E35" s="747">
        <v>4091</v>
      </c>
      <c r="F35" s="747">
        <v>4007</v>
      </c>
      <c r="G35" s="747">
        <v>3994</v>
      </c>
      <c r="H35" s="747">
        <v>4047</v>
      </c>
      <c r="I35" s="747">
        <v>4174</v>
      </c>
      <c r="J35" s="747">
        <v>4369</v>
      </c>
      <c r="K35" s="747">
        <v>4555</v>
      </c>
      <c r="L35" s="747">
        <v>4647</v>
      </c>
      <c r="M35" s="747">
        <v>4671</v>
      </c>
      <c r="N35" s="747">
        <v>4684</v>
      </c>
      <c r="O35" s="747">
        <v>4694</v>
      </c>
      <c r="P35" s="747">
        <v>4684</v>
      </c>
      <c r="Q35" s="747">
        <v>4797</v>
      </c>
      <c r="R35" s="747">
        <v>4893</v>
      </c>
      <c r="S35" s="747">
        <v>4913</v>
      </c>
      <c r="T35" s="747">
        <v>5029</v>
      </c>
      <c r="U35" s="747">
        <v>5431</v>
      </c>
      <c r="V35" s="747">
        <v>5540</v>
      </c>
      <c r="W35" s="747">
        <v>5450</v>
      </c>
      <c r="X35" s="747">
        <v>5277</v>
      </c>
      <c r="Y35" s="747">
        <v>5119</v>
      </c>
      <c r="Z35" s="747">
        <v>4846</v>
      </c>
      <c r="AA35" s="747">
        <v>4540</v>
      </c>
      <c r="AC35" s="628">
        <f t="shared" si="3"/>
        <v>24</v>
      </c>
      <c r="AD35" s="627">
        <f t="shared" si="4"/>
        <v>199</v>
      </c>
      <c r="AE35" s="627">
        <f t="shared" si="6"/>
        <v>118</v>
      </c>
      <c r="AF35" s="627">
        <f t="shared" si="6"/>
        <v>84</v>
      </c>
      <c r="AG35" s="627">
        <f t="shared" si="6"/>
        <v>13</v>
      </c>
      <c r="AH35" s="627">
        <f t="shared" si="6"/>
        <v>53</v>
      </c>
      <c r="AI35" s="627">
        <f t="shared" si="6"/>
        <v>127</v>
      </c>
      <c r="AJ35" s="627">
        <f t="shared" si="6"/>
        <v>195</v>
      </c>
      <c r="AK35" s="627">
        <f t="shared" si="6"/>
        <v>186</v>
      </c>
      <c r="AL35" s="627">
        <f t="shared" si="6"/>
        <v>92</v>
      </c>
      <c r="AM35" s="627">
        <f t="shared" si="6"/>
        <v>24</v>
      </c>
      <c r="AN35" s="627">
        <f t="shared" si="6"/>
        <v>13</v>
      </c>
      <c r="AO35" s="627">
        <f t="shared" si="6"/>
        <v>10</v>
      </c>
      <c r="AP35" s="627">
        <f t="shared" si="6"/>
        <v>10</v>
      </c>
      <c r="AQ35" s="627">
        <f t="shared" si="6"/>
        <v>113</v>
      </c>
      <c r="AR35" s="627">
        <f t="shared" si="6"/>
        <v>96</v>
      </c>
      <c r="AS35" s="627">
        <f t="shared" si="6"/>
        <v>20</v>
      </c>
      <c r="AT35" s="627">
        <f t="shared" si="5"/>
        <v>116</v>
      </c>
      <c r="AU35" s="627">
        <f t="shared" si="5"/>
        <v>402</v>
      </c>
      <c r="AV35" s="627">
        <f t="shared" si="5"/>
        <v>109</v>
      </c>
      <c r="AW35" s="627">
        <f t="shared" si="5"/>
        <v>90</v>
      </c>
      <c r="AX35" s="627">
        <f t="shared" si="5"/>
        <v>173</v>
      </c>
      <c r="AY35" s="627">
        <f t="shared" si="5"/>
        <v>158</v>
      </c>
      <c r="AZ35" s="627">
        <f t="shared" si="5"/>
        <v>273</v>
      </c>
      <c r="BA35" s="627">
        <f t="shared" si="5"/>
        <v>306</v>
      </c>
    </row>
    <row r="36" spans="1:53">
      <c r="A36" s="105">
        <f t="shared" si="2"/>
        <v>25</v>
      </c>
      <c r="B36" s="745">
        <v>42394</v>
      </c>
      <c r="C36" s="746" t="s">
        <v>1771</v>
      </c>
      <c r="D36" s="747">
        <v>4370</v>
      </c>
      <c r="E36" s="747">
        <v>4297</v>
      </c>
      <c r="F36" s="747">
        <v>4183</v>
      </c>
      <c r="G36" s="747">
        <v>4233</v>
      </c>
      <c r="H36" s="747">
        <v>4289</v>
      </c>
      <c r="I36" s="747">
        <v>4610</v>
      </c>
      <c r="J36" s="747">
        <v>5147</v>
      </c>
      <c r="K36" s="747">
        <v>5403</v>
      </c>
      <c r="L36" s="747">
        <v>5382</v>
      </c>
      <c r="M36" s="747">
        <v>5373</v>
      </c>
      <c r="N36" s="747">
        <v>5343</v>
      </c>
      <c r="O36" s="747">
        <v>5258</v>
      </c>
      <c r="P36" s="747">
        <v>5307</v>
      </c>
      <c r="Q36" s="747">
        <v>5279</v>
      </c>
      <c r="R36" s="747">
        <v>5213</v>
      </c>
      <c r="S36" s="747">
        <v>5283</v>
      </c>
      <c r="T36" s="747">
        <v>5501</v>
      </c>
      <c r="U36" s="747">
        <v>5938</v>
      </c>
      <c r="V36" s="747">
        <v>6015</v>
      </c>
      <c r="W36" s="747">
        <v>5882</v>
      </c>
      <c r="X36" s="747">
        <v>5679</v>
      </c>
      <c r="Y36" s="747">
        <v>5370</v>
      </c>
      <c r="Z36" s="747">
        <v>4944</v>
      </c>
      <c r="AA36" s="747">
        <v>4742</v>
      </c>
      <c r="AC36" s="628">
        <f t="shared" si="3"/>
        <v>25</v>
      </c>
      <c r="AD36" s="627">
        <f t="shared" si="4"/>
        <v>170</v>
      </c>
      <c r="AE36" s="627">
        <f t="shared" si="6"/>
        <v>73</v>
      </c>
      <c r="AF36" s="627">
        <f t="shared" si="6"/>
        <v>114</v>
      </c>
      <c r="AG36" s="627">
        <f t="shared" si="6"/>
        <v>50</v>
      </c>
      <c r="AH36" s="627">
        <f t="shared" si="6"/>
        <v>56</v>
      </c>
      <c r="AI36" s="627">
        <f t="shared" si="6"/>
        <v>321</v>
      </c>
      <c r="AJ36" s="627">
        <f t="shared" si="6"/>
        <v>537</v>
      </c>
      <c r="AK36" s="627">
        <f t="shared" si="6"/>
        <v>256</v>
      </c>
      <c r="AL36" s="627">
        <f t="shared" si="6"/>
        <v>21</v>
      </c>
      <c r="AM36" s="627">
        <f t="shared" si="6"/>
        <v>9</v>
      </c>
      <c r="AN36" s="627">
        <f t="shared" si="6"/>
        <v>30</v>
      </c>
      <c r="AO36" s="627">
        <f t="shared" si="6"/>
        <v>85</v>
      </c>
      <c r="AP36" s="627">
        <f t="shared" si="6"/>
        <v>49</v>
      </c>
      <c r="AQ36" s="627">
        <f t="shared" si="6"/>
        <v>28</v>
      </c>
      <c r="AR36" s="627">
        <f t="shared" si="6"/>
        <v>66</v>
      </c>
      <c r="AS36" s="627">
        <f t="shared" si="6"/>
        <v>70</v>
      </c>
      <c r="AT36" s="627">
        <f t="shared" si="5"/>
        <v>218</v>
      </c>
      <c r="AU36" s="627">
        <f t="shared" si="5"/>
        <v>437</v>
      </c>
      <c r="AV36" s="627">
        <f t="shared" si="5"/>
        <v>77</v>
      </c>
      <c r="AW36" s="627">
        <f t="shared" si="5"/>
        <v>133</v>
      </c>
      <c r="AX36" s="627">
        <f t="shared" si="5"/>
        <v>203</v>
      </c>
      <c r="AY36" s="627">
        <f t="shared" si="5"/>
        <v>309</v>
      </c>
      <c r="AZ36" s="627">
        <f t="shared" si="5"/>
        <v>426</v>
      </c>
      <c r="BA36" s="627">
        <f t="shared" si="5"/>
        <v>202</v>
      </c>
    </row>
    <row r="37" spans="1:53">
      <c r="A37" s="105">
        <f t="shared" si="2"/>
        <v>26</v>
      </c>
      <c r="B37" s="745">
        <v>42395</v>
      </c>
      <c r="C37" s="746" t="s">
        <v>1771</v>
      </c>
      <c r="D37" s="747">
        <v>4606</v>
      </c>
      <c r="E37" s="747">
        <v>4579</v>
      </c>
      <c r="F37" s="747">
        <v>4557</v>
      </c>
      <c r="G37" s="747">
        <v>4523</v>
      </c>
      <c r="H37" s="747">
        <v>4615</v>
      </c>
      <c r="I37" s="747">
        <v>4974</v>
      </c>
      <c r="J37" s="747">
        <v>5472</v>
      </c>
      <c r="K37" s="747">
        <v>5646</v>
      </c>
      <c r="L37" s="747">
        <v>5571</v>
      </c>
      <c r="M37" s="747">
        <v>5462</v>
      </c>
      <c r="N37" s="747">
        <v>5336</v>
      </c>
      <c r="O37" s="747">
        <v>5255</v>
      </c>
      <c r="P37" s="747">
        <v>5119</v>
      </c>
      <c r="Q37" s="747">
        <v>5145</v>
      </c>
      <c r="R37" s="747">
        <v>5075</v>
      </c>
      <c r="S37" s="747">
        <v>5108</v>
      </c>
      <c r="T37" s="747">
        <v>5282</v>
      </c>
      <c r="U37" s="747">
        <v>5767</v>
      </c>
      <c r="V37" s="747">
        <v>5972</v>
      </c>
      <c r="W37" s="747">
        <v>5879</v>
      </c>
      <c r="X37" s="747">
        <v>5738</v>
      </c>
      <c r="Y37" s="747">
        <v>5437</v>
      </c>
      <c r="Z37" s="747">
        <v>5004</v>
      </c>
      <c r="AA37" s="747">
        <v>4805</v>
      </c>
      <c r="AC37" s="628">
        <f t="shared" si="3"/>
        <v>26</v>
      </c>
      <c r="AD37" s="627">
        <f t="shared" si="4"/>
        <v>136</v>
      </c>
      <c r="AE37" s="627">
        <f t="shared" si="6"/>
        <v>27</v>
      </c>
      <c r="AF37" s="627">
        <f t="shared" si="6"/>
        <v>22</v>
      </c>
      <c r="AG37" s="627">
        <f t="shared" si="6"/>
        <v>34</v>
      </c>
      <c r="AH37" s="627">
        <f t="shared" si="6"/>
        <v>92</v>
      </c>
      <c r="AI37" s="627">
        <f t="shared" si="6"/>
        <v>359</v>
      </c>
      <c r="AJ37" s="627">
        <f t="shared" si="6"/>
        <v>498</v>
      </c>
      <c r="AK37" s="627">
        <f t="shared" si="6"/>
        <v>174</v>
      </c>
      <c r="AL37" s="627">
        <f t="shared" si="6"/>
        <v>75</v>
      </c>
      <c r="AM37" s="627">
        <f t="shared" si="6"/>
        <v>109</v>
      </c>
      <c r="AN37" s="627">
        <f t="shared" si="6"/>
        <v>126</v>
      </c>
      <c r="AO37" s="627">
        <f t="shared" si="6"/>
        <v>81</v>
      </c>
      <c r="AP37" s="627">
        <f t="shared" si="6"/>
        <v>136</v>
      </c>
      <c r="AQ37" s="627">
        <f t="shared" si="6"/>
        <v>26</v>
      </c>
      <c r="AR37" s="627">
        <f t="shared" si="6"/>
        <v>70</v>
      </c>
      <c r="AS37" s="627">
        <f t="shared" si="6"/>
        <v>33</v>
      </c>
      <c r="AT37" s="627">
        <f t="shared" si="5"/>
        <v>174</v>
      </c>
      <c r="AU37" s="627">
        <f t="shared" si="5"/>
        <v>485</v>
      </c>
      <c r="AV37" s="627">
        <f t="shared" si="5"/>
        <v>205</v>
      </c>
      <c r="AW37" s="627">
        <f t="shared" si="5"/>
        <v>93</v>
      </c>
      <c r="AX37" s="627">
        <f t="shared" si="5"/>
        <v>141</v>
      </c>
      <c r="AY37" s="627">
        <f t="shared" si="5"/>
        <v>301</v>
      </c>
      <c r="AZ37" s="627">
        <f t="shared" si="5"/>
        <v>433</v>
      </c>
      <c r="BA37" s="627">
        <f t="shared" si="5"/>
        <v>199</v>
      </c>
    </row>
    <row r="38" spans="1:53">
      <c r="A38" s="105">
        <f t="shared" si="2"/>
        <v>27</v>
      </c>
      <c r="B38" s="745">
        <v>42396</v>
      </c>
      <c r="C38" s="746" t="s">
        <v>1771</v>
      </c>
      <c r="D38" s="747">
        <v>4737</v>
      </c>
      <c r="E38" s="747">
        <v>4660</v>
      </c>
      <c r="F38" s="747">
        <v>4641</v>
      </c>
      <c r="G38" s="747">
        <v>4592</v>
      </c>
      <c r="H38" s="747">
        <v>4671</v>
      </c>
      <c r="I38" s="747">
        <v>4954</v>
      </c>
      <c r="J38" s="747">
        <v>5392</v>
      </c>
      <c r="K38" s="747">
        <v>5578</v>
      </c>
      <c r="L38" s="747">
        <v>5474</v>
      </c>
      <c r="M38" s="747">
        <v>5351</v>
      </c>
      <c r="N38" s="747">
        <v>5270</v>
      </c>
      <c r="O38" s="747">
        <v>5168</v>
      </c>
      <c r="P38" s="747">
        <v>5114</v>
      </c>
      <c r="Q38" s="747">
        <v>5098</v>
      </c>
      <c r="R38" s="747">
        <v>4969</v>
      </c>
      <c r="S38" s="747">
        <v>5003</v>
      </c>
      <c r="T38" s="747">
        <v>5180</v>
      </c>
      <c r="U38" s="747">
        <v>5595</v>
      </c>
      <c r="V38" s="747">
        <v>5754</v>
      </c>
      <c r="W38" s="747">
        <v>5690</v>
      </c>
      <c r="X38" s="747">
        <v>5546</v>
      </c>
      <c r="Y38" s="747">
        <v>5239</v>
      </c>
      <c r="Z38" s="747">
        <v>4881</v>
      </c>
      <c r="AA38" s="747">
        <v>4721</v>
      </c>
      <c r="AC38" s="628">
        <f t="shared" si="3"/>
        <v>27</v>
      </c>
      <c r="AD38" s="627">
        <f t="shared" si="4"/>
        <v>68</v>
      </c>
      <c r="AE38" s="627">
        <f t="shared" si="6"/>
        <v>77</v>
      </c>
      <c r="AF38" s="627">
        <f t="shared" si="6"/>
        <v>19</v>
      </c>
      <c r="AG38" s="627">
        <f t="shared" si="6"/>
        <v>49</v>
      </c>
      <c r="AH38" s="627">
        <f t="shared" si="6"/>
        <v>79</v>
      </c>
      <c r="AI38" s="627">
        <f t="shared" si="6"/>
        <v>283</v>
      </c>
      <c r="AJ38" s="627">
        <f t="shared" si="6"/>
        <v>438</v>
      </c>
      <c r="AK38" s="627">
        <f t="shared" si="6"/>
        <v>186</v>
      </c>
      <c r="AL38" s="627">
        <f t="shared" si="6"/>
        <v>104</v>
      </c>
      <c r="AM38" s="627">
        <f t="shared" si="6"/>
        <v>123</v>
      </c>
      <c r="AN38" s="627">
        <f t="shared" si="6"/>
        <v>81</v>
      </c>
      <c r="AO38" s="627">
        <f t="shared" si="6"/>
        <v>102</v>
      </c>
      <c r="AP38" s="627">
        <f t="shared" si="6"/>
        <v>54</v>
      </c>
      <c r="AQ38" s="627">
        <f t="shared" si="6"/>
        <v>16</v>
      </c>
      <c r="AR38" s="627">
        <f t="shared" si="6"/>
        <v>129</v>
      </c>
      <c r="AS38" s="627">
        <f t="shared" si="6"/>
        <v>34</v>
      </c>
      <c r="AT38" s="627">
        <f t="shared" si="5"/>
        <v>177</v>
      </c>
      <c r="AU38" s="627">
        <f t="shared" si="5"/>
        <v>415</v>
      </c>
      <c r="AV38" s="627">
        <f t="shared" si="5"/>
        <v>159</v>
      </c>
      <c r="AW38" s="627">
        <f t="shared" si="5"/>
        <v>64</v>
      </c>
      <c r="AX38" s="627">
        <f t="shared" si="5"/>
        <v>144</v>
      </c>
      <c r="AY38" s="627">
        <f t="shared" si="5"/>
        <v>307</v>
      </c>
      <c r="AZ38" s="627">
        <f t="shared" si="5"/>
        <v>358</v>
      </c>
      <c r="BA38" s="627">
        <f t="shared" si="5"/>
        <v>160</v>
      </c>
    </row>
    <row r="39" spans="1:53">
      <c r="A39" s="105">
        <f t="shared" si="2"/>
        <v>28</v>
      </c>
      <c r="B39" s="745">
        <v>42397</v>
      </c>
      <c r="C39" s="746" t="s">
        <v>1771</v>
      </c>
      <c r="D39" s="747">
        <v>4566</v>
      </c>
      <c r="E39" s="747">
        <v>4480</v>
      </c>
      <c r="F39" s="747">
        <v>4459</v>
      </c>
      <c r="G39" s="747">
        <v>4414</v>
      </c>
      <c r="H39" s="747">
        <v>4525</v>
      </c>
      <c r="I39" s="747">
        <v>4841</v>
      </c>
      <c r="J39" s="747">
        <v>5290</v>
      </c>
      <c r="K39" s="747">
        <v>5497</v>
      </c>
      <c r="L39" s="747">
        <v>5396</v>
      </c>
      <c r="M39" s="747">
        <v>5268</v>
      </c>
      <c r="N39" s="747">
        <v>5189</v>
      </c>
      <c r="O39" s="747">
        <v>5106</v>
      </c>
      <c r="P39" s="747">
        <v>5026</v>
      </c>
      <c r="Q39" s="747">
        <v>4989</v>
      </c>
      <c r="R39" s="747">
        <v>4955</v>
      </c>
      <c r="S39" s="747">
        <v>4990</v>
      </c>
      <c r="T39" s="747">
        <v>5172</v>
      </c>
      <c r="U39" s="747">
        <v>5496</v>
      </c>
      <c r="V39" s="747">
        <v>5647</v>
      </c>
      <c r="W39" s="747">
        <v>5542</v>
      </c>
      <c r="X39" s="747">
        <v>5400</v>
      </c>
      <c r="Y39" s="747">
        <v>5127</v>
      </c>
      <c r="Z39" s="747">
        <v>4718</v>
      </c>
      <c r="AA39" s="747">
        <v>4399</v>
      </c>
      <c r="AC39" s="628">
        <f t="shared" si="3"/>
        <v>28</v>
      </c>
      <c r="AD39" s="627">
        <f t="shared" si="4"/>
        <v>155</v>
      </c>
      <c r="AE39" s="627">
        <f t="shared" si="6"/>
        <v>86</v>
      </c>
      <c r="AF39" s="627">
        <f t="shared" si="6"/>
        <v>21</v>
      </c>
      <c r="AG39" s="627">
        <f t="shared" si="6"/>
        <v>45</v>
      </c>
      <c r="AH39" s="627">
        <f t="shared" si="6"/>
        <v>111</v>
      </c>
      <c r="AI39" s="627">
        <f t="shared" si="6"/>
        <v>316</v>
      </c>
      <c r="AJ39" s="627">
        <f t="shared" si="6"/>
        <v>449</v>
      </c>
      <c r="AK39" s="627">
        <f t="shared" si="6"/>
        <v>207</v>
      </c>
      <c r="AL39" s="627">
        <f t="shared" si="6"/>
        <v>101</v>
      </c>
      <c r="AM39" s="627">
        <f t="shared" si="6"/>
        <v>128</v>
      </c>
      <c r="AN39" s="627">
        <f t="shared" si="6"/>
        <v>79</v>
      </c>
      <c r="AO39" s="627">
        <f t="shared" si="6"/>
        <v>83</v>
      </c>
      <c r="AP39" s="627">
        <f t="shared" si="6"/>
        <v>80</v>
      </c>
      <c r="AQ39" s="627">
        <f t="shared" si="6"/>
        <v>37</v>
      </c>
      <c r="AR39" s="627">
        <f t="shared" si="6"/>
        <v>34</v>
      </c>
      <c r="AS39" s="627">
        <f t="shared" si="6"/>
        <v>35</v>
      </c>
      <c r="AT39" s="627">
        <f t="shared" si="5"/>
        <v>182</v>
      </c>
      <c r="AU39" s="627">
        <f t="shared" si="5"/>
        <v>324</v>
      </c>
      <c r="AV39" s="627">
        <f t="shared" si="5"/>
        <v>151</v>
      </c>
      <c r="AW39" s="627">
        <f t="shared" si="5"/>
        <v>105</v>
      </c>
      <c r="AX39" s="627">
        <f t="shared" si="5"/>
        <v>142</v>
      </c>
      <c r="AY39" s="627">
        <f t="shared" si="5"/>
        <v>273</v>
      </c>
      <c r="AZ39" s="627">
        <f t="shared" si="5"/>
        <v>409</v>
      </c>
      <c r="BA39" s="627">
        <f t="shared" si="5"/>
        <v>319</v>
      </c>
    </row>
    <row r="40" spans="1:53">
      <c r="A40" s="105">
        <f t="shared" si="2"/>
        <v>29</v>
      </c>
      <c r="B40" s="745">
        <v>42398</v>
      </c>
      <c r="C40" s="746" t="s">
        <v>1771</v>
      </c>
      <c r="D40" s="747">
        <v>4226</v>
      </c>
      <c r="E40" s="747">
        <v>4259</v>
      </c>
      <c r="F40" s="747">
        <v>4352</v>
      </c>
      <c r="G40" s="747">
        <v>4355</v>
      </c>
      <c r="H40" s="747">
        <v>4469</v>
      </c>
      <c r="I40" s="747">
        <v>4777</v>
      </c>
      <c r="J40" s="747">
        <v>5213</v>
      </c>
      <c r="K40" s="747">
        <v>5422</v>
      </c>
      <c r="L40" s="747">
        <v>5360</v>
      </c>
      <c r="M40" s="747">
        <v>5236</v>
      </c>
      <c r="N40" s="747">
        <v>5117</v>
      </c>
      <c r="O40" s="747">
        <v>5038</v>
      </c>
      <c r="P40" s="747">
        <v>4952</v>
      </c>
      <c r="Q40" s="747">
        <v>4897</v>
      </c>
      <c r="R40" s="747">
        <v>4881</v>
      </c>
      <c r="S40" s="747">
        <v>4887</v>
      </c>
      <c r="T40" s="747">
        <v>5036</v>
      </c>
      <c r="U40" s="747">
        <v>5393</v>
      </c>
      <c r="V40" s="747">
        <v>5460</v>
      </c>
      <c r="W40" s="747">
        <v>5353</v>
      </c>
      <c r="X40" s="747">
        <v>5205</v>
      </c>
      <c r="Y40" s="747">
        <v>4992</v>
      </c>
      <c r="Z40" s="747">
        <v>4827</v>
      </c>
      <c r="AA40" s="747">
        <v>4620</v>
      </c>
      <c r="AC40" s="628">
        <f t="shared" si="3"/>
        <v>29</v>
      </c>
      <c r="AD40" s="627">
        <f t="shared" si="4"/>
        <v>173</v>
      </c>
      <c r="AE40" s="627">
        <f t="shared" si="6"/>
        <v>33</v>
      </c>
      <c r="AF40" s="627">
        <f t="shared" si="6"/>
        <v>93</v>
      </c>
      <c r="AG40" s="627">
        <f t="shared" si="6"/>
        <v>3</v>
      </c>
      <c r="AH40" s="627">
        <f t="shared" si="6"/>
        <v>114</v>
      </c>
      <c r="AI40" s="627">
        <f t="shared" si="6"/>
        <v>308</v>
      </c>
      <c r="AJ40" s="627">
        <f t="shared" si="6"/>
        <v>436</v>
      </c>
      <c r="AK40" s="627">
        <f t="shared" si="6"/>
        <v>209</v>
      </c>
      <c r="AL40" s="627">
        <f t="shared" si="6"/>
        <v>62</v>
      </c>
      <c r="AM40" s="627">
        <f t="shared" si="6"/>
        <v>124</v>
      </c>
      <c r="AN40" s="627">
        <f t="shared" si="6"/>
        <v>119</v>
      </c>
      <c r="AO40" s="627">
        <f t="shared" si="6"/>
        <v>79</v>
      </c>
      <c r="AP40" s="627">
        <f t="shared" si="6"/>
        <v>86</v>
      </c>
      <c r="AQ40" s="627">
        <f t="shared" si="6"/>
        <v>55</v>
      </c>
      <c r="AR40" s="627">
        <f t="shared" si="6"/>
        <v>16</v>
      </c>
      <c r="AS40" s="627">
        <f t="shared" si="6"/>
        <v>6</v>
      </c>
      <c r="AT40" s="627">
        <f t="shared" si="5"/>
        <v>149</v>
      </c>
      <c r="AU40" s="627">
        <f t="shared" si="5"/>
        <v>357</v>
      </c>
      <c r="AV40" s="627">
        <f t="shared" si="5"/>
        <v>67</v>
      </c>
      <c r="AW40" s="627">
        <f t="shared" si="5"/>
        <v>107</v>
      </c>
      <c r="AX40" s="627">
        <f t="shared" si="5"/>
        <v>148</v>
      </c>
      <c r="AY40" s="627">
        <f t="shared" si="5"/>
        <v>213</v>
      </c>
      <c r="AZ40" s="627">
        <f t="shared" si="5"/>
        <v>165</v>
      </c>
      <c r="BA40" s="627">
        <f t="shared" si="5"/>
        <v>207</v>
      </c>
    </row>
    <row r="41" spans="1:53">
      <c r="A41" s="105">
        <f t="shared" si="2"/>
        <v>30</v>
      </c>
      <c r="B41" s="745">
        <v>42399</v>
      </c>
      <c r="C41" s="746" t="s">
        <v>1771</v>
      </c>
      <c r="D41" s="747">
        <v>4409</v>
      </c>
      <c r="E41" s="747">
        <v>4312</v>
      </c>
      <c r="F41" s="747">
        <v>4251</v>
      </c>
      <c r="G41" s="747">
        <v>4139</v>
      </c>
      <c r="H41" s="747">
        <v>4146</v>
      </c>
      <c r="I41" s="747">
        <v>4206</v>
      </c>
      <c r="J41" s="747">
        <v>4373</v>
      </c>
      <c r="K41" s="747">
        <v>4564</v>
      </c>
      <c r="L41" s="747">
        <v>4721</v>
      </c>
      <c r="M41" s="747">
        <v>4769</v>
      </c>
      <c r="N41" s="747">
        <v>4722</v>
      </c>
      <c r="O41" s="747">
        <v>4648</v>
      </c>
      <c r="P41" s="747">
        <v>4589</v>
      </c>
      <c r="Q41" s="747">
        <v>4529</v>
      </c>
      <c r="R41" s="747">
        <v>4528</v>
      </c>
      <c r="S41" s="747">
        <v>4586</v>
      </c>
      <c r="T41" s="747">
        <v>4819</v>
      </c>
      <c r="U41" s="747">
        <v>5266</v>
      </c>
      <c r="V41" s="747">
        <v>5383</v>
      </c>
      <c r="W41" s="747">
        <v>5301</v>
      </c>
      <c r="X41" s="747">
        <v>5187</v>
      </c>
      <c r="Y41" s="747">
        <v>4999</v>
      </c>
      <c r="Z41" s="747">
        <v>4719</v>
      </c>
      <c r="AA41" s="747">
        <v>4453</v>
      </c>
      <c r="AC41" s="628">
        <f t="shared" si="3"/>
        <v>30</v>
      </c>
      <c r="AD41" s="627">
        <f t="shared" si="4"/>
        <v>211</v>
      </c>
      <c r="AE41" s="627">
        <f t="shared" si="6"/>
        <v>97</v>
      </c>
      <c r="AF41" s="627">
        <f t="shared" si="6"/>
        <v>61</v>
      </c>
      <c r="AG41" s="627">
        <f t="shared" si="6"/>
        <v>112</v>
      </c>
      <c r="AH41" s="627">
        <f t="shared" si="6"/>
        <v>7</v>
      </c>
      <c r="AI41" s="627">
        <f t="shared" si="6"/>
        <v>60</v>
      </c>
      <c r="AJ41" s="627">
        <f t="shared" si="6"/>
        <v>167</v>
      </c>
      <c r="AK41" s="627">
        <f t="shared" si="6"/>
        <v>191</v>
      </c>
      <c r="AL41" s="627">
        <f t="shared" si="6"/>
        <v>157</v>
      </c>
      <c r="AM41" s="627">
        <f t="shared" si="6"/>
        <v>48</v>
      </c>
      <c r="AN41" s="627">
        <f t="shared" si="6"/>
        <v>47</v>
      </c>
      <c r="AO41" s="627">
        <f t="shared" si="6"/>
        <v>74</v>
      </c>
      <c r="AP41" s="627">
        <f t="shared" si="6"/>
        <v>59</v>
      </c>
      <c r="AQ41" s="627">
        <f t="shared" si="6"/>
        <v>60</v>
      </c>
      <c r="AR41" s="627">
        <f t="shared" si="6"/>
        <v>1</v>
      </c>
      <c r="AS41" s="627">
        <f t="shared" si="6"/>
        <v>58</v>
      </c>
      <c r="AT41" s="627">
        <f t="shared" si="5"/>
        <v>233</v>
      </c>
      <c r="AU41" s="627">
        <f t="shared" si="5"/>
        <v>447</v>
      </c>
      <c r="AV41" s="627">
        <f t="shared" si="5"/>
        <v>117</v>
      </c>
      <c r="AW41" s="627">
        <f t="shared" si="5"/>
        <v>82</v>
      </c>
      <c r="AX41" s="627">
        <f t="shared" si="5"/>
        <v>114</v>
      </c>
      <c r="AY41" s="627">
        <f t="shared" si="5"/>
        <v>188</v>
      </c>
      <c r="AZ41" s="627">
        <f t="shared" si="5"/>
        <v>280</v>
      </c>
      <c r="BA41" s="627">
        <f t="shared" si="5"/>
        <v>266</v>
      </c>
    </row>
    <row r="42" spans="1:53">
      <c r="A42" s="105">
        <f t="shared" si="2"/>
        <v>31</v>
      </c>
      <c r="B42" s="745">
        <v>42400</v>
      </c>
      <c r="C42" s="746" t="s">
        <v>1771</v>
      </c>
      <c r="D42" s="747">
        <v>4414</v>
      </c>
      <c r="E42" s="747">
        <v>4395</v>
      </c>
      <c r="F42" s="747">
        <v>4330</v>
      </c>
      <c r="G42" s="747">
        <v>4326</v>
      </c>
      <c r="H42" s="747">
        <v>4361</v>
      </c>
      <c r="I42" s="747">
        <v>4427</v>
      </c>
      <c r="J42" s="747">
        <v>4548</v>
      </c>
      <c r="K42" s="747">
        <v>4709</v>
      </c>
      <c r="L42" s="747">
        <v>4823</v>
      </c>
      <c r="M42" s="747">
        <v>4917</v>
      </c>
      <c r="N42" s="747">
        <v>5035</v>
      </c>
      <c r="O42" s="747">
        <v>5030</v>
      </c>
      <c r="P42" s="747">
        <v>5076</v>
      </c>
      <c r="Q42" s="747">
        <v>5094</v>
      </c>
      <c r="R42" s="747">
        <v>5099</v>
      </c>
      <c r="S42" s="747">
        <v>5240</v>
      </c>
      <c r="T42" s="747">
        <v>5424</v>
      </c>
      <c r="U42" s="747">
        <v>5840</v>
      </c>
      <c r="V42" s="747">
        <v>5904</v>
      </c>
      <c r="W42" s="747">
        <v>5780</v>
      </c>
      <c r="X42" s="747">
        <v>5642</v>
      </c>
      <c r="Y42" s="747">
        <v>5324</v>
      </c>
      <c r="Z42" s="747">
        <v>4930</v>
      </c>
      <c r="AA42" s="747">
        <v>4609</v>
      </c>
      <c r="AC42" s="628">
        <f t="shared" si="3"/>
        <v>31</v>
      </c>
      <c r="AD42" s="627">
        <f t="shared" si="4"/>
        <v>39</v>
      </c>
      <c r="AE42" s="627">
        <f t="shared" si="6"/>
        <v>19</v>
      </c>
      <c r="AF42" s="627">
        <f t="shared" si="6"/>
        <v>65</v>
      </c>
      <c r="AG42" s="627">
        <f t="shared" si="6"/>
        <v>4</v>
      </c>
      <c r="AH42" s="627">
        <f t="shared" si="6"/>
        <v>35</v>
      </c>
      <c r="AI42" s="627">
        <f t="shared" si="6"/>
        <v>66</v>
      </c>
      <c r="AJ42" s="627">
        <f t="shared" si="6"/>
        <v>121</v>
      </c>
      <c r="AK42" s="627">
        <f t="shared" si="6"/>
        <v>161</v>
      </c>
      <c r="AL42" s="627">
        <f t="shared" si="6"/>
        <v>114</v>
      </c>
      <c r="AM42" s="627">
        <f t="shared" si="6"/>
        <v>94</v>
      </c>
      <c r="AN42" s="627">
        <f t="shared" si="6"/>
        <v>118</v>
      </c>
      <c r="AO42" s="627">
        <f t="shared" si="6"/>
        <v>5</v>
      </c>
      <c r="AP42" s="627">
        <f t="shared" si="6"/>
        <v>46</v>
      </c>
      <c r="AQ42" s="627">
        <f t="shared" si="6"/>
        <v>18</v>
      </c>
      <c r="AR42" s="627">
        <f t="shared" si="6"/>
        <v>5</v>
      </c>
      <c r="AS42" s="627">
        <f t="shared" si="6"/>
        <v>141</v>
      </c>
      <c r="AT42" s="627">
        <f t="shared" si="5"/>
        <v>184</v>
      </c>
      <c r="AU42" s="627">
        <f t="shared" si="5"/>
        <v>416</v>
      </c>
      <c r="AV42" s="627">
        <f t="shared" si="5"/>
        <v>64</v>
      </c>
      <c r="AW42" s="627">
        <f t="shared" si="5"/>
        <v>124</v>
      </c>
      <c r="AX42" s="627">
        <f t="shared" si="5"/>
        <v>138</v>
      </c>
      <c r="AY42" s="627">
        <f t="shared" si="5"/>
        <v>318</v>
      </c>
      <c r="AZ42" s="627">
        <f t="shared" si="5"/>
        <v>394</v>
      </c>
      <c r="BA42" s="627">
        <f t="shared" si="5"/>
        <v>321</v>
      </c>
    </row>
    <row r="43" spans="1:53">
      <c r="A43" s="105">
        <f t="shared" si="2"/>
        <v>32</v>
      </c>
      <c r="B43" s="745">
        <v>42401</v>
      </c>
      <c r="C43" s="746" t="s">
        <v>1771</v>
      </c>
      <c r="D43" s="747">
        <v>4433</v>
      </c>
      <c r="E43" s="747">
        <v>4399</v>
      </c>
      <c r="F43" s="747">
        <v>4489</v>
      </c>
      <c r="G43" s="747">
        <v>4625</v>
      </c>
      <c r="H43" s="747">
        <v>4740</v>
      </c>
      <c r="I43" s="747">
        <v>4858</v>
      </c>
      <c r="J43" s="747">
        <v>5362</v>
      </c>
      <c r="K43" s="747">
        <v>5589</v>
      </c>
      <c r="L43" s="747">
        <v>5845</v>
      </c>
      <c r="M43" s="747">
        <v>5965</v>
      </c>
      <c r="N43" s="747">
        <v>6017</v>
      </c>
      <c r="O43" s="747">
        <v>5994</v>
      </c>
      <c r="P43" s="747">
        <v>5926</v>
      </c>
      <c r="Q43" s="747">
        <v>5942</v>
      </c>
      <c r="R43" s="747">
        <v>5939</v>
      </c>
      <c r="S43" s="747">
        <v>5868</v>
      </c>
      <c r="T43" s="747">
        <v>5951</v>
      </c>
      <c r="U43" s="747">
        <v>6364</v>
      </c>
      <c r="V43" s="747">
        <v>6413</v>
      </c>
      <c r="W43" s="747">
        <v>6217</v>
      </c>
      <c r="X43" s="747">
        <v>5994</v>
      </c>
      <c r="Y43" s="747">
        <v>5624</v>
      </c>
      <c r="Z43" s="747">
        <v>5204</v>
      </c>
      <c r="AA43" s="747">
        <v>4855</v>
      </c>
      <c r="AB43" s="627">
        <f>MAX(D43:AA71)</f>
        <v>6421</v>
      </c>
      <c r="AC43" s="628">
        <f t="shared" si="3"/>
        <v>32</v>
      </c>
      <c r="AD43" s="627">
        <f t="shared" si="4"/>
        <v>176</v>
      </c>
      <c r="AE43" s="627">
        <f t="shared" si="6"/>
        <v>34</v>
      </c>
      <c r="AF43" s="627">
        <f t="shared" si="6"/>
        <v>90</v>
      </c>
      <c r="AG43" s="627">
        <f t="shared" si="6"/>
        <v>136</v>
      </c>
      <c r="AH43" s="627">
        <f t="shared" si="6"/>
        <v>115</v>
      </c>
      <c r="AI43" s="627">
        <f t="shared" si="6"/>
        <v>118</v>
      </c>
      <c r="AJ43" s="627">
        <f t="shared" si="6"/>
        <v>504</v>
      </c>
      <c r="AK43" s="627">
        <f t="shared" si="6"/>
        <v>227</v>
      </c>
      <c r="AL43" s="627">
        <f t="shared" si="6"/>
        <v>256</v>
      </c>
      <c r="AM43" s="627">
        <f t="shared" si="6"/>
        <v>120</v>
      </c>
      <c r="AN43" s="627">
        <f t="shared" si="6"/>
        <v>52</v>
      </c>
      <c r="AO43" s="627">
        <f t="shared" si="6"/>
        <v>23</v>
      </c>
      <c r="AP43" s="627">
        <f t="shared" si="6"/>
        <v>68</v>
      </c>
      <c r="AQ43" s="627">
        <f t="shared" si="6"/>
        <v>16</v>
      </c>
      <c r="AR43" s="627">
        <f t="shared" si="6"/>
        <v>3</v>
      </c>
      <c r="AS43" s="627">
        <f t="shared" si="6"/>
        <v>71</v>
      </c>
      <c r="AT43" s="627">
        <f t="shared" si="5"/>
        <v>83</v>
      </c>
      <c r="AU43" s="627">
        <f t="shared" si="5"/>
        <v>413</v>
      </c>
      <c r="AV43" s="627">
        <f t="shared" si="5"/>
        <v>49</v>
      </c>
      <c r="AW43" s="627">
        <f t="shared" si="5"/>
        <v>196</v>
      </c>
      <c r="AX43" s="627">
        <f t="shared" si="5"/>
        <v>223</v>
      </c>
      <c r="AY43" s="627">
        <f t="shared" si="5"/>
        <v>370</v>
      </c>
      <c r="AZ43" s="627">
        <f t="shared" si="5"/>
        <v>420</v>
      </c>
      <c r="BA43" s="627">
        <f t="shared" si="5"/>
        <v>349</v>
      </c>
    </row>
    <row r="44" spans="1:53">
      <c r="A44" s="105">
        <f t="shared" si="2"/>
        <v>33</v>
      </c>
      <c r="B44" s="745">
        <v>42402</v>
      </c>
      <c r="C44" s="746" t="s">
        <v>1771</v>
      </c>
      <c r="D44" s="747">
        <v>4784</v>
      </c>
      <c r="E44" s="747">
        <v>4773</v>
      </c>
      <c r="F44" s="747">
        <v>4814</v>
      </c>
      <c r="G44" s="747">
        <v>4825</v>
      </c>
      <c r="H44" s="747">
        <v>4922</v>
      </c>
      <c r="I44" s="747">
        <v>5146</v>
      </c>
      <c r="J44" s="747">
        <v>5513</v>
      </c>
      <c r="K44" s="747">
        <v>5640</v>
      </c>
      <c r="L44" s="747">
        <v>5714</v>
      </c>
      <c r="M44" s="747">
        <v>5814</v>
      </c>
      <c r="N44" s="747">
        <v>5858</v>
      </c>
      <c r="O44" s="747">
        <v>5832</v>
      </c>
      <c r="P44" s="747">
        <v>5816</v>
      </c>
      <c r="Q44" s="747">
        <v>5773</v>
      </c>
      <c r="R44" s="747">
        <v>5721</v>
      </c>
      <c r="S44" s="747">
        <v>5717</v>
      </c>
      <c r="T44" s="747">
        <v>5790</v>
      </c>
      <c r="U44" s="747">
        <v>6258</v>
      </c>
      <c r="V44" s="747">
        <v>6398</v>
      </c>
      <c r="W44" s="747">
        <v>6245</v>
      </c>
      <c r="X44" s="747">
        <v>6034</v>
      </c>
      <c r="Y44" s="747">
        <v>5700</v>
      </c>
      <c r="Z44" s="747">
        <v>5283</v>
      </c>
      <c r="AA44" s="747">
        <v>4962</v>
      </c>
      <c r="AC44" s="628">
        <f t="shared" si="3"/>
        <v>33</v>
      </c>
      <c r="AD44" s="627">
        <f t="shared" si="4"/>
        <v>71</v>
      </c>
      <c r="AE44" s="627">
        <f t="shared" si="6"/>
        <v>11</v>
      </c>
      <c r="AF44" s="627">
        <f t="shared" si="6"/>
        <v>41</v>
      </c>
      <c r="AG44" s="627">
        <f t="shared" si="6"/>
        <v>11</v>
      </c>
      <c r="AH44" s="627">
        <f t="shared" si="6"/>
        <v>97</v>
      </c>
      <c r="AI44" s="627">
        <f t="shared" si="6"/>
        <v>224</v>
      </c>
      <c r="AJ44" s="627">
        <f t="shared" si="6"/>
        <v>367</v>
      </c>
      <c r="AK44" s="627">
        <f t="shared" si="6"/>
        <v>127</v>
      </c>
      <c r="AL44" s="627">
        <f t="shared" si="6"/>
        <v>74</v>
      </c>
      <c r="AM44" s="627">
        <f t="shared" si="6"/>
        <v>100</v>
      </c>
      <c r="AN44" s="627">
        <f t="shared" si="6"/>
        <v>44</v>
      </c>
      <c r="AO44" s="627">
        <f t="shared" si="6"/>
        <v>26</v>
      </c>
      <c r="AP44" s="627">
        <f t="shared" si="6"/>
        <v>16</v>
      </c>
      <c r="AQ44" s="627">
        <f t="shared" si="6"/>
        <v>43</v>
      </c>
      <c r="AR44" s="627">
        <f t="shared" si="6"/>
        <v>52</v>
      </c>
      <c r="AS44" s="627">
        <f t="shared" si="6"/>
        <v>4</v>
      </c>
      <c r="AT44" s="627">
        <f t="shared" si="5"/>
        <v>73</v>
      </c>
      <c r="AU44" s="627">
        <f t="shared" si="5"/>
        <v>468</v>
      </c>
      <c r="AV44" s="627">
        <f t="shared" si="5"/>
        <v>140</v>
      </c>
      <c r="AW44" s="627">
        <f t="shared" si="5"/>
        <v>153</v>
      </c>
      <c r="AX44" s="627">
        <f t="shared" si="5"/>
        <v>211</v>
      </c>
      <c r="AY44" s="627">
        <f t="shared" si="5"/>
        <v>334</v>
      </c>
      <c r="AZ44" s="627">
        <f t="shared" si="5"/>
        <v>417</v>
      </c>
      <c r="BA44" s="627">
        <f t="shared" si="5"/>
        <v>321</v>
      </c>
    </row>
    <row r="45" spans="1:53">
      <c r="A45" s="105">
        <f t="shared" si="2"/>
        <v>34</v>
      </c>
      <c r="B45" s="745">
        <v>42403</v>
      </c>
      <c r="C45" s="746" t="s">
        <v>1771</v>
      </c>
      <c r="D45" s="747">
        <v>4863</v>
      </c>
      <c r="E45" s="747">
        <v>4923</v>
      </c>
      <c r="F45" s="747">
        <v>4936</v>
      </c>
      <c r="G45" s="747">
        <v>4973</v>
      </c>
      <c r="H45" s="747">
        <v>5140</v>
      </c>
      <c r="I45" s="747">
        <v>5366</v>
      </c>
      <c r="J45" s="747">
        <v>5852</v>
      </c>
      <c r="K45" s="747">
        <v>5988</v>
      </c>
      <c r="L45" s="747">
        <v>5892</v>
      </c>
      <c r="M45" s="747">
        <v>5886</v>
      </c>
      <c r="N45" s="747">
        <v>5865</v>
      </c>
      <c r="O45" s="747">
        <v>5799</v>
      </c>
      <c r="P45" s="747">
        <v>5737</v>
      </c>
      <c r="Q45" s="747">
        <v>5647</v>
      </c>
      <c r="R45" s="747">
        <v>5577</v>
      </c>
      <c r="S45" s="747">
        <v>5534</v>
      </c>
      <c r="T45" s="747">
        <v>5667</v>
      </c>
      <c r="U45" s="747">
        <v>6109</v>
      </c>
      <c r="V45" s="747">
        <v>6421</v>
      </c>
      <c r="W45" s="747">
        <v>6297</v>
      </c>
      <c r="X45" s="747">
        <v>6162</v>
      </c>
      <c r="Y45" s="747">
        <v>5831</v>
      </c>
      <c r="Z45" s="747">
        <v>5424</v>
      </c>
      <c r="AA45" s="747">
        <v>5101</v>
      </c>
      <c r="AC45" s="628">
        <f t="shared" si="3"/>
        <v>34</v>
      </c>
      <c r="AD45" s="627">
        <f t="shared" si="4"/>
        <v>99</v>
      </c>
      <c r="AE45" s="627">
        <f t="shared" ref="AE45:AT61" si="7">ABS(E45-D45)</f>
        <v>60</v>
      </c>
      <c r="AF45" s="627">
        <f t="shared" si="7"/>
        <v>13</v>
      </c>
      <c r="AG45" s="627">
        <f t="shared" si="7"/>
        <v>37</v>
      </c>
      <c r="AH45" s="627">
        <f t="shared" si="7"/>
        <v>167</v>
      </c>
      <c r="AI45" s="627">
        <f t="shared" si="7"/>
        <v>226</v>
      </c>
      <c r="AJ45" s="627">
        <f t="shared" si="7"/>
        <v>486</v>
      </c>
      <c r="AK45" s="627">
        <f t="shared" si="7"/>
        <v>136</v>
      </c>
      <c r="AL45" s="627">
        <f t="shared" si="7"/>
        <v>96</v>
      </c>
      <c r="AM45" s="627">
        <f t="shared" si="7"/>
        <v>6</v>
      </c>
      <c r="AN45" s="627">
        <f t="shared" si="7"/>
        <v>21</v>
      </c>
      <c r="AO45" s="627">
        <f t="shared" si="7"/>
        <v>66</v>
      </c>
      <c r="AP45" s="627">
        <f t="shared" si="7"/>
        <v>62</v>
      </c>
      <c r="AQ45" s="627">
        <f t="shared" si="7"/>
        <v>90</v>
      </c>
      <c r="AR45" s="627">
        <f t="shared" si="7"/>
        <v>70</v>
      </c>
      <c r="AS45" s="627">
        <f t="shared" si="7"/>
        <v>43</v>
      </c>
      <c r="AT45" s="627">
        <f t="shared" si="5"/>
        <v>133</v>
      </c>
      <c r="AU45" s="627">
        <f t="shared" si="5"/>
        <v>442</v>
      </c>
      <c r="AV45" s="627">
        <f t="shared" si="5"/>
        <v>312</v>
      </c>
      <c r="AW45" s="627">
        <f t="shared" si="5"/>
        <v>124</v>
      </c>
      <c r="AX45" s="627">
        <f t="shared" si="5"/>
        <v>135</v>
      </c>
      <c r="AY45" s="627">
        <f t="shared" si="5"/>
        <v>331</v>
      </c>
      <c r="AZ45" s="627">
        <f t="shared" si="5"/>
        <v>407</v>
      </c>
      <c r="BA45" s="627">
        <f t="shared" si="5"/>
        <v>323</v>
      </c>
    </row>
    <row r="46" spans="1:53">
      <c r="A46" s="105">
        <f t="shared" si="2"/>
        <v>35</v>
      </c>
      <c r="B46" s="745">
        <v>42404</v>
      </c>
      <c r="C46" s="746" t="s">
        <v>1771</v>
      </c>
      <c r="D46" s="747">
        <v>5105</v>
      </c>
      <c r="E46" s="747">
        <v>5138</v>
      </c>
      <c r="F46" s="747">
        <v>5040</v>
      </c>
      <c r="G46" s="747">
        <v>5107</v>
      </c>
      <c r="H46" s="747">
        <v>5254</v>
      </c>
      <c r="I46" s="747">
        <v>5383</v>
      </c>
      <c r="J46" s="747">
        <v>5828</v>
      </c>
      <c r="K46" s="747">
        <v>5946</v>
      </c>
      <c r="L46" s="747">
        <v>5806</v>
      </c>
      <c r="M46" s="747">
        <v>5776</v>
      </c>
      <c r="N46" s="747">
        <v>5726</v>
      </c>
      <c r="O46" s="747">
        <v>5610</v>
      </c>
      <c r="P46" s="747">
        <v>5491</v>
      </c>
      <c r="Q46" s="747">
        <v>5518</v>
      </c>
      <c r="R46" s="747">
        <v>5598</v>
      </c>
      <c r="S46" s="747">
        <v>5643</v>
      </c>
      <c r="T46" s="747">
        <v>5825</v>
      </c>
      <c r="U46" s="747">
        <v>6181</v>
      </c>
      <c r="V46" s="747">
        <v>6236</v>
      </c>
      <c r="W46" s="747">
        <v>6150</v>
      </c>
      <c r="X46" s="747">
        <v>5992</v>
      </c>
      <c r="Y46" s="747">
        <v>5633</v>
      </c>
      <c r="Z46" s="747">
        <v>5061</v>
      </c>
      <c r="AA46" s="747">
        <v>4890</v>
      </c>
      <c r="AC46" s="628">
        <f t="shared" si="3"/>
        <v>35</v>
      </c>
      <c r="AD46" s="627">
        <f t="shared" si="4"/>
        <v>4</v>
      </c>
      <c r="AE46" s="627">
        <f t="shared" si="7"/>
        <v>33</v>
      </c>
      <c r="AF46" s="627">
        <f t="shared" si="7"/>
        <v>98</v>
      </c>
      <c r="AG46" s="627">
        <f t="shared" si="7"/>
        <v>67</v>
      </c>
      <c r="AH46" s="627">
        <f t="shared" si="7"/>
        <v>147</v>
      </c>
      <c r="AI46" s="627">
        <f t="shared" si="7"/>
        <v>129</v>
      </c>
      <c r="AJ46" s="627">
        <f t="shared" si="7"/>
        <v>445</v>
      </c>
      <c r="AK46" s="627">
        <f t="shared" si="7"/>
        <v>118</v>
      </c>
      <c r="AL46" s="627">
        <f t="shared" si="7"/>
        <v>140</v>
      </c>
      <c r="AM46" s="627">
        <f t="shared" si="7"/>
        <v>30</v>
      </c>
      <c r="AN46" s="627">
        <f t="shared" si="7"/>
        <v>50</v>
      </c>
      <c r="AO46" s="627">
        <f t="shared" si="7"/>
        <v>116</v>
      </c>
      <c r="AP46" s="627">
        <f t="shared" si="7"/>
        <v>119</v>
      </c>
      <c r="AQ46" s="627">
        <f t="shared" si="7"/>
        <v>27</v>
      </c>
      <c r="AR46" s="627">
        <f t="shared" si="7"/>
        <v>80</v>
      </c>
      <c r="AS46" s="627">
        <f t="shared" si="7"/>
        <v>45</v>
      </c>
      <c r="AT46" s="627">
        <f t="shared" si="5"/>
        <v>182</v>
      </c>
      <c r="AU46" s="627">
        <f t="shared" si="5"/>
        <v>356</v>
      </c>
      <c r="AV46" s="627">
        <f t="shared" si="5"/>
        <v>55</v>
      </c>
      <c r="AW46" s="627">
        <f t="shared" si="5"/>
        <v>86</v>
      </c>
      <c r="AX46" s="627">
        <f t="shared" si="5"/>
        <v>158</v>
      </c>
      <c r="AY46" s="627">
        <f t="shared" si="5"/>
        <v>359</v>
      </c>
      <c r="AZ46" s="627">
        <f t="shared" si="5"/>
        <v>572</v>
      </c>
      <c r="BA46" s="627">
        <f t="shared" si="5"/>
        <v>171</v>
      </c>
    </row>
    <row r="47" spans="1:53">
      <c r="A47" s="105">
        <f t="shared" si="2"/>
        <v>36</v>
      </c>
      <c r="B47" s="745">
        <v>42405</v>
      </c>
      <c r="C47" s="746" t="s">
        <v>1771</v>
      </c>
      <c r="D47" s="747">
        <v>4667</v>
      </c>
      <c r="E47" s="747">
        <v>4508</v>
      </c>
      <c r="F47" s="747">
        <v>4527</v>
      </c>
      <c r="G47" s="747">
        <v>4541</v>
      </c>
      <c r="H47" s="747">
        <v>4774</v>
      </c>
      <c r="I47" s="747">
        <v>5232</v>
      </c>
      <c r="J47" s="747">
        <v>5579</v>
      </c>
      <c r="K47" s="747">
        <v>5738</v>
      </c>
      <c r="L47" s="747">
        <v>5705</v>
      </c>
      <c r="M47" s="747">
        <v>5667</v>
      </c>
      <c r="N47" s="747">
        <v>5582</v>
      </c>
      <c r="O47" s="747">
        <v>5504</v>
      </c>
      <c r="P47" s="747">
        <v>5458</v>
      </c>
      <c r="Q47" s="747">
        <v>5400</v>
      </c>
      <c r="R47" s="747">
        <v>5336</v>
      </c>
      <c r="S47" s="747">
        <v>5217</v>
      </c>
      <c r="T47" s="747">
        <v>5344</v>
      </c>
      <c r="U47" s="747">
        <v>5737</v>
      </c>
      <c r="V47" s="747">
        <v>5970</v>
      </c>
      <c r="W47" s="747">
        <v>5888</v>
      </c>
      <c r="X47" s="747">
        <v>5747</v>
      </c>
      <c r="Y47" s="747">
        <v>5529</v>
      </c>
      <c r="Z47" s="747">
        <v>5229</v>
      </c>
      <c r="AA47" s="747">
        <v>4868</v>
      </c>
      <c r="AC47" s="628">
        <f t="shared" si="3"/>
        <v>36</v>
      </c>
      <c r="AD47" s="627">
        <f t="shared" si="4"/>
        <v>223</v>
      </c>
      <c r="AE47" s="627">
        <f t="shared" si="7"/>
        <v>159</v>
      </c>
      <c r="AF47" s="627">
        <f t="shared" si="7"/>
        <v>19</v>
      </c>
      <c r="AG47" s="627">
        <f t="shared" si="7"/>
        <v>14</v>
      </c>
      <c r="AH47" s="627">
        <f t="shared" si="7"/>
        <v>233</v>
      </c>
      <c r="AI47" s="627">
        <f t="shared" si="7"/>
        <v>458</v>
      </c>
      <c r="AJ47" s="627">
        <f t="shared" si="7"/>
        <v>347</v>
      </c>
      <c r="AK47" s="627">
        <f t="shared" si="7"/>
        <v>159</v>
      </c>
      <c r="AL47" s="627">
        <f t="shared" si="7"/>
        <v>33</v>
      </c>
      <c r="AM47" s="627">
        <f t="shared" si="7"/>
        <v>38</v>
      </c>
      <c r="AN47" s="627">
        <f t="shared" si="7"/>
        <v>85</v>
      </c>
      <c r="AO47" s="627">
        <f t="shared" si="7"/>
        <v>78</v>
      </c>
      <c r="AP47" s="627">
        <f t="shared" si="7"/>
        <v>46</v>
      </c>
      <c r="AQ47" s="627">
        <f t="shared" si="7"/>
        <v>58</v>
      </c>
      <c r="AR47" s="627">
        <f t="shared" si="7"/>
        <v>64</v>
      </c>
      <c r="AS47" s="627">
        <f t="shared" si="7"/>
        <v>119</v>
      </c>
      <c r="AT47" s="627">
        <f t="shared" si="5"/>
        <v>127</v>
      </c>
      <c r="AU47" s="627">
        <f t="shared" si="5"/>
        <v>393</v>
      </c>
      <c r="AV47" s="627">
        <f t="shared" si="5"/>
        <v>233</v>
      </c>
      <c r="AW47" s="627">
        <f t="shared" si="5"/>
        <v>82</v>
      </c>
      <c r="AX47" s="627">
        <f t="shared" si="5"/>
        <v>141</v>
      </c>
      <c r="AY47" s="627">
        <f t="shared" si="5"/>
        <v>218</v>
      </c>
      <c r="AZ47" s="627">
        <f t="shared" si="5"/>
        <v>300</v>
      </c>
      <c r="BA47" s="627">
        <f t="shared" si="5"/>
        <v>361</v>
      </c>
    </row>
    <row r="48" spans="1:53">
      <c r="A48" s="105">
        <f t="shared" si="2"/>
        <v>37</v>
      </c>
      <c r="B48" s="745">
        <v>42406</v>
      </c>
      <c r="C48" s="746" t="s">
        <v>1771</v>
      </c>
      <c r="D48" s="747">
        <v>4662</v>
      </c>
      <c r="E48" s="747">
        <v>4594</v>
      </c>
      <c r="F48" s="747">
        <v>4661</v>
      </c>
      <c r="G48" s="747">
        <v>4690</v>
      </c>
      <c r="H48" s="747">
        <v>4773</v>
      </c>
      <c r="I48" s="747">
        <v>4893</v>
      </c>
      <c r="J48" s="747">
        <v>5020</v>
      </c>
      <c r="K48" s="747">
        <v>5058</v>
      </c>
      <c r="L48" s="747">
        <v>5166</v>
      </c>
      <c r="M48" s="747">
        <v>5184</v>
      </c>
      <c r="N48" s="747">
        <v>5301</v>
      </c>
      <c r="O48" s="747">
        <v>5347</v>
      </c>
      <c r="P48" s="747">
        <v>5281</v>
      </c>
      <c r="Q48" s="747">
        <v>5178</v>
      </c>
      <c r="R48" s="747">
        <v>5144</v>
      </c>
      <c r="S48" s="747">
        <v>5053</v>
      </c>
      <c r="T48" s="747">
        <v>5080</v>
      </c>
      <c r="U48" s="747">
        <v>5360</v>
      </c>
      <c r="V48" s="747">
        <v>5649</v>
      </c>
      <c r="W48" s="747">
        <v>5567</v>
      </c>
      <c r="X48" s="747">
        <v>5440</v>
      </c>
      <c r="Y48" s="747">
        <v>5220</v>
      </c>
      <c r="Z48" s="747">
        <v>4927</v>
      </c>
      <c r="AA48" s="747">
        <v>4668</v>
      </c>
      <c r="AC48" s="628">
        <f t="shared" si="3"/>
        <v>37</v>
      </c>
      <c r="AD48" s="627">
        <f t="shared" si="4"/>
        <v>206</v>
      </c>
      <c r="AE48" s="627">
        <f t="shared" si="7"/>
        <v>68</v>
      </c>
      <c r="AF48" s="627">
        <f t="shared" si="7"/>
        <v>67</v>
      </c>
      <c r="AG48" s="627">
        <f t="shared" si="7"/>
        <v>29</v>
      </c>
      <c r="AH48" s="627">
        <f t="shared" si="7"/>
        <v>83</v>
      </c>
      <c r="AI48" s="627">
        <f t="shared" si="7"/>
        <v>120</v>
      </c>
      <c r="AJ48" s="627">
        <f t="shared" si="7"/>
        <v>127</v>
      </c>
      <c r="AK48" s="627">
        <f t="shared" si="7"/>
        <v>38</v>
      </c>
      <c r="AL48" s="627">
        <f t="shared" si="7"/>
        <v>108</v>
      </c>
      <c r="AM48" s="627">
        <f t="shared" si="7"/>
        <v>18</v>
      </c>
      <c r="AN48" s="627">
        <f t="shared" si="7"/>
        <v>117</v>
      </c>
      <c r="AO48" s="627">
        <f t="shared" si="7"/>
        <v>46</v>
      </c>
      <c r="AP48" s="627">
        <f t="shared" si="7"/>
        <v>66</v>
      </c>
      <c r="AQ48" s="627">
        <f t="shared" si="7"/>
        <v>103</v>
      </c>
      <c r="AR48" s="627">
        <f t="shared" si="7"/>
        <v>34</v>
      </c>
      <c r="AS48" s="627">
        <f t="shared" si="7"/>
        <v>91</v>
      </c>
      <c r="AT48" s="627">
        <f t="shared" si="5"/>
        <v>27</v>
      </c>
      <c r="AU48" s="627">
        <f t="shared" si="5"/>
        <v>280</v>
      </c>
      <c r="AV48" s="627">
        <f t="shared" si="5"/>
        <v>289</v>
      </c>
      <c r="AW48" s="627">
        <f t="shared" si="5"/>
        <v>82</v>
      </c>
      <c r="AX48" s="627">
        <f t="shared" si="5"/>
        <v>127</v>
      </c>
      <c r="AY48" s="627">
        <f t="shared" si="5"/>
        <v>220</v>
      </c>
      <c r="AZ48" s="627">
        <f t="shared" si="5"/>
        <v>293</v>
      </c>
      <c r="BA48" s="627">
        <f t="shared" si="5"/>
        <v>259</v>
      </c>
    </row>
    <row r="49" spans="1:53">
      <c r="A49" s="105">
        <f t="shared" si="2"/>
        <v>38</v>
      </c>
      <c r="B49" s="745">
        <v>42407</v>
      </c>
      <c r="C49" s="746" t="s">
        <v>1771</v>
      </c>
      <c r="D49" s="747">
        <v>4507</v>
      </c>
      <c r="E49" s="747">
        <v>4469</v>
      </c>
      <c r="F49" s="747">
        <v>4451</v>
      </c>
      <c r="G49" s="747">
        <v>4461</v>
      </c>
      <c r="H49" s="747">
        <v>4522</v>
      </c>
      <c r="I49" s="747">
        <v>4534</v>
      </c>
      <c r="J49" s="747">
        <v>4630</v>
      </c>
      <c r="K49" s="747">
        <v>4694</v>
      </c>
      <c r="L49" s="747">
        <v>4814</v>
      </c>
      <c r="M49" s="747">
        <v>4917</v>
      </c>
      <c r="N49" s="747">
        <v>4974</v>
      </c>
      <c r="O49" s="747">
        <v>4918</v>
      </c>
      <c r="P49" s="747">
        <v>4903</v>
      </c>
      <c r="Q49" s="747">
        <v>4867</v>
      </c>
      <c r="R49" s="747">
        <v>4913</v>
      </c>
      <c r="S49" s="747">
        <v>4983</v>
      </c>
      <c r="T49" s="747">
        <v>5029</v>
      </c>
      <c r="U49" s="747">
        <v>5125</v>
      </c>
      <c r="V49" s="747">
        <v>5358</v>
      </c>
      <c r="W49" s="747">
        <v>5272</v>
      </c>
      <c r="X49" s="747">
        <v>5211</v>
      </c>
      <c r="Y49" s="747">
        <v>5251</v>
      </c>
      <c r="Z49" s="747">
        <v>4957</v>
      </c>
      <c r="AA49" s="747">
        <v>4750</v>
      </c>
      <c r="AC49" s="628">
        <f t="shared" si="3"/>
        <v>38</v>
      </c>
      <c r="AD49" s="627">
        <f t="shared" si="4"/>
        <v>161</v>
      </c>
      <c r="AE49" s="627">
        <f t="shared" si="7"/>
        <v>38</v>
      </c>
      <c r="AF49" s="627">
        <f t="shared" si="7"/>
        <v>18</v>
      </c>
      <c r="AG49" s="627">
        <f t="shared" si="7"/>
        <v>10</v>
      </c>
      <c r="AH49" s="627">
        <f t="shared" si="7"/>
        <v>61</v>
      </c>
      <c r="AI49" s="627">
        <f t="shared" si="7"/>
        <v>12</v>
      </c>
      <c r="AJ49" s="627">
        <f t="shared" si="7"/>
        <v>96</v>
      </c>
      <c r="AK49" s="627">
        <f t="shared" si="7"/>
        <v>64</v>
      </c>
      <c r="AL49" s="627">
        <f t="shared" si="7"/>
        <v>120</v>
      </c>
      <c r="AM49" s="627">
        <f t="shared" si="7"/>
        <v>103</v>
      </c>
      <c r="AN49" s="627">
        <f t="shared" si="7"/>
        <v>57</v>
      </c>
      <c r="AO49" s="627">
        <f t="shared" si="7"/>
        <v>56</v>
      </c>
      <c r="AP49" s="627">
        <f t="shared" si="7"/>
        <v>15</v>
      </c>
      <c r="AQ49" s="627">
        <f t="shared" si="7"/>
        <v>36</v>
      </c>
      <c r="AR49" s="627">
        <f t="shared" si="7"/>
        <v>46</v>
      </c>
      <c r="AS49" s="627">
        <f t="shared" si="7"/>
        <v>70</v>
      </c>
      <c r="AT49" s="627">
        <f t="shared" si="5"/>
        <v>46</v>
      </c>
      <c r="AU49" s="627">
        <f t="shared" si="5"/>
        <v>96</v>
      </c>
      <c r="AV49" s="627">
        <f t="shared" si="5"/>
        <v>233</v>
      </c>
      <c r="AW49" s="627">
        <f t="shared" si="5"/>
        <v>86</v>
      </c>
      <c r="AX49" s="627">
        <f t="shared" si="5"/>
        <v>61</v>
      </c>
      <c r="AY49" s="627">
        <f t="shared" si="5"/>
        <v>40</v>
      </c>
      <c r="AZ49" s="627">
        <f t="shared" si="5"/>
        <v>294</v>
      </c>
      <c r="BA49" s="627">
        <f t="shared" si="5"/>
        <v>207</v>
      </c>
    </row>
    <row r="50" spans="1:53">
      <c r="A50" s="105">
        <f t="shared" si="2"/>
        <v>39</v>
      </c>
      <c r="B50" s="745">
        <v>42408</v>
      </c>
      <c r="C50" s="746" t="s">
        <v>1771</v>
      </c>
      <c r="D50" s="747">
        <v>4743</v>
      </c>
      <c r="E50" s="747">
        <v>4664</v>
      </c>
      <c r="F50" s="747">
        <v>4655</v>
      </c>
      <c r="G50" s="747">
        <v>4703</v>
      </c>
      <c r="H50" s="747">
        <v>4796</v>
      </c>
      <c r="I50" s="747">
        <v>5020</v>
      </c>
      <c r="J50" s="747">
        <v>5422</v>
      </c>
      <c r="K50" s="747">
        <v>5595</v>
      </c>
      <c r="L50" s="747">
        <v>5504</v>
      </c>
      <c r="M50" s="747">
        <v>5381</v>
      </c>
      <c r="N50" s="747">
        <v>5299</v>
      </c>
      <c r="O50" s="747">
        <v>5249</v>
      </c>
      <c r="P50" s="747">
        <v>5169</v>
      </c>
      <c r="Q50" s="747">
        <v>5080</v>
      </c>
      <c r="R50" s="747">
        <v>5051</v>
      </c>
      <c r="S50" s="747">
        <v>5019</v>
      </c>
      <c r="T50" s="747">
        <v>5238</v>
      </c>
      <c r="U50" s="747">
        <v>5647</v>
      </c>
      <c r="V50" s="747">
        <v>5901</v>
      </c>
      <c r="W50" s="747">
        <v>5812</v>
      </c>
      <c r="X50" s="747">
        <v>5646</v>
      </c>
      <c r="Y50" s="747">
        <v>5423</v>
      </c>
      <c r="Z50" s="747">
        <v>5048</v>
      </c>
      <c r="AA50" s="747">
        <v>4713</v>
      </c>
      <c r="AC50" s="628">
        <f t="shared" si="3"/>
        <v>39</v>
      </c>
      <c r="AD50" s="627">
        <f t="shared" si="4"/>
        <v>7</v>
      </c>
      <c r="AE50" s="627">
        <f t="shared" si="7"/>
        <v>79</v>
      </c>
      <c r="AF50" s="627">
        <f t="shared" si="7"/>
        <v>9</v>
      </c>
      <c r="AG50" s="627">
        <f t="shared" si="7"/>
        <v>48</v>
      </c>
      <c r="AH50" s="627">
        <f t="shared" si="7"/>
        <v>93</v>
      </c>
      <c r="AI50" s="627">
        <f t="shared" si="7"/>
        <v>224</v>
      </c>
      <c r="AJ50" s="627">
        <f t="shared" si="7"/>
        <v>402</v>
      </c>
      <c r="AK50" s="627">
        <f t="shared" si="7"/>
        <v>173</v>
      </c>
      <c r="AL50" s="627">
        <f t="shared" si="7"/>
        <v>91</v>
      </c>
      <c r="AM50" s="627">
        <f t="shared" si="7"/>
        <v>123</v>
      </c>
      <c r="AN50" s="627">
        <f t="shared" si="7"/>
        <v>82</v>
      </c>
      <c r="AO50" s="627">
        <f t="shared" si="7"/>
        <v>50</v>
      </c>
      <c r="AP50" s="627">
        <f t="shared" si="7"/>
        <v>80</v>
      </c>
      <c r="AQ50" s="627">
        <f t="shared" si="7"/>
        <v>89</v>
      </c>
      <c r="AR50" s="627">
        <f t="shared" si="7"/>
        <v>29</v>
      </c>
      <c r="AS50" s="627">
        <f t="shared" si="7"/>
        <v>32</v>
      </c>
      <c r="AT50" s="627">
        <f t="shared" si="5"/>
        <v>219</v>
      </c>
      <c r="AU50" s="627">
        <f t="shared" si="5"/>
        <v>409</v>
      </c>
      <c r="AV50" s="627">
        <f t="shared" si="5"/>
        <v>254</v>
      </c>
      <c r="AW50" s="627">
        <f t="shared" si="5"/>
        <v>89</v>
      </c>
      <c r="AX50" s="627">
        <f t="shared" si="5"/>
        <v>166</v>
      </c>
      <c r="AY50" s="627">
        <f t="shared" si="5"/>
        <v>223</v>
      </c>
      <c r="AZ50" s="627">
        <f t="shared" si="5"/>
        <v>375</v>
      </c>
      <c r="BA50" s="627">
        <f t="shared" si="5"/>
        <v>335</v>
      </c>
    </row>
    <row r="51" spans="1:53">
      <c r="A51" s="105">
        <f t="shared" si="2"/>
        <v>40</v>
      </c>
      <c r="B51" s="745">
        <v>42409</v>
      </c>
      <c r="C51" s="746" t="s">
        <v>1771</v>
      </c>
      <c r="D51" s="747">
        <v>4527</v>
      </c>
      <c r="E51" s="747">
        <v>4544</v>
      </c>
      <c r="F51" s="747">
        <v>4536</v>
      </c>
      <c r="G51" s="747">
        <v>4488</v>
      </c>
      <c r="H51" s="747">
        <v>4585</v>
      </c>
      <c r="I51" s="747">
        <v>4829</v>
      </c>
      <c r="J51" s="747">
        <v>5349</v>
      </c>
      <c r="K51" s="747">
        <v>5505</v>
      </c>
      <c r="L51" s="747">
        <v>5374</v>
      </c>
      <c r="M51" s="747">
        <v>5304</v>
      </c>
      <c r="N51" s="747">
        <v>5138</v>
      </c>
      <c r="O51" s="747">
        <v>5085</v>
      </c>
      <c r="P51" s="747">
        <v>5070</v>
      </c>
      <c r="Q51" s="747">
        <v>5033</v>
      </c>
      <c r="R51" s="747">
        <v>4988</v>
      </c>
      <c r="S51" s="747">
        <v>5013</v>
      </c>
      <c r="T51" s="747">
        <v>5222</v>
      </c>
      <c r="U51" s="747">
        <v>5490</v>
      </c>
      <c r="V51" s="747">
        <v>5763</v>
      </c>
      <c r="W51" s="747">
        <v>5681</v>
      </c>
      <c r="X51" s="747">
        <v>5523</v>
      </c>
      <c r="Y51" s="747">
        <v>5219</v>
      </c>
      <c r="Z51" s="747">
        <v>4851</v>
      </c>
      <c r="AA51" s="747">
        <v>4572</v>
      </c>
      <c r="AC51" s="628">
        <f t="shared" si="3"/>
        <v>40</v>
      </c>
      <c r="AD51" s="627">
        <f t="shared" si="4"/>
        <v>186</v>
      </c>
      <c r="AE51" s="627">
        <f t="shared" si="7"/>
        <v>17</v>
      </c>
      <c r="AF51" s="627">
        <f t="shared" si="7"/>
        <v>8</v>
      </c>
      <c r="AG51" s="627">
        <f t="shared" si="7"/>
        <v>48</v>
      </c>
      <c r="AH51" s="627">
        <f t="shared" si="7"/>
        <v>97</v>
      </c>
      <c r="AI51" s="627">
        <f t="shared" si="7"/>
        <v>244</v>
      </c>
      <c r="AJ51" s="627">
        <f t="shared" si="7"/>
        <v>520</v>
      </c>
      <c r="AK51" s="627">
        <f t="shared" si="7"/>
        <v>156</v>
      </c>
      <c r="AL51" s="627">
        <f t="shared" si="7"/>
        <v>131</v>
      </c>
      <c r="AM51" s="627">
        <f t="shared" si="7"/>
        <v>70</v>
      </c>
      <c r="AN51" s="627">
        <f t="shared" si="7"/>
        <v>166</v>
      </c>
      <c r="AO51" s="627">
        <f t="shared" si="7"/>
        <v>53</v>
      </c>
      <c r="AP51" s="627">
        <f t="shared" si="7"/>
        <v>15</v>
      </c>
      <c r="AQ51" s="627">
        <f t="shared" si="7"/>
        <v>37</v>
      </c>
      <c r="AR51" s="627">
        <f t="shared" si="7"/>
        <v>45</v>
      </c>
      <c r="AS51" s="627">
        <f t="shared" si="7"/>
        <v>25</v>
      </c>
      <c r="AT51" s="627">
        <f t="shared" si="5"/>
        <v>209</v>
      </c>
      <c r="AU51" s="627">
        <f t="shared" si="5"/>
        <v>268</v>
      </c>
      <c r="AV51" s="627">
        <f t="shared" si="5"/>
        <v>273</v>
      </c>
      <c r="AW51" s="627">
        <f t="shared" si="5"/>
        <v>82</v>
      </c>
      <c r="AX51" s="627">
        <f t="shared" si="5"/>
        <v>158</v>
      </c>
      <c r="AY51" s="627">
        <f t="shared" si="5"/>
        <v>304</v>
      </c>
      <c r="AZ51" s="627">
        <f t="shared" si="5"/>
        <v>368</v>
      </c>
      <c r="BA51" s="627">
        <f t="shared" si="5"/>
        <v>279</v>
      </c>
    </row>
    <row r="52" spans="1:53">
      <c r="A52" s="105">
        <f t="shared" si="2"/>
        <v>41</v>
      </c>
      <c r="B52" s="745">
        <v>42410</v>
      </c>
      <c r="C52" s="746" t="s">
        <v>1771</v>
      </c>
      <c r="D52" s="747">
        <v>4515</v>
      </c>
      <c r="E52" s="747">
        <v>4458</v>
      </c>
      <c r="F52" s="747">
        <v>4387</v>
      </c>
      <c r="G52" s="747">
        <v>4461</v>
      </c>
      <c r="H52" s="747">
        <v>4522</v>
      </c>
      <c r="I52" s="747">
        <v>4760</v>
      </c>
      <c r="J52" s="747">
        <v>5261</v>
      </c>
      <c r="K52" s="747">
        <v>5336</v>
      </c>
      <c r="L52" s="747">
        <v>5231</v>
      </c>
      <c r="M52" s="747">
        <v>5173</v>
      </c>
      <c r="N52" s="747">
        <v>5139</v>
      </c>
      <c r="O52" s="747">
        <v>5078</v>
      </c>
      <c r="P52" s="747">
        <v>5062</v>
      </c>
      <c r="Q52" s="747">
        <v>5039</v>
      </c>
      <c r="R52" s="747">
        <v>4968</v>
      </c>
      <c r="S52" s="747">
        <v>4975</v>
      </c>
      <c r="T52" s="747">
        <v>5152</v>
      </c>
      <c r="U52" s="747">
        <v>5443</v>
      </c>
      <c r="V52" s="747">
        <v>5647</v>
      </c>
      <c r="W52" s="747">
        <v>5543</v>
      </c>
      <c r="X52" s="747">
        <v>5385</v>
      </c>
      <c r="Y52" s="747">
        <v>5187</v>
      </c>
      <c r="Z52" s="747">
        <v>4771</v>
      </c>
      <c r="AA52" s="747">
        <v>4487</v>
      </c>
      <c r="AC52" s="628">
        <f t="shared" si="3"/>
        <v>41</v>
      </c>
      <c r="AD52" s="627">
        <f t="shared" si="4"/>
        <v>57</v>
      </c>
      <c r="AE52" s="627">
        <f t="shared" si="7"/>
        <v>57</v>
      </c>
      <c r="AF52" s="627">
        <f t="shared" si="7"/>
        <v>71</v>
      </c>
      <c r="AG52" s="627">
        <f t="shared" si="7"/>
        <v>74</v>
      </c>
      <c r="AH52" s="627">
        <f t="shared" si="7"/>
        <v>61</v>
      </c>
      <c r="AI52" s="627">
        <f t="shared" si="7"/>
        <v>238</v>
      </c>
      <c r="AJ52" s="627">
        <f t="shared" si="7"/>
        <v>501</v>
      </c>
      <c r="AK52" s="627">
        <f t="shared" si="7"/>
        <v>75</v>
      </c>
      <c r="AL52" s="627">
        <f t="shared" si="7"/>
        <v>105</v>
      </c>
      <c r="AM52" s="627">
        <f t="shared" si="7"/>
        <v>58</v>
      </c>
      <c r="AN52" s="627">
        <f t="shared" si="7"/>
        <v>34</v>
      </c>
      <c r="AO52" s="627">
        <f t="shared" si="7"/>
        <v>61</v>
      </c>
      <c r="AP52" s="627">
        <f t="shared" si="7"/>
        <v>16</v>
      </c>
      <c r="AQ52" s="627">
        <f t="shared" si="7"/>
        <v>23</v>
      </c>
      <c r="AR52" s="627">
        <f t="shared" si="7"/>
        <v>71</v>
      </c>
      <c r="AS52" s="627">
        <f t="shared" si="7"/>
        <v>7</v>
      </c>
      <c r="AT52" s="627">
        <f t="shared" si="5"/>
        <v>177</v>
      </c>
      <c r="AU52" s="627">
        <f t="shared" si="5"/>
        <v>291</v>
      </c>
      <c r="AV52" s="627">
        <f t="shared" si="5"/>
        <v>204</v>
      </c>
      <c r="AW52" s="627">
        <f t="shared" si="5"/>
        <v>104</v>
      </c>
      <c r="AX52" s="627">
        <f t="shared" si="5"/>
        <v>158</v>
      </c>
      <c r="AY52" s="627">
        <f t="shared" si="5"/>
        <v>198</v>
      </c>
      <c r="AZ52" s="627">
        <f t="shared" si="5"/>
        <v>416</v>
      </c>
      <c r="BA52" s="627">
        <f t="shared" si="5"/>
        <v>284</v>
      </c>
    </row>
    <row r="53" spans="1:53">
      <c r="A53" s="105">
        <f t="shared" si="2"/>
        <v>42</v>
      </c>
      <c r="B53" s="745">
        <v>42411</v>
      </c>
      <c r="C53" s="746" t="s">
        <v>1771</v>
      </c>
      <c r="D53" s="747">
        <v>4383</v>
      </c>
      <c r="E53" s="747">
        <v>4399</v>
      </c>
      <c r="F53" s="747">
        <v>4343</v>
      </c>
      <c r="G53" s="747">
        <v>4329</v>
      </c>
      <c r="H53" s="747">
        <v>4384</v>
      </c>
      <c r="I53" s="747">
        <v>4615</v>
      </c>
      <c r="J53" s="747">
        <v>5046</v>
      </c>
      <c r="K53" s="747">
        <v>5213</v>
      </c>
      <c r="L53" s="747">
        <v>5214</v>
      </c>
      <c r="M53" s="747">
        <v>5126</v>
      </c>
      <c r="N53" s="747">
        <v>5080</v>
      </c>
      <c r="O53" s="747">
        <v>5021</v>
      </c>
      <c r="P53" s="747">
        <v>4980</v>
      </c>
      <c r="Q53" s="747">
        <v>4925</v>
      </c>
      <c r="R53" s="747">
        <v>4934</v>
      </c>
      <c r="S53" s="747">
        <v>4926</v>
      </c>
      <c r="T53" s="747">
        <v>5079</v>
      </c>
      <c r="U53" s="747">
        <v>5430</v>
      </c>
      <c r="V53" s="747">
        <v>5599</v>
      </c>
      <c r="W53" s="747">
        <v>5479</v>
      </c>
      <c r="X53" s="747">
        <v>5328</v>
      </c>
      <c r="Y53" s="747">
        <v>5127</v>
      </c>
      <c r="Z53" s="747">
        <v>4741</v>
      </c>
      <c r="AA53" s="747">
        <v>4414</v>
      </c>
      <c r="AC53" s="628">
        <f t="shared" si="3"/>
        <v>42</v>
      </c>
      <c r="AD53" s="627">
        <f t="shared" si="4"/>
        <v>104</v>
      </c>
      <c r="AE53" s="627">
        <f t="shared" si="7"/>
        <v>16</v>
      </c>
      <c r="AF53" s="627">
        <f t="shared" si="7"/>
        <v>56</v>
      </c>
      <c r="AG53" s="627">
        <f t="shared" si="7"/>
        <v>14</v>
      </c>
      <c r="AH53" s="627">
        <f t="shared" si="7"/>
        <v>55</v>
      </c>
      <c r="AI53" s="627">
        <f t="shared" si="7"/>
        <v>231</v>
      </c>
      <c r="AJ53" s="627">
        <f t="shared" si="7"/>
        <v>431</v>
      </c>
      <c r="AK53" s="627">
        <f t="shared" si="7"/>
        <v>167</v>
      </c>
      <c r="AL53" s="627">
        <f t="shared" si="7"/>
        <v>1</v>
      </c>
      <c r="AM53" s="627">
        <f t="shared" si="7"/>
        <v>88</v>
      </c>
      <c r="AN53" s="627">
        <f t="shared" si="7"/>
        <v>46</v>
      </c>
      <c r="AO53" s="627">
        <f t="shared" si="7"/>
        <v>59</v>
      </c>
      <c r="AP53" s="627">
        <f t="shared" si="7"/>
        <v>41</v>
      </c>
      <c r="AQ53" s="627">
        <f t="shared" si="7"/>
        <v>55</v>
      </c>
      <c r="AR53" s="627">
        <f t="shared" si="7"/>
        <v>9</v>
      </c>
      <c r="AS53" s="627">
        <f t="shared" si="7"/>
        <v>8</v>
      </c>
      <c r="AT53" s="627">
        <f t="shared" si="5"/>
        <v>153</v>
      </c>
      <c r="AU53" s="627">
        <f t="shared" si="5"/>
        <v>351</v>
      </c>
      <c r="AV53" s="627">
        <f t="shared" si="5"/>
        <v>169</v>
      </c>
      <c r="AW53" s="627">
        <f t="shared" si="5"/>
        <v>120</v>
      </c>
      <c r="AX53" s="627">
        <f t="shared" si="5"/>
        <v>151</v>
      </c>
      <c r="AY53" s="627">
        <f t="shared" si="5"/>
        <v>201</v>
      </c>
      <c r="AZ53" s="627">
        <f t="shared" si="5"/>
        <v>386</v>
      </c>
      <c r="BA53" s="627">
        <f t="shared" si="5"/>
        <v>327</v>
      </c>
    </row>
    <row r="54" spans="1:53">
      <c r="A54" s="105">
        <f t="shared" si="2"/>
        <v>43</v>
      </c>
      <c r="B54" s="745">
        <v>42412</v>
      </c>
      <c r="C54" s="746" t="s">
        <v>1771</v>
      </c>
      <c r="D54" s="747">
        <v>4308</v>
      </c>
      <c r="E54" s="747">
        <v>4226</v>
      </c>
      <c r="F54" s="747">
        <v>4200</v>
      </c>
      <c r="G54" s="747">
        <v>4230</v>
      </c>
      <c r="H54" s="747">
        <v>4294</v>
      </c>
      <c r="I54" s="747">
        <v>4570</v>
      </c>
      <c r="J54" s="747">
        <v>5038</v>
      </c>
      <c r="K54" s="747">
        <v>5204</v>
      </c>
      <c r="L54" s="747">
        <v>5148</v>
      </c>
      <c r="M54" s="747">
        <v>5070</v>
      </c>
      <c r="N54" s="747">
        <v>5053</v>
      </c>
      <c r="O54" s="747">
        <v>4969</v>
      </c>
      <c r="P54" s="747">
        <v>4917</v>
      </c>
      <c r="Q54" s="747">
        <v>4866</v>
      </c>
      <c r="R54" s="747">
        <v>4874</v>
      </c>
      <c r="S54" s="747">
        <v>4828</v>
      </c>
      <c r="T54" s="747">
        <v>4881</v>
      </c>
      <c r="U54" s="747">
        <v>5198</v>
      </c>
      <c r="V54" s="747">
        <v>5409</v>
      </c>
      <c r="W54" s="747">
        <v>5331</v>
      </c>
      <c r="X54" s="747">
        <v>5223</v>
      </c>
      <c r="Y54" s="747">
        <v>5001</v>
      </c>
      <c r="Z54" s="747">
        <v>4741</v>
      </c>
      <c r="AA54" s="747">
        <v>4570</v>
      </c>
      <c r="AC54" s="628">
        <f t="shared" si="3"/>
        <v>43</v>
      </c>
      <c r="AD54" s="627">
        <f t="shared" si="4"/>
        <v>106</v>
      </c>
      <c r="AE54" s="627">
        <f t="shared" si="7"/>
        <v>82</v>
      </c>
      <c r="AF54" s="627">
        <f t="shared" si="7"/>
        <v>26</v>
      </c>
      <c r="AG54" s="627">
        <f t="shared" si="7"/>
        <v>30</v>
      </c>
      <c r="AH54" s="627">
        <f t="shared" si="7"/>
        <v>64</v>
      </c>
      <c r="AI54" s="627">
        <f t="shared" si="7"/>
        <v>276</v>
      </c>
      <c r="AJ54" s="627">
        <f t="shared" si="7"/>
        <v>468</v>
      </c>
      <c r="AK54" s="627">
        <f t="shared" si="7"/>
        <v>166</v>
      </c>
      <c r="AL54" s="627">
        <f t="shared" si="7"/>
        <v>56</v>
      </c>
      <c r="AM54" s="627">
        <f t="shared" si="7"/>
        <v>78</v>
      </c>
      <c r="AN54" s="627">
        <f t="shared" si="7"/>
        <v>17</v>
      </c>
      <c r="AO54" s="627">
        <f t="shared" si="7"/>
        <v>84</v>
      </c>
      <c r="AP54" s="627">
        <f t="shared" si="7"/>
        <v>52</v>
      </c>
      <c r="AQ54" s="627">
        <f t="shared" si="7"/>
        <v>51</v>
      </c>
      <c r="AR54" s="627">
        <f t="shared" si="7"/>
        <v>8</v>
      </c>
      <c r="AS54" s="627">
        <f t="shared" si="7"/>
        <v>46</v>
      </c>
      <c r="AT54" s="627">
        <f t="shared" si="5"/>
        <v>53</v>
      </c>
      <c r="AU54" s="627">
        <f t="shared" si="5"/>
        <v>317</v>
      </c>
      <c r="AV54" s="627">
        <f t="shared" si="5"/>
        <v>211</v>
      </c>
      <c r="AW54" s="627">
        <f t="shared" si="5"/>
        <v>78</v>
      </c>
      <c r="AX54" s="627">
        <f t="shared" si="5"/>
        <v>108</v>
      </c>
      <c r="AY54" s="627">
        <f t="shared" si="5"/>
        <v>222</v>
      </c>
      <c r="AZ54" s="627">
        <f t="shared" si="5"/>
        <v>260</v>
      </c>
      <c r="BA54" s="627">
        <f t="shared" si="5"/>
        <v>171</v>
      </c>
    </row>
    <row r="55" spans="1:53">
      <c r="A55" s="105">
        <f t="shared" si="2"/>
        <v>44</v>
      </c>
      <c r="B55" s="745">
        <v>42413</v>
      </c>
      <c r="C55" s="746" t="s">
        <v>1771</v>
      </c>
      <c r="D55" s="747">
        <v>4463</v>
      </c>
      <c r="E55" s="747">
        <v>4353</v>
      </c>
      <c r="F55" s="747">
        <v>4262</v>
      </c>
      <c r="G55" s="747">
        <v>4189</v>
      </c>
      <c r="H55" s="747">
        <v>4235</v>
      </c>
      <c r="I55" s="747">
        <v>4276</v>
      </c>
      <c r="J55" s="747">
        <v>4486</v>
      </c>
      <c r="K55" s="747">
        <v>4634</v>
      </c>
      <c r="L55" s="747">
        <v>4849</v>
      </c>
      <c r="M55" s="747">
        <v>4898</v>
      </c>
      <c r="N55" s="747">
        <v>4806</v>
      </c>
      <c r="O55" s="747">
        <v>4693</v>
      </c>
      <c r="P55" s="747">
        <v>4609</v>
      </c>
      <c r="Q55" s="747">
        <v>4535</v>
      </c>
      <c r="R55" s="747">
        <v>4500</v>
      </c>
      <c r="S55" s="747">
        <v>4528</v>
      </c>
      <c r="T55" s="747">
        <v>4623</v>
      </c>
      <c r="U55" s="747">
        <v>4973</v>
      </c>
      <c r="V55" s="747">
        <v>5240</v>
      </c>
      <c r="W55" s="747">
        <v>5134</v>
      </c>
      <c r="X55" s="747">
        <v>5027</v>
      </c>
      <c r="Y55" s="747">
        <v>4869</v>
      </c>
      <c r="Z55" s="747">
        <v>4785</v>
      </c>
      <c r="AA55" s="747">
        <v>4550</v>
      </c>
      <c r="AC55" s="628">
        <f t="shared" si="3"/>
        <v>44</v>
      </c>
      <c r="AD55" s="627">
        <f t="shared" si="4"/>
        <v>107</v>
      </c>
      <c r="AE55" s="627">
        <f t="shared" si="7"/>
        <v>110</v>
      </c>
      <c r="AF55" s="627">
        <f t="shared" si="7"/>
        <v>91</v>
      </c>
      <c r="AG55" s="627">
        <f t="shared" si="7"/>
        <v>73</v>
      </c>
      <c r="AH55" s="627">
        <f t="shared" si="7"/>
        <v>46</v>
      </c>
      <c r="AI55" s="627">
        <f t="shared" si="7"/>
        <v>41</v>
      </c>
      <c r="AJ55" s="627">
        <f t="shared" si="7"/>
        <v>210</v>
      </c>
      <c r="AK55" s="627">
        <f t="shared" si="7"/>
        <v>148</v>
      </c>
      <c r="AL55" s="627">
        <f t="shared" si="7"/>
        <v>215</v>
      </c>
      <c r="AM55" s="627">
        <f t="shared" si="7"/>
        <v>49</v>
      </c>
      <c r="AN55" s="627">
        <f t="shared" si="7"/>
        <v>92</v>
      </c>
      <c r="AO55" s="627">
        <f t="shared" si="7"/>
        <v>113</v>
      </c>
      <c r="AP55" s="627">
        <f t="shared" si="7"/>
        <v>84</v>
      </c>
      <c r="AQ55" s="627">
        <f t="shared" si="7"/>
        <v>74</v>
      </c>
      <c r="AR55" s="627">
        <f t="shared" si="7"/>
        <v>35</v>
      </c>
      <c r="AS55" s="627">
        <f t="shared" si="7"/>
        <v>28</v>
      </c>
      <c r="AT55" s="627">
        <f t="shared" si="5"/>
        <v>95</v>
      </c>
      <c r="AU55" s="627">
        <f t="shared" si="5"/>
        <v>350</v>
      </c>
      <c r="AV55" s="627">
        <f t="shared" si="5"/>
        <v>267</v>
      </c>
      <c r="AW55" s="627">
        <f t="shared" si="5"/>
        <v>106</v>
      </c>
      <c r="AX55" s="627">
        <f t="shared" si="5"/>
        <v>107</v>
      </c>
      <c r="AY55" s="627">
        <f t="shared" si="5"/>
        <v>158</v>
      </c>
      <c r="AZ55" s="627">
        <f t="shared" si="5"/>
        <v>84</v>
      </c>
      <c r="BA55" s="627">
        <f t="shared" si="5"/>
        <v>235</v>
      </c>
    </row>
    <row r="56" spans="1:53">
      <c r="A56" s="105">
        <f t="shared" si="2"/>
        <v>45</v>
      </c>
      <c r="B56" s="745">
        <v>42414</v>
      </c>
      <c r="C56" s="746" t="s">
        <v>1771</v>
      </c>
      <c r="D56" s="747">
        <v>4359</v>
      </c>
      <c r="E56" s="747">
        <v>4280</v>
      </c>
      <c r="F56" s="747">
        <v>4209</v>
      </c>
      <c r="G56" s="747">
        <v>4114</v>
      </c>
      <c r="H56" s="747">
        <v>4173</v>
      </c>
      <c r="I56" s="747">
        <v>4280</v>
      </c>
      <c r="J56" s="747">
        <v>4342</v>
      </c>
      <c r="K56" s="747">
        <v>4485</v>
      </c>
      <c r="L56" s="747">
        <v>4644</v>
      </c>
      <c r="M56" s="747">
        <v>4649</v>
      </c>
      <c r="N56" s="747">
        <v>4662</v>
      </c>
      <c r="O56" s="747">
        <v>4683</v>
      </c>
      <c r="P56" s="747">
        <v>4746</v>
      </c>
      <c r="Q56" s="747">
        <v>4777</v>
      </c>
      <c r="R56" s="747">
        <v>4710</v>
      </c>
      <c r="S56" s="747">
        <v>4757</v>
      </c>
      <c r="T56" s="747">
        <v>4867</v>
      </c>
      <c r="U56" s="747">
        <v>5243</v>
      </c>
      <c r="V56" s="747">
        <v>5499</v>
      </c>
      <c r="W56" s="747">
        <v>5369</v>
      </c>
      <c r="X56" s="747">
        <v>5187</v>
      </c>
      <c r="Y56" s="747">
        <v>4942</v>
      </c>
      <c r="Z56" s="747">
        <v>4615</v>
      </c>
      <c r="AA56" s="747">
        <v>4355</v>
      </c>
      <c r="AC56" s="628">
        <f t="shared" si="3"/>
        <v>45</v>
      </c>
      <c r="AD56" s="627">
        <f t="shared" si="4"/>
        <v>191</v>
      </c>
      <c r="AE56" s="627">
        <f t="shared" si="7"/>
        <v>79</v>
      </c>
      <c r="AF56" s="627">
        <f t="shared" si="7"/>
        <v>71</v>
      </c>
      <c r="AG56" s="627">
        <f t="shared" si="7"/>
        <v>95</v>
      </c>
      <c r="AH56" s="627">
        <f t="shared" si="7"/>
        <v>59</v>
      </c>
      <c r="AI56" s="627">
        <f t="shared" si="7"/>
        <v>107</v>
      </c>
      <c r="AJ56" s="627">
        <f t="shared" si="7"/>
        <v>62</v>
      </c>
      <c r="AK56" s="627">
        <f t="shared" si="7"/>
        <v>143</v>
      </c>
      <c r="AL56" s="627">
        <f t="shared" si="7"/>
        <v>159</v>
      </c>
      <c r="AM56" s="627">
        <f t="shared" si="7"/>
        <v>5</v>
      </c>
      <c r="AN56" s="627">
        <f t="shared" si="7"/>
        <v>13</v>
      </c>
      <c r="AO56" s="627">
        <f t="shared" si="7"/>
        <v>21</v>
      </c>
      <c r="AP56" s="627">
        <f t="shared" si="7"/>
        <v>63</v>
      </c>
      <c r="AQ56" s="627">
        <f t="shared" si="7"/>
        <v>31</v>
      </c>
      <c r="AR56" s="627">
        <f t="shared" si="7"/>
        <v>67</v>
      </c>
      <c r="AS56" s="627">
        <f t="shared" si="7"/>
        <v>47</v>
      </c>
      <c r="AT56" s="627">
        <f t="shared" si="5"/>
        <v>110</v>
      </c>
      <c r="AU56" s="627">
        <f t="shared" si="5"/>
        <v>376</v>
      </c>
      <c r="AV56" s="627">
        <f t="shared" si="5"/>
        <v>256</v>
      </c>
      <c r="AW56" s="627">
        <f t="shared" si="5"/>
        <v>130</v>
      </c>
      <c r="AX56" s="627">
        <f t="shared" si="5"/>
        <v>182</v>
      </c>
      <c r="AY56" s="627">
        <f t="shared" si="5"/>
        <v>245</v>
      </c>
      <c r="AZ56" s="627">
        <f t="shared" si="5"/>
        <v>327</v>
      </c>
      <c r="BA56" s="627">
        <f t="shared" si="5"/>
        <v>260</v>
      </c>
    </row>
    <row r="57" spans="1:53">
      <c r="A57" s="105">
        <f t="shared" si="2"/>
        <v>46</v>
      </c>
      <c r="B57" s="745">
        <v>42415</v>
      </c>
      <c r="C57" s="746" t="s">
        <v>1771</v>
      </c>
      <c r="D57" s="747">
        <v>4379</v>
      </c>
      <c r="E57" s="747">
        <v>4346</v>
      </c>
      <c r="F57" s="747">
        <v>4298</v>
      </c>
      <c r="G57" s="747">
        <v>4344</v>
      </c>
      <c r="H57" s="747">
        <v>4469</v>
      </c>
      <c r="I57" s="747">
        <v>4686</v>
      </c>
      <c r="J57" s="747">
        <v>4839</v>
      </c>
      <c r="K57" s="747">
        <v>5017</v>
      </c>
      <c r="L57" s="747">
        <v>5075</v>
      </c>
      <c r="M57" s="747">
        <v>5047</v>
      </c>
      <c r="N57" s="747">
        <v>5023</v>
      </c>
      <c r="O57" s="747">
        <v>5105</v>
      </c>
      <c r="P57" s="747">
        <v>5064</v>
      </c>
      <c r="Q57" s="747">
        <v>4990</v>
      </c>
      <c r="R57" s="747">
        <v>4942</v>
      </c>
      <c r="S57" s="747">
        <v>4963</v>
      </c>
      <c r="T57" s="747">
        <v>5079</v>
      </c>
      <c r="U57" s="747">
        <v>5403</v>
      </c>
      <c r="V57" s="747">
        <v>5725</v>
      </c>
      <c r="W57" s="747">
        <v>5530</v>
      </c>
      <c r="X57" s="747">
        <v>5321</v>
      </c>
      <c r="Y57" s="747">
        <v>5075</v>
      </c>
      <c r="Z57" s="747">
        <v>4870</v>
      </c>
      <c r="AA57" s="747">
        <v>4489</v>
      </c>
      <c r="AC57" s="628">
        <f t="shared" si="3"/>
        <v>46</v>
      </c>
      <c r="AD57" s="627">
        <f t="shared" si="4"/>
        <v>24</v>
      </c>
      <c r="AE57" s="627">
        <f t="shared" si="7"/>
        <v>33</v>
      </c>
      <c r="AF57" s="627">
        <f t="shared" si="7"/>
        <v>48</v>
      </c>
      <c r="AG57" s="627">
        <f t="shared" si="7"/>
        <v>46</v>
      </c>
      <c r="AH57" s="627">
        <f t="shared" si="7"/>
        <v>125</v>
      </c>
      <c r="AI57" s="627">
        <f t="shared" si="7"/>
        <v>217</v>
      </c>
      <c r="AJ57" s="627">
        <f t="shared" si="7"/>
        <v>153</v>
      </c>
      <c r="AK57" s="627">
        <f t="shared" si="7"/>
        <v>178</v>
      </c>
      <c r="AL57" s="627">
        <f t="shared" si="7"/>
        <v>58</v>
      </c>
      <c r="AM57" s="627">
        <f t="shared" si="7"/>
        <v>28</v>
      </c>
      <c r="AN57" s="627">
        <f t="shared" si="7"/>
        <v>24</v>
      </c>
      <c r="AO57" s="627">
        <f t="shared" si="7"/>
        <v>82</v>
      </c>
      <c r="AP57" s="627">
        <f t="shared" si="7"/>
        <v>41</v>
      </c>
      <c r="AQ57" s="627">
        <f t="shared" si="7"/>
        <v>74</v>
      </c>
      <c r="AR57" s="627">
        <f t="shared" si="7"/>
        <v>48</v>
      </c>
      <c r="AS57" s="627">
        <f t="shared" si="7"/>
        <v>21</v>
      </c>
      <c r="AT57" s="627">
        <f t="shared" si="5"/>
        <v>116</v>
      </c>
      <c r="AU57" s="627">
        <f t="shared" si="5"/>
        <v>324</v>
      </c>
      <c r="AV57" s="627">
        <f t="shared" si="5"/>
        <v>322</v>
      </c>
      <c r="AW57" s="627">
        <f t="shared" si="5"/>
        <v>195</v>
      </c>
      <c r="AX57" s="627">
        <f t="shared" si="5"/>
        <v>209</v>
      </c>
      <c r="AY57" s="627">
        <f t="shared" si="5"/>
        <v>246</v>
      </c>
      <c r="AZ57" s="627">
        <f t="shared" si="5"/>
        <v>205</v>
      </c>
      <c r="BA57" s="627">
        <f t="shared" si="5"/>
        <v>381</v>
      </c>
    </row>
    <row r="58" spans="1:53">
      <c r="A58" s="105">
        <f t="shared" si="2"/>
        <v>47</v>
      </c>
      <c r="B58" s="745">
        <v>42416</v>
      </c>
      <c r="C58" s="746" t="s">
        <v>1771</v>
      </c>
      <c r="D58" s="747">
        <v>4291</v>
      </c>
      <c r="E58" s="747">
        <v>4165</v>
      </c>
      <c r="F58" s="747">
        <v>4078</v>
      </c>
      <c r="G58" s="747">
        <v>4085</v>
      </c>
      <c r="H58" s="747">
        <v>4144</v>
      </c>
      <c r="I58" s="747">
        <v>4462</v>
      </c>
      <c r="J58" s="747">
        <v>4976</v>
      </c>
      <c r="K58" s="747">
        <v>5120</v>
      </c>
      <c r="L58" s="747">
        <v>5067</v>
      </c>
      <c r="M58" s="747">
        <v>5021</v>
      </c>
      <c r="N58" s="747">
        <v>4978</v>
      </c>
      <c r="O58" s="747">
        <v>4964</v>
      </c>
      <c r="P58" s="747">
        <v>4898</v>
      </c>
      <c r="Q58" s="747">
        <v>4881</v>
      </c>
      <c r="R58" s="747">
        <v>4862</v>
      </c>
      <c r="S58" s="747">
        <v>4874</v>
      </c>
      <c r="T58" s="747">
        <v>4954</v>
      </c>
      <c r="U58" s="747">
        <v>5258</v>
      </c>
      <c r="V58" s="747">
        <v>5557</v>
      </c>
      <c r="W58" s="747">
        <v>5472</v>
      </c>
      <c r="X58" s="747">
        <v>5291</v>
      </c>
      <c r="Y58" s="747">
        <v>4946</v>
      </c>
      <c r="Z58" s="747">
        <v>4655</v>
      </c>
      <c r="AA58" s="747">
        <v>4471</v>
      </c>
      <c r="AC58" s="628">
        <f t="shared" si="3"/>
        <v>47</v>
      </c>
      <c r="AD58" s="627">
        <f t="shared" si="4"/>
        <v>198</v>
      </c>
      <c r="AE58" s="627">
        <f t="shared" si="7"/>
        <v>126</v>
      </c>
      <c r="AF58" s="627">
        <f t="shared" si="7"/>
        <v>87</v>
      </c>
      <c r="AG58" s="627">
        <f t="shared" si="7"/>
        <v>7</v>
      </c>
      <c r="AH58" s="627">
        <f t="shared" si="7"/>
        <v>59</v>
      </c>
      <c r="AI58" s="627">
        <f t="shared" si="7"/>
        <v>318</v>
      </c>
      <c r="AJ58" s="627">
        <f t="shared" si="7"/>
        <v>514</v>
      </c>
      <c r="AK58" s="627">
        <f t="shared" si="7"/>
        <v>144</v>
      </c>
      <c r="AL58" s="627">
        <f t="shared" si="7"/>
        <v>53</v>
      </c>
      <c r="AM58" s="627">
        <f t="shared" si="7"/>
        <v>46</v>
      </c>
      <c r="AN58" s="627">
        <f t="shared" si="7"/>
        <v>43</v>
      </c>
      <c r="AO58" s="627">
        <f t="shared" si="7"/>
        <v>14</v>
      </c>
      <c r="AP58" s="627">
        <f t="shared" si="7"/>
        <v>66</v>
      </c>
      <c r="AQ58" s="627">
        <f t="shared" si="7"/>
        <v>17</v>
      </c>
      <c r="AR58" s="627">
        <f t="shared" si="7"/>
        <v>19</v>
      </c>
      <c r="AS58" s="627">
        <f t="shared" si="7"/>
        <v>12</v>
      </c>
      <c r="AT58" s="627">
        <f t="shared" si="5"/>
        <v>80</v>
      </c>
      <c r="AU58" s="627">
        <f t="shared" si="5"/>
        <v>304</v>
      </c>
      <c r="AV58" s="627">
        <f t="shared" si="5"/>
        <v>299</v>
      </c>
      <c r="AW58" s="627">
        <f t="shared" si="5"/>
        <v>85</v>
      </c>
      <c r="AX58" s="627">
        <f t="shared" si="5"/>
        <v>181</v>
      </c>
      <c r="AY58" s="627">
        <f t="shared" si="5"/>
        <v>345</v>
      </c>
      <c r="AZ58" s="627">
        <f t="shared" si="5"/>
        <v>291</v>
      </c>
      <c r="BA58" s="627">
        <f t="shared" si="5"/>
        <v>184</v>
      </c>
    </row>
    <row r="59" spans="1:53">
      <c r="A59" s="105">
        <f t="shared" si="2"/>
        <v>48</v>
      </c>
      <c r="B59" s="745">
        <v>42417</v>
      </c>
      <c r="C59" s="746" t="s">
        <v>1771</v>
      </c>
      <c r="D59" s="747">
        <v>4289</v>
      </c>
      <c r="E59" s="747">
        <v>4215</v>
      </c>
      <c r="F59" s="747">
        <v>4190</v>
      </c>
      <c r="G59" s="747">
        <v>4147</v>
      </c>
      <c r="H59" s="747">
        <v>4140</v>
      </c>
      <c r="I59" s="747">
        <v>4514</v>
      </c>
      <c r="J59" s="747">
        <v>4991</v>
      </c>
      <c r="K59" s="747">
        <v>5133</v>
      </c>
      <c r="L59" s="747">
        <v>5166</v>
      </c>
      <c r="M59" s="747">
        <v>5152</v>
      </c>
      <c r="N59" s="747">
        <v>5050</v>
      </c>
      <c r="O59" s="747">
        <v>4905</v>
      </c>
      <c r="P59" s="747">
        <v>4882</v>
      </c>
      <c r="Q59" s="747">
        <v>4852</v>
      </c>
      <c r="R59" s="747">
        <v>4884</v>
      </c>
      <c r="S59" s="747">
        <v>4856</v>
      </c>
      <c r="T59" s="747">
        <v>4984</v>
      </c>
      <c r="U59" s="747">
        <v>5144</v>
      </c>
      <c r="V59" s="747">
        <v>5593</v>
      </c>
      <c r="W59" s="747">
        <v>5398</v>
      </c>
      <c r="X59" s="747">
        <v>5229</v>
      </c>
      <c r="Y59" s="747">
        <v>4932</v>
      </c>
      <c r="Z59" s="747">
        <v>4498</v>
      </c>
      <c r="AA59" s="747">
        <v>4322</v>
      </c>
      <c r="AC59" s="628">
        <f t="shared" si="3"/>
        <v>48</v>
      </c>
      <c r="AD59" s="627">
        <f t="shared" si="4"/>
        <v>182</v>
      </c>
      <c r="AE59" s="627">
        <f t="shared" si="7"/>
        <v>74</v>
      </c>
      <c r="AF59" s="627">
        <f t="shared" si="7"/>
        <v>25</v>
      </c>
      <c r="AG59" s="627">
        <f t="shared" si="7"/>
        <v>43</v>
      </c>
      <c r="AH59" s="627">
        <f t="shared" si="7"/>
        <v>7</v>
      </c>
      <c r="AI59" s="627">
        <f t="shared" si="7"/>
        <v>374</v>
      </c>
      <c r="AJ59" s="627">
        <f t="shared" si="7"/>
        <v>477</v>
      </c>
      <c r="AK59" s="627">
        <f t="shared" si="7"/>
        <v>142</v>
      </c>
      <c r="AL59" s="627">
        <f t="shared" si="7"/>
        <v>33</v>
      </c>
      <c r="AM59" s="627">
        <f t="shared" si="7"/>
        <v>14</v>
      </c>
      <c r="AN59" s="627">
        <f t="shared" si="7"/>
        <v>102</v>
      </c>
      <c r="AO59" s="627">
        <f t="shared" si="7"/>
        <v>145</v>
      </c>
      <c r="AP59" s="627">
        <f t="shared" si="7"/>
        <v>23</v>
      </c>
      <c r="AQ59" s="627">
        <f t="shared" si="7"/>
        <v>30</v>
      </c>
      <c r="AR59" s="627">
        <f t="shared" si="7"/>
        <v>32</v>
      </c>
      <c r="AS59" s="627">
        <f t="shared" si="7"/>
        <v>28</v>
      </c>
      <c r="AT59" s="627">
        <f t="shared" si="7"/>
        <v>128</v>
      </c>
      <c r="AU59" s="627">
        <f t="shared" ref="AU59:BA85" si="8">ABS(U59-T59)</f>
        <v>160</v>
      </c>
      <c r="AV59" s="627">
        <f t="shared" si="8"/>
        <v>449</v>
      </c>
      <c r="AW59" s="627">
        <f t="shared" si="8"/>
        <v>195</v>
      </c>
      <c r="AX59" s="627">
        <f t="shared" si="8"/>
        <v>169</v>
      </c>
      <c r="AY59" s="627">
        <f t="shared" si="8"/>
        <v>297</v>
      </c>
      <c r="AZ59" s="627">
        <f t="shared" si="8"/>
        <v>434</v>
      </c>
      <c r="BA59" s="627">
        <f t="shared" si="8"/>
        <v>176</v>
      </c>
    </row>
    <row r="60" spans="1:53">
      <c r="A60" s="105">
        <f t="shared" si="2"/>
        <v>49</v>
      </c>
      <c r="B60" s="745">
        <v>42418</v>
      </c>
      <c r="C60" s="746" t="s">
        <v>1771</v>
      </c>
      <c r="D60" s="747">
        <v>4120</v>
      </c>
      <c r="E60" s="747">
        <v>3929</v>
      </c>
      <c r="F60" s="747">
        <v>3873</v>
      </c>
      <c r="G60" s="747">
        <v>3903</v>
      </c>
      <c r="H60" s="747">
        <v>4062</v>
      </c>
      <c r="I60" s="747">
        <v>4390</v>
      </c>
      <c r="J60" s="747">
        <v>4898</v>
      </c>
      <c r="K60" s="747">
        <v>4905</v>
      </c>
      <c r="L60" s="747">
        <v>4862</v>
      </c>
      <c r="M60" s="747">
        <v>4840</v>
      </c>
      <c r="N60" s="747">
        <v>4887</v>
      </c>
      <c r="O60" s="747">
        <v>4944</v>
      </c>
      <c r="P60" s="747">
        <v>4908</v>
      </c>
      <c r="Q60" s="747">
        <v>4937</v>
      </c>
      <c r="R60" s="747">
        <v>4914</v>
      </c>
      <c r="S60" s="747">
        <v>4890</v>
      </c>
      <c r="T60" s="747">
        <v>5012</v>
      </c>
      <c r="U60" s="747">
        <v>5234</v>
      </c>
      <c r="V60" s="747">
        <v>5495</v>
      </c>
      <c r="W60" s="747">
        <v>5403</v>
      </c>
      <c r="X60" s="747">
        <v>5199</v>
      </c>
      <c r="Y60" s="747">
        <v>4948</v>
      </c>
      <c r="Z60" s="747">
        <v>4705</v>
      </c>
      <c r="AA60" s="747">
        <v>4597</v>
      </c>
      <c r="AC60" s="628">
        <f t="shared" si="3"/>
        <v>49</v>
      </c>
      <c r="AD60" s="627">
        <f t="shared" si="4"/>
        <v>202</v>
      </c>
      <c r="AE60" s="627">
        <f t="shared" si="7"/>
        <v>191</v>
      </c>
      <c r="AF60" s="627">
        <f t="shared" si="7"/>
        <v>56</v>
      </c>
      <c r="AG60" s="627">
        <f t="shared" si="7"/>
        <v>30</v>
      </c>
      <c r="AH60" s="627">
        <f t="shared" si="7"/>
        <v>159</v>
      </c>
      <c r="AI60" s="627">
        <f t="shared" si="7"/>
        <v>328</v>
      </c>
      <c r="AJ60" s="627">
        <f t="shared" si="7"/>
        <v>508</v>
      </c>
      <c r="AK60" s="627">
        <f t="shared" si="7"/>
        <v>7</v>
      </c>
      <c r="AL60" s="627">
        <f t="shared" si="7"/>
        <v>43</v>
      </c>
      <c r="AM60" s="627">
        <f t="shared" si="7"/>
        <v>22</v>
      </c>
      <c r="AN60" s="627">
        <f t="shared" si="7"/>
        <v>47</v>
      </c>
      <c r="AO60" s="627">
        <f t="shared" si="7"/>
        <v>57</v>
      </c>
      <c r="AP60" s="627">
        <f t="shared" si="7"/>
        <v>36</v>
      </c>
      <c r="AQ60" s="627">
        <f t="shared" si="7"/>
        <v>29</v>
      </c>
      <c r="AR60" s="627">
        <f t="shared" si="7"/>
        <v>23</v>
      </c>
      <c r="AS60" s="627">
        <f t="shared" si="7"/>
        <v>24</v>
      </c>
      <c r="AT60" s="627">
        <f t="shared" si="7"/>
        <v>122</v>
      </c>
      <c r="AU60" s="627">
        <f t="shared" si="8"/>
        <v>222</v>
      </c>
      <c r="AV60" s="627">
        <f t="shared" si="8"/>
        <v>261</v>
      </c>
      <c r="AW60" s="627">
        <f t="shared" si="8"/>
        <v>92</v>
      </c>
      <c r="AX60" s="627">
        <f t="shared" si="8"/>
        <v>204</v>
      </c>
      <c r="AY60" s="627">
        <f t="shared" si="8"/>
        <v>251</v>
      </c>
      <c r="AZ60" s="627">
        <f t="shared" si="8"/>
        <v>243</v>
      </c>
      <c r="BA60" s="627">
        <f t="shared" si="8"/>
        <v>108</v>
      </c>
    </row>
    <row r="61" spans="1:53">
      <c r="A61" s="105">
        <f t="shared" si="2"/>
        <v>50</v>
      </c>
      <c r="B61" s="745">
        <v>42419</v>
      </c>
      <c r="C61" s="746" t="s">
        <v>1771</v>
      </c>
      <c r="D61" s="747">
        <v>4256</v>
      </c>
      <c r="E61" s="747">
        <v>4169</v>
      </c>
      <c r="F61" s="747">
        <v>4156</v>
      </c>
      <c r="G61" s="747">
        <v>4082</v>
      </c>
      <c r="H61" s="747">
        <v>4180</v>
      </c>
      <c r="I61" s="747">
        <v>4460</v>
      </c>
      <c r="J61" s="747">
        <v>4896</v>
      </c>
      <c r="K61" s="747">
        <v>5029</v>
      </c>
      <c r="L61" s="747">
        <v>5021</v>
      </c>
      <c r="M61" s="747">
        <v>4993</v>
      </c>
      <c r="N61" s="747">
        <v>4952</v>
      </c>
      <c r="O61" s="747">
        <v>4935</v>
      </c>
      <c r="P61" s="747">
        <v>4872</v>
      </c>
      <c r="Q61" s="747">
        <v>4855</v>
      </c>
      <c r="R61" s="747">
        <v>4804</v>
      </c>
      <c r="S61" s="747">
        <v>4803</v>
      </c>
      <c r="T61" s="747">
        <v>4884</v>
      </c>
      <c r="U61" s="747">
        <v>5082</v>
      </c>
      <c r="V61" s="747">
        <v>5311</v>
      </c>
      <c r="W61" s="747">
        <v>5180</v>
      </c>
      <c r="X61" s="747">
        <v>5051</v>
      </c>
      <c r="Y61" s="747">
        <v>4861</v>
      </c>
      <c r="Z61" s="747">
        <v>4494</v>
      </c>
      <c r="AA61" s="747">
        <v>4322</v>
      </c>
      <c r="AC61" s="628">
        <f t="shared" si="3"/>
        <v>50</v>
      </c>
      <c r="AD61" s="627">
        <f t="shared" si="4"/>
        <v>341</v>
      </c>
      <c r="AE61" s="627">
        <f t="shared" si="7"/>
        <v>87</v>
      </c>
      <c r="AF61" s="627">
        <f t="shared" si="7"/>
        <v>13</v>
      </c>
      <c r="AG61" s="627">
        <f t="shared" si="7"/>
        <v>74</v>
      </c>
      <c r="AH61" s="627">
        <f t="shared" si="7"/>
        <v>98</v>
      </c>
      <c r="AI61" s="627">
        <f t="shared" si="7"/>
        <v>280</v>
      </c>
      <c r="AJ61" s="627">
        <f t="shared" si="7"/>
        <v>436</v>
      </c>
      <c r="AK61" s="627">
        <f t="shared" si="7"/>
        <v>133</v>
      </c>
      <c r="AL61" s="627">
        <f t="shared" si="7"/>
        <v>8</v>
      </c>
      <c r="AM61" s="627">
        <f t="shared" si="7"/>
        <v>28</v>
      </c>
      <c r="AN61" s="627">
        <f t="shared" si="7"/>
        <v>41</v>
      </c>
      <c r="AO61" s="627">
        <f t="shared" si="7"/>
        <v>17</v>
      </c>
      <c r="AP61" s="627">
        <f t="shared" si="7"/>
        <v>63</v>
      </c>
      <c r="AQ61" s="627">
        <f t="shared" si="7"/>
        <v>17</v>
      </c>
      <c r="AR61" s="627">
        <f t="shared" ref="AR61:BA87" si="9">ABS(R61-Q61)</f>
        <v>51</v>
      </c>
      <c r="AS61" s="627">
        <f t="shared" si="9"/>
        <v>1</v>
      </c>
      <c r="AT61" s="627">
        <f t="shared" si="9"/>
        <v>81</v>
      </c>
      <c r="AU61" s="627">
        <f t="shared" si="8"/>
        <v>198</v>
      </c>
      <c r="AV61" s="627">
        <f t="shared" si="8"/>
        <v>229</v>
      </c>
      <c r="AW61" s="627">
        <f t="shared" si="8"/>
        <v>131</v>
      </c>
      <c r="AX61" s="627">
        <f t="shared" si="8"/>
        <v>129</v>
      </c>
      <c r="AY61" s="627">
        <f t="shared" si="8"/>
        <v>190</v>
      </c>
      <c r="AZ61" s="627">
        <f t="shared" si="8"/>
        <v>367</v>
      </c>
      <c r="BA61" s="627">
        <f t="shared" si="8"/>
        <v>172</v>
      </c>
    </row>
    <row r="62" spans="1:53">
      <c r="A62" s="105">
        <f t="shared" si="2"/>
        <v>51</v>
      </c>
      <c r="B62" s="745">
        <v>42420</v>
      </c>
      <c r="C62" s="746" t="s">
        <v>1771</v>
      </c>
      <c r="D62" s="747">
        <v>4266</v>
      </c>
      <c r="E62" s="747">
        <v>4188</v>
      </c>
      <c r="F62" s="747">
        <v>4142</v>
      </c>
      <c r="G62" s="747">
        <v>4125</v>
      </c>
      <c r="H62" s="747">
        <v>4167</v>
      </c>
      <c r="I62" s="747">
        <v>4200</v>
      </c>
      <c r="J62" s="747">
        <v>4422</v>
      </c>
      <c r="K62" s="747">
        <v>4437</v>
      </c>
      <c r="L62" s="747">
        <v>4495</v>
      </c>
      <c r="M62" s="747">
        <v>4532</v>
      </c>
      <c r="N62" s="747">
        <v>4493</v>
      </c>
      <c r="O62" s="747">
        <v>4542</v>
      </c>
      <c r="P62" s="747">
        <v>4494</v>
      </c>
      <c r="Q62" s="747">
        <v>4405</v>
      </c>
      <c r="R62" s="747">
        <v>4405</v>
      </c>
      <c r="S62" s="747">
        <v>4368</v>
      </c>
      <c r="T62" s="747">
        <v>4538</v>
      </c>
      <c r="U62" s="747">
        <v>4782</v>
      </c>
      <c r="V62" s="747">
        <v>5096</v>
      </c>
      <c r="W62" s="747">
        <v>5006</v>
      </c>
      <c r="X62" s="747">
        <v>4911</v>
      </c>
      <c r="Y62" s="747">
        <v>4670</v>
      </c>
      <c r="Z62" s="747">
        <v>4454</v>
      </c>
      <c r="AA62" s="747">
        <v>4268</v>
      </c>
      <c r="AC62" s="628">
        <f t="shared" si="3"/>
        <v>51</v>
      </c>
      <c r="AD62" s="627">
        <f t="shared" si="4"/>
        <v>56</v>
      </c>
      <c r="AE62" s="627">
        <f t="shared" ref="AE62:AQ81" si="10">ABS(E62-D62)</f>
        <v>78</v>
      </c>
      <c r="AF62" s="627">
        <f t="shared" si="10"/>
        <v>46</v>
      </c>
      <c r="AG62" s="627">
        <f t="shared" si="10"/>
        <v>17</v>
      </c>
      <c r="AH62" s="627">
        <f t="shared" si="10"/>
        <v>42</v>
      </c>
      <c r="AI62" s="627">
        <f t="shared" si="10"/>
        <v>33</v>
      </c>
      <c r="AJ62" s="627">
        <f t="shared" si="10"/>
        <v>222</v>
      </c>
      <c r="AK62" s="627">
        <f t="shared" si="10"/>
        <v>15</v>
      </c>
      <c r="AL62" s="627">
        <f t="shared" si="10"/>
        <v>58</v>
      </c>
      <c r="AM62" s="627">
        <f t="shared" si="10"/>
        <v>37</v>
      </c>
      <c r="AN62" s="627">
        <f t="shared" si="10"/>
        <v>39</v>
      </c>
      <c r="AO62" s="627">
        <f t="shared" si="10"/>
        <v>49</v>
      </c>
      <c r="AP62" s="627">
        <f t="shared" si="10"/>
        <v>48</v>
      </c>
      <c r="AQ62" s="627">
        <f t="shared" si="10"/>
        <v>89</v>
      </c>
      <c r="AR62" s="627">
        <f t="shared" si="9"/>
        <v>0</v>
      </c>
      <c r="AS62" s="627">
        <f t="shared" si="9"/>
        <v>37</v>
      </c>
      <c r="AT62" s="627">
        <f t="shared" si="9"/>
        <v>170</v>
      </c>
      <c r="AU62" s="627">
        <f t="shared" si="8"/>
        <v>244</v>
      </c>
      <c r="AV62" s="627">
        <f t="shared" si="8"/>
        <v>314</v>
      </c>
      <c r="AW62" s="627">
        <f t="shared" si="8"/>
        <v>90</v>
      </c>
      <c r="AX62" s="627">
        <f t="shared" si="8"/>
        <v>95</v>
      </c>
      <c r="AY62" s="627">
        <f t="shared" si="8"/>
        <v>241</v>
      </c>
      <c r="AZ62" s="627">
        <f t="shared" si="8"/>
        <v>216</v>
      </c>
      <c r="BA62" s="627">
        <f t="shared" si="8"/>
        <v>186</v>
      </c>
    </row>
    <row r="63" spans="1:53">
      <c r="A63" s="105">
        <f t="shared" si="2"/>
        <v>52</v>
      </c>
      <c r="B63" s="745">
        <v>42421</v>
      </c>
      <c r="C63" s="746" t="s">
        <v>1771</v>
      </c>
      <c r="D63" s="747">
        <v>4151</v>
      </c>
      <c r="E63" s="747">
        <v>4073</v>
      </c>
      <c r="F63" s="747">
        <v>4023</v>
      </c>
      <c r="G63" s="747">
        <v>4022</v>
      </c>
      <c r="H63" s="747">
        <v>4078</v>
      </c>
      <c r="I63" s="747">
        <v>4206</v>
      </c>
      <c r="J63" s="747">
        <v>4278</v>
      </c>
      <c r="K63" s="747">
        <v>4405</v>
      </c>
      <c r="L63" s="747">
        <v>4423</v>
      </c>
      <c r="M63" s="747">
        <v>4457</v>
      </c>
      <c r="N63" s="747">
        <v>4455</v>
      </c>
      <c r="O63" s="747">
        <v>4497</v>
      </c>
      <c r="P63" s="747">
        <v>4468</v>
      </c>
      <c r="Q63" s="747">
        <v>4421</v>
      </c>
      <c r="R63" s="747">
        <v>4393</v>
      </c>
      <c r="S63" s="747">
        <v>4452</v>
      </c>
      <c r="T63" s="747">
        <v>4558</v>
      </c>
      <c r="U63" s="747">
        <v>4957</v>
      </c>
      <c r="V63" s="747">
        <v>5320</v>
      </c>
      <c r="W63" s="747">
        <v>5318</v>
      </c>
      <c r="X63" s="747">
        <v>5183</v>
      </c>
      <c r="Y63" s="747">
        <v>4926</v>
      </c>
      <c r="Z63" s="747">
        <v>4608</v>
      </c>
      <c r="AA63" s="747">
        <v>4428</v>
      </c>
      <c r="AC63" s="628">
        <f t="shared" si="3"/>
        <v>52</v>
      </c>
      <c r="AD63" s="627">
        <f t="shared" si="4"/>
        <v>117</v>
      </c>
      <c r="AE63" s="627">
        <f t="shared" si="10"/>
        <v>78</v>
      </c>
      <c r="AF63" s="627">
        <f t="shared" si="10"/>
        <v>50</v>
      </c>
      <c r="AG63" s="627">
        <f t="shared" si="10"/>
        <v>1</v>
      </c>
      <c r="AH63" s="627">
        <f t="shared" si="10"/>
        <v>56</v>
      </c>
      <c r="AI63" s="627">
        <f t="shared" si="10"/>
        <v>128</v>
      </c>
      <c r="AJ63" s="627">
        <f t="shared" si="10"/>
        <v>72</v>
      </c>
      <c r="AK63" s="627">
        <f t="shared" si="10"/>
        <v>127</v>
      </c>
      <c r="AL63" s="627">
        <f t="shared" si="10"/>
        <v>18</v>
      </c>
      <c r="AM63" s="627">
        <f t="shared" si="10"/>
        <v>34</v>
      </c>
      <c r="AN63" s="627">
        <f t="shared" si="10"/>
        <v>2</v>
      </c>
      <c r="AO63" s="627">
        <f t="shared" si="10"/>
        <v>42</v>
      </c>
      <c r="AP63" s="627">
        <f t="shared" si="10"/>
        <v>29</v>
      </c>
      <c r="AQ63" s="627">
        <f t="shared" si="10"/>
        <v>47</v>
      </c>
      <c r="AR63" s="627">
        <f t="shared" si="9"/>
        <v>28</v>
      </c>
      <c r="AS63" s="627">
        <f t="shared" si="9"/>
        <v>59</v>
      </c>
      <c r="AT63" s="627">
        <f t="shared" si="9"/>
        <v>106</v>
      </c>
      <c r="AU63" s="627">
        <f t="shared" si="8"/>
        <v>399</v>
      </c>
      <c r="AV63" s="627">
        <f t="shared" si="8"/>
        <v>363</v>
      </c>
      <c r="AW63" s="627">
        <f t="shared" si="8"/>
        <v>2</v>
      </c>
      <c r="AX63" s="627">
        <f t="shared" si="8"/>
        <v>135</v>
      </c>
      <c r="AY63" s="627">
        <f t="shared" si="8"/>
        <v>257</v>
      </c>
      <c r="AZ63" s="627">
        <f t="shared" si="8"/>
        <v>318</v>
      </c>
      <c r="BA63" s="627">
        <f t="shared" si="8"/>
        <v>180</v>
      </c>
    </row>
    <row r="64" spans="1:53">
      <c r="A64" s="105">
        <f t="shared" si="2"/>
        <v>53</v>
      </c>
      <c r="B64" s="745">
        <v>42422</v>
      </c>
      <c r="C64" s="746" t="s">
        <v>1771</v>
      </c>
      <c r="D64" s="747">
        <v>4331</v>
      </c>
      <c r="E64" s="747">
        <v>4273</v>
      </c>
      <c r="F64" s="747">
        <v>4173</v>
      </c>
      <c r="G64" s="747">
        <v>4196</v>
      </c>
      <c r="H64" s="747">
        <v>4255</v>
      </c>
      <c r="I64" s="747">
        <v>4563</v>
      </c>
      <c r="J64" s="747">
        <v>5064</v>
      </c>
      <c r="K64" s="747">
        <v>5280</v>
      </c>
      <c r="L64" s="747">
        <v>5289</v>
      </c>
      <c r="M64" s="747">
        <v>5199</v>
      </c>
      <c r="N64" s="747">
        <v>5115</v>
      </c>
      <c r="O64" s="747">
        <v>5019</v>
      </c>
      <c r="P64" s="747">
        <v>5019</v>
      </c>
      <c r="Q64" s="747">
        <v>5040</v>
      </c>
      <c r="R64" s="747">
        <v>5084</v>
      </c>
      <c r="S64" s="747">
        <v>5101</v>
      </c>
      <c r="T64" s="747">
        <v>5329</v>
      </c>
      <c r="U64" s="747">
        <v>5578</v>
      </c>
      <c r="V64" s="747">
        <v>5846</v>
      </c>
      <c r="W64" s="747">
        <v>5707</v>
      </c>
      <c r="X64" s="747">
        <v>5527</v>
      </c>
      <c r="Y64" s="747">
        <v>5187</v>
      </c>
      <c r="Z64" s="747">
        <v>4873</v>
      </c>
      <c r="AA64" s="747">
        <v>4671</v>
      </c>
      <c r="AC64" s="628">
        <f t="shared" si="3"/>
        <v>53</v>
      </c>
      <c r="AD64" s="627">
        <f t="shared" si="4"/>
        <v>97</v>
      </c>
      <c r="AE64" s="627">
        <f t="shared" si="10"/>
        <v>58</v>
      </c>
      <c r="AF64" s="627">
        <f t="shared" si="10"/>
        <v>100</v>
      </c>
      <c r="AG64" s="627">
        <f t="shared" si="10"/>
        <v>23</v>
      </c>
      <c r="AH64" s="627">
        <f t="shared" si="10"/>
        <v>59</v>
      </c>
      <c r="AI64" s="627">
        <f t="shared" si="10"/>
        <v>308</v>
      </c>
      <c r="AJ64" s="627">
        <f t="shared" si="10"/>
        <v>501</v>
      </c>
      <c r="AK64" s="627">
        <f t="shared" si="10"/>
        <v>216</v>
      </c>
      <c r="AL64" s="627">
        <f t="shared" si="10"/>
        <v>9</v>
      </c>
      <c r="AM64" s="627">
        <f t="shared" si="10"/>
        <v>90</v>
      </c>
      <c r="AN64" s="627">
        <f t="shared" si="10"/>
        <v>84</v>
      </c>
      <c r="AO64" s="627">
        <f t="shared" si="10"/>
        <v>96</v>
      </c>
      <c r="AP64" s="627">
        <f t="shared" si="10"/>
        <v>0</v>
      </c>
      <c r="AQ64" s="627">
        <f t="shared" si="10"/>
        <v>21</v>
      </c>
      <c r="AR64" s="627">
        <f t="shared" si="9"/>
        <v>44</v>
      </c>
      <c r="AS64" s="627">
        <f t="shared" si="9"/>
        <v>17</v>
      </c>
      <c r="AT64" s="627">
        <f t="shared" si="9"/>
        <v>228</v>
      </c>
      <c r="AU64" s="627">
        <f t="shared" si="8"/>
        <v>249</v>
      </c>
      <c r="AV64" s="627">
        <f t="shared" si="8"/>
        <v>268</v>
      </c>
      <c r="AW64" s="627">
        <f t="shared" si="8"/>
        <v>139</v>
      </c>
      <c r="AX64" s="627">
        <f t="shared" si="8"/>
        <v>180</v>
      </c>
      <c r="AY64" s="627">
        <f t="shared" si="8"/>
        <v>340</v>
      </c>
      <c r="AZ64" s="627">
        <f t="shared" si="8"/>
        <v>314</v>
      </c>
      <c r="BA64" s="627">
        <f t="shared" si="8"/>
        <v>202</v>
      </c>
    </row>
    <row r="65" spans="1:53">
      <c r="A65" s="105">
        <f t="shared" si="2"/>
        <v>54</v>
      </c>
      <c r="B65" s="745">
        <v>42423</v>
      </c>
      <c r="C65" s="746" t="s">
        <v>1771</v>
      </c>
      <c r="D65" s="747">
        <v>4515</v>
      </c>
      <c r="E65" s="747">
        <v>4433</v>
      </c>
      <c r="F65" s="747">
        <v>4427</v>
      </c>
      <c r="G65" s="747">
        <v>4401</v>
      </c>
      <c r="H65" s="747">
        <v>4393</v>
      </c>
      <c r="I65" s="747">
        <v>4752</v>
      </c>
      <c r="J65" s="747">
        <v>5153</v>
      </c>
      <c r="K65" s="747">
        <v>5330</v>
      </c>
      <c r="L65" s="747">
        <v>5389</v>
      </c>
      <c r="M65" s="747">
        <v>5359</v>
      </c>
      <c r="N65" s="747">
        <v>5318</v>
      </c>
      <c r="O65" s="747">
        <v>5238</v>
      </c>
      <c r="P65" s="747">
        <v>5135</v>
      </c>
      <c r="Q65" s="747">
        <v>5096</v>
      </c>
      <c r="R65" s="747">
        <v>5048</v>
      </c>
      <c r="S65" s="747">
        <v>5038</v>
      </c>
      <c r="T65" s="747">
        <v>5152</v>
      </c>
      <c r="U65" s="747">
        <v>5459</v>
      </c>
      <c r="V65" s="747">
        <v>5788</v>
      </c>
      <c r="W65" s="747">
        <v>5778</v>
      </c>
      <c r="X65" s="747">
        <v>5596</v>
      </c>
      <c r="Y65" s="747">
        <v>5362</v>
      </c>
      <c r="Z65" s="747">
        <v>5057</v>
      </c>
      <c r="AA65" s="747">
        <v>4842</v>
      </c>
      <c r="AC65" s="628">
        <f t="shared" si="3"/>
        <v>54</v>
      </c>
      <c r="AD65" s="627">
        <f t="shared" si="4"/>
        <v>156</v>
      </c>
      <c r="AE65" s="627">
        <f t="shared" si="10"/>
        <v>82</v>
      </c>
      <c r="AF65" s="627">
        <f t="shared" si="10"/>
        <v>6</v>
      </c>
      <c r="AG65" s="627">
        <f t="shared" si="10"/>
        <v>26</v>
      </c>
      <c r="AH65" s="627">
        <f t="shared" si="10"/>
        <v>8</v>
      </c>
      <c r="AI65" s="627">
        <f t="shared" si="10"/>
        <v>359</v>
      </c>
      <c r="AJ65" s="627">
        <f t="shared" si="10"/>
        <v>401</v>
      </c>
      <c r="AK65" s="627">
        <f t="shared" si="10"/>
        <v>177</v>
      </c>
      <c r="AL65" s="627">
        <f t="shared" si="10"/>
        <v>59</v>
      </c>
      <c r="AM65" s="627">
        <f t="shared" si="10"/>
        <v>30</v>
      </c>
      <c r="AN65" s="627">
        <f t="shared" si="10"/>
        <v>41</v>
      </c>
      <c r="AO65" s="627">
        <f t="shared" si="10"/>
        <v>80</v>
      </c>
      <c r="AP65" s="627">
        <f t="shared" si="10"/>
        <v>103</v>
      </c>
      <c r="AQ65" s="627">
        <f t="shared" si="10"/>
        <v>39</v>
      </c>
      <c r="AR65" s="627">
        <f t="shared" si="9"/>
        <v>48</v>
      </c>
      <c r="AS65" s="627">
        <f t="shared" si="9"/>
        <v>10</v>
      </c>
      <c r="AT65" s="627">
        <f t="shared" si="9"/>
        <v>114</v>
      </c>
      <c r="AU65" s="627">
        <f t="shared" si="8"/>
        <v>307</v>
      </c>
      <c r="AV65" s="627">
        <f t="shared" si="8"/>
        <v>329</v>
      </c>
      <c r="AW65" s="627">
        <f t="shared" si="8"/>
        <v>10</v>
      </c>
      <c r="AX65" s="627">
        <f t="shared" si="8"/>
        <v>182</v>
      </c>
      <c r="AY65" s="627">
        <f t="shared" si="8"/>
        <v>234</v>
      </c>
      <c r="AZ65" s="627">
        <f t="shared" si="8"/>
        <v>305</v>
      </c>
      <c r="BA65" s="627">
        <f t="shared" si="8"/>
        <v>215</v>
      </c>
    </row>
    <row r="66" spans="1:53">
      <c r="A66" s="105">
        <f t="shared" si="2"/>
        <v>55</v>
      </c>
      <c r="B66" s="745">
        <v>42424</v>
      </c>
      <c r="C66" s="746" t="s">
        <v>1771</v>
      </c>
      <c r="D66" s="747">
        <v>4700</v>
      </c>
      <c r="E66" s="747">
        <v>4651</v>
      </c>
      <c r="F66" s="747">
        <v>4615</v>
      </c>
      <c r="G66" s="747">
        <v>4596</v>
      </c>
      <c r="H66" s="747">
        <v>4558</v>
      </c>
      <c r="I66" s="747">
        <v>4881</v>
      </c>
      <c r="J66" s="747">
        <v>5324</v>
      </c>
      <c r="K66" s="747">
        <v>5395</v>
      </c>
      <c r="L66" s="747">
        <v>5312</v>
      </c>
      <c r="M66" s="747">
        <v>5219</v>
      </c>
      <c r="N66" s="747">
        <v>5176</v>
      </c>
      <c r="O66" s="747">
        <v>5067</v>
      </c>
      <c r="P66" s="747">
        <v>4971</v>
      </c>
      <c r="Q66" s="747">
        <v>4920</v>
      </c>
      <c r="R66" s="747">
        <v>4886</v>
      </c>
      <c r="S66" s="747">
        <v>4927</v>
      </c>
      <c r="T66" s="747">
        <v>5093</v>
      </c>
      <c r="U66" s="747">
        <v>5396</v>
      </c>
      <c r="V66" s="747">
        <v>5685</v>
      </c>
      <c r="W66" s="747">
        <v>5653</v>
      </c>
      <c r="X66" s="747">
        <v>5507</v>
      </c>
      <c r="Y66" s="747">
        <v>5185</v>
      </c>
      <c r="Z66" s="747">
        <v>5007</v>
      </c>
      <c r="AA66" s="747">
        <v>4729</v>
      </c>
      <c r="AC66" s="628">
        <f t="shared" si="3"/>
        <v>55</v>
      </c>
      <c r="AD66" s="627">
        <f t="shared" si="4"/>
        <v>142</v>
      </c>
      <c r="AE66" s="627">
        <f t="shared" si="10"/>
        <v>49</v>
      </c>
      <c r="AF66" s="627">
        <f t="shared" si="10"/>
        <v>36</v>
      </c>
      <c r="AG66" s="627">
        <f t="shared" si="10"/>
        <v>19</v>
      </c>
      <c r="AH66" s="627">
        <f t="shared" si="10"/>
        <v>38</v>
      </c>
      <c r="AI66" s="627">
        <f t="shared" si="10"/>
        <v>323</v>
      </c>
      <c r="AJ66" s="627">
        <f t="shared" si="10"/>
        <v>443</v>
      </c>
      <c r="AK66" s="627">
        <f t="shared" si="10"/>
        <v>71</v>
      </c>
      <c r="AL66" s="627">
        <f t="shared" si="10"/>
        <v>83</v>
      </c>
      <c r="AM66" s="627">
        <f t="shared" si="10"/>
        <v>93</v>
      </c>
      <c r="AN66" s="627">
        <f t="shared" si="10"/>
        <v>43</v>
      </c>
      <c r="AO66" s="627">
        <f t="shared" si="10"/>
        <v>109</v>
      </c>
      <c r="AP66" s="627">
        <f t="shared" si="10"/>
        <v>96</v>
      </c>
      <c r="AQ66" s="627">
        <f t="shared" si="10"/>
        <v>51</v>
      </c>
      <c r="AR66" s="627">
        <f t="shared" si="9"/>
        <v>34</v>
      </c>
      <c r="AS66" s="627">
        <f t="shared" si="9"/>
        <v>41</v>
      </c>
      <c r="AT66" s="627">
        <f t="shared" si="9"/>
        <v>166</v>
      </c>
      <c r="AU66" s="627">
        <f t="shared" si="8"/>
        <v>303</v>
      </c>
      <c r="AV66" s="627">
        <f t="shared" si="8"/>
        <v>289</v>
      </c>
      <c r="AW66" s="627">
        <f t="shared" si="8"/>
        <v>32</v>
      </c>
      <c r="AX66" s="627">
        <f t="shared" si="8"/>
        <v>146</v>
      </c>
      <c r="AY66" s="627">
        <f t="shared" si="8"/>
        <v>322</v>
      </c>
      <c r="AZ66" s="627">
        <f t="shared" si="8"/>
        <v>178</v>
      </c>
      <c r="BA66" s="627">
        <f t="shared" si="8"/>
        <v>278</v>
      </c>
    </row>
    <row r="67" spans="1:53">
      <c r="A67" s="105">
        <f t="shared" si="2"/>
        <v>56</v>
      </c>
      <c r="B67" s="745">
        <v>42425</v>
      </c>
      <c r="C67" s="746" t="s">
        <v>1771</v>
      </c>
      <c r="D67" s="747">
        <v>4616</v>
      </c>
      <c r="E67" s="747">
        <v>4530</v>
      </c>
      <c r="F67" s="747">
        <v>4510</v>
      </c>
      <c r="G67" s="747">
        <v>4436</v>
      </c>
      <c r="H67" s="747">
        <v>4534</v>
      </c>
      <c r="I67" s="747">
        <v>4731</v>
      </c>
      <c r="J67" s="747">
        <v>5224</v>
      </c>
      <c r="K67" s="747">
        <v>5308</v>
      </c>
      <c r="L67" s="747">
        <v>5227</v>
      </c>
      <c r="M67" s="747">
        <v>5152</v>
      </c>
      <c r="N67" s="747">
        <v>5120</v>
      </c>
      <c r="O67" s="747">
        <v>5024</v>
      </c>
      <c r="P67" s="747">
        <v>4935</v>
      </c>
      <c r="Q67" s="747">
        <v>4885</v>
      </c>
      <c r="R67" s="747">
        <v>4830</v>
      </c>
      <c r="S67" s="747">
        <v>4836</v>
      </c>
      <c r="T67" s="747">
        <v>4992</v>
      </c>
      <c r="U67" s="747">
        <v>5257</v>
      </c>
      <c r="V67" s="747">
        <v>5601</v>
      </c>
      <c r="W67" s="747">
        <v>5591</v>
      </c>
      <c r="X67" s="747">
        <v>5477</v>
      </c>
      <c r="Y67" s="747">
        <v>5218</v>
      </c>
      <c r="Z67" s="747">
        <v>4816</v>
      </c>
      <c r="AA67" s="747">
        <v>4481</v>
      </c>
      <c r="AC67" s="628">
        <f t="shared" si="3"/>
        <v>56</v>
      </c>
      <c r="AD67" s="627">
        <f t="shared" si="4"/>
        <v>113</v>
      </c>
      <c r="AE67" s="627">
        <f t="shared" si="10"/>
        <v>86</v>
      </c>
      <c r="AF67" s="627">
        <f t="shared" si="10"/>
        <v>20</v>
      </c>
      <c r="AG67" s="627">
        <f t="shared" si="10"/>
        <v>74</v>
      </c>
      <c r="AH67" s="627">
        <f t="shared" si="10"/>
        <v>98</v>
      </c>
      <c r="AI67" s="627">
        <f t="shared" si="10"/>
        <v>197</v>
      </c>
      <c r="AJ67" s="627">
        <f t="shared" si="10"/>
        <v>493</v>
      </c>
      <c r="AK67" s="627">
        <f t="shared" si="10"/>
        <v>84</v>
      </c>
      <c r="AL67" s="627">
        <f t="shared" si="10"/>
        <v>81</v>
      </c>
      <c r="AM67" s="627">
        <f t="shared" si="10"/>
        <v>75</v>
      </c>
      <c r="AN67" s="627">
        <f t="shared" si="10"/>
        <v>32</v>
      </c>
      <c r="AO67" s="627">
        <f t="shared" si="10"/>
        <v>96</v>
      </c>
      <c r="AP67" s="627">
        <f t="shared" si="10"/>
        <v>89</v>
      </c>
      <c r="AQ67" s="627">
        <f t="shared" si="10"/>
        <v>50</v>
      </c>
      <c r="AR67" s="627">
        <f t="shared" si="9"/>
        <v>55</v>
      </c>
      <c r="AS67" s="627">
        <f t="shared" si="9"/>
        <v>6</v>
      </c>
      <c r="AT67" s="627">
        <f t="shared" si="9"/>
        <v>156</v>
      </c>
      <c r="AU67" s="627">
        <f t="shared" si="8"/>
        <v>265</v>
      </c>
      <c r="AV67" s="627">
        <f t="shared" si="8"/>
        <v>344</v>
      </c>
      <c r="AW67" s="627">
        <f t="shared" si="8"/>
        <v>10</v>
      </c>
      <c r="AX67" s="627">
        <f t="shared" si="8"/>
        <v>114</v>
      </c>
      <c r="AY67" s="627">
        <f t="shared" si="8"/>
        <v>259</v>
      </c>
      <c r="AZ67" s="627">
        <f t="shared" si="8"/>
        <v>402</v>
      </c>
      <c r="BA67" s="627">
        <f t="shared" si="8"/>
        <v>335</v>
      </c>
    </row>
    <row r="68" spans="1:53">
      <c r="A68" s="105">
        <f t="shared" si="2"/>
        <v>57</v>
      </c>
      <c r="B68" s="745">
        <v>42426</v>
      </c>
      <c r="C68" s="746" t="s">
        <v>1771</v>
      </c>
      <c r="D68" s="747">
        <v>4356</v>
      </c>
      <c r="E68" s="747">
        <v>4444</v>
      </c>
      <c r="F68" s="747">
        <v>4453</v>
      </c>
      <c r="G68" s="747">
        <v>4477</v>
      </c>
      <c r="H68" s="747">
        <v>4611</v>
      </c>
      <c r="I68" s="747">
        <v>4843</v>
      </c>
      <c r="J68" s="747">
        <v>5216</v>
      </c>
      <c r="K68" s="747">
        <v>5272</v>
      </c>
      <c r="L68" s="747">
        <v>5130</v>
      </c>
      <c r="M68" s="747">
        <v>5064</v>
      </c>
      <c r="N68" s="747">
        <v>5004</v>
      </c>
      <c r="O68" s="747">
        <v>4936</v>
      </c>
      <c r="P68" s="747">
        <v>4851</v>
      </c>
      <c r="Q68" s="747">
        <v>4820</v>
      </c>
      <c r="R68" s="747">
        <v>4832</v>
      </c>
      <c r="S68" s="747">
        <v>4802</v>
      </c>
      <c r="T68" s="747">
        <v>4861</v>
      </c>
      <c r="U68" s="747">
        <v>5056</v>
      </c>
      <c r="V68" s="747">
        <v>5274</v>
      </c>
      <c r="W68" s="747">
        <v>5221</v>
      </c>
      <c r="X68" s="747">
        <v>5103</v>
      </c>
      <c r="Y68" s="747">
        <v>4886</v>
      </c>
      <c r="Z68" s="747">
        <v>4563</v>
      </c>
      <c r="AA68" s="747">
        <v>4393</v>
      </c>
      <c r="AC68" s="628">
        <f t="shared" si="3"/>
        <v>57</v>
      </c>
      <c r="AD68" s="627">
        <f t="shared" si="4"/>
        <v>125</v>
      </c>
      <c r="AE68" s="627">
        <f t="shared" si="10"/>
        <v>88</v>
      </c>
      <c r="AF68" s="627">
        <f t="shared" si="10"/>
        <v>9</v>
      </c>
      <c r="AG68" s="627">
        <f t="shared" si="10"/>
        <v>24</v>
      </c>
      <c r="AH68" s="627">
        <f t="shared" si="10"/>
        <v>134</v>
      </c>
      <c r="AI68" s="627">
        <f t="shared" si="10"/>
        <v>232</v>
      </c>
      <c r="AJ68" s="627">
        <f t="shared" si="10"/>
        <v>373</v>
      </c>
      <c r="AK68" s="627">
        <f t="shared" si="10"/>
        <v>56</v>
      </c>
      <c r="AL68" s="627">
        <f t="shared" si="10"/>
        <v>142</v>
      </c>
      <c r="AM68" s="627">
        <f t="shared" si="10"/>
        <v>66</v>
      </c>
      <c r="AN68" s="627">
        <f t="shared" si="10"/>
        <v>60</v>
      </c>
      <c r="AO68" s="627">
        <f t="shared" si="10"/>
        <v>68</v>
      </c>
      <c r="AP68" s="627">
        <f t="shared" si="10"/>
        <v>85</v>
      </c>
      <c r="AQ68" s="627">
        <f t="shared" si="10"/>
        <v>31</v>
      </c>
      <c r="AR68" s="627">
        <f t="shared" si="9"/>
        <v>12</v>
      </c>
      <c r="AS68" s="627">
        <f t="shared" si="9"/>
        <v>30</v>
      </c>
      <c r="AT68" s="627">
        <f t="shared" si="9"/>
        <v>59</v>
      </c>
      <c r="AU68" s="627">
        <f t="shared" si="8"/>
        <v>195</v>
      </c>
      <c r="AV68" s="627">
        <f t="shared" si="8"/>
        <v>218</v>
      </c>
      <c r="AW68" s="627">
        <f t="shared" si="8"/>
        <v>53</v>
      </c>
      <c r="AX68" s="627">
        <f t="shared" si="8"/>
        <v>118</v>
      </c>
      <c r="AY68" s="627">
        <f t="shared" si="8"/>
        <v>217</v>
      </c>
      <c r="AZ68" s="627">
        <f t="shared" si="8"/>
        <v>323</v>
      </c>
      <c r="BA68" s="627">
        <f t="shared" si="8"/>
        <v>170</v>
      </c>
    </row>
    <row r="69" spans="1:53">
      <c r="A69" s="105">
        <f t="shared" si="2"/>
        <v>58</v>
      </c>
      <c r="B69" s="745">
        <v>42427</v>
      </c>
      <c r="C69" s="746" t="s">
        <v>1771</v>
      </c>
      <c r="D69" s="747">
        <v>4231</v>
      </c>
      <c r="E69" s="747">
        <v>4175</v>
      </c>
      <c r="F69" s="747">
        <v>4226</v>
      </c>
      <c r="G69" s="747">
        <v>4229</v>
      </c>
      <c r="H69" s="747">
        <v>4246</v>
      </c>
      <c r="I69" s="747">
        <v>4292</v>
      </c>
      <c r="J69" s="747">
        <v>4371</v>
      </c>
      <c r="K69" s="747">
        <v>4451</v>
      </c>
      <c r="L69" s="747">
        <v>4502</v>
      </c>
      <c r="M69" s="747">
        <v>4522</v>
      </c>
      <c r="N69" s="747">
        <v>4559</v>
      </c>
      <c r="O69" s="747">
        <v>4538</v>
      </c>
      <c r="P69" s="747">
        <v>4529</v>
      </c>
      <c r="Q69" s="747">
        <v>4511</v>
      </c>
      <c r="R69" s="747">
        <v>4489</v>
      </c>
      <c r="S69" s="747">
        <v>4500</v>
      </c>
      <c r="T69" s="747">
        <v>4518</v>
      </c>
      <c r="U69" s="747">
        <v>4735</v>
      </c>
      <c r="V69" s="747">
        <v>5044</v>
      </c>
      <c r="W69" s="747">
        <v>5001</v>
      </c>
      <c r="X69" s="747">
        <v>4855</v>
      </c>
      <c r="Y69" s="747">
        <v>4819</v>
      </c>
      <c r="Z69" s="747">
        <v>4570</v>
      </c>
      <c r="AA69" s="747">
        <v>4335</v>
      </c>
      <c r="AC69" s="628">
        <f t="shared" si="3"/>
        <v>58</v>
      </c>
      <c r="AD69" s="627">
        <f t="shared" si="4"/>
        <v>162</v>
      </c>
      <c r="AE69" s="627">
        <f t="shared" si="10"/>
        <v>56</v>
      </c>
      <c r="AF69" s="627">
        <f t="shared" si="10"/>
        <v>51</v>
      </c>
      <c r="AG69" s="627">
        <f t="shared" si="10"/>
        <v>3</v>
      </c>
      <c r="AH69" s="627">
        <f t="shared" si="10"/>
        <v>17</v>
      </c>
      <c r="AI69" s="627">
        <f t="shared" si="10"/>
        <v>46</v>
      </c>
      <c r="AJ69" s="627">
        <f t="shared" si="10"/>
        <v>79</v>
      </c>
      <c r="AK69" s="627">
        <f t="shared" si="10"/>
        <v>80</v>
      </c>
      <c r="AL69" s="627">
        <f t="shared" si="10"/>
        <v>51</v>
      </c>
      <c r="AM69" s="627">
        <f t="shared" si="10"/>
        <v>20</v>
      </c>
      <c r="AN69" s="627">
        <f t="shared" si="10"/>
        <v>37</v>
      </c>
      <c r="AO69" s="627">
        <f t="shared" si="10"/>
        <v>21</v>
      </c>
      <c r="AP69" s="627">
        <f t="shared" si="10"/>
        <v>9</v>
      </c>
      <c r="AQ69" s="627">
        <f t="shared" si="10"/>
        <v>18</v>
      </c>
      <c r="AR69" s="627">
        <f t="shared" si="9"/>
        <v>22</v>
      </c>
      <c r="AS69" s="627">
        <f t="shared" si="9"/>
        <v>11</v>
      </c>
      <c r="AT69" s="627">
        <f t="shared" si="9"/>
        <v>18</v>
      </c>
      <c r="AU69" s="627">
        <f t="shared" si="8"/>
        <v>217</v>
      </c>
      <c r="AV69" s="627">
        <f t="shared" si="8"/>
        <v>309</v>
      </c>
      <c r="AW69" s="627">
        <f t="shared" si="8"/>
        <v>43</v>
      </c>
      <c r="AX69" s="627">
        <f t="shared" si="8"/>
        <v>146</v>
      </c>
      <c r="AY69" s="627">
        <f t="shared" si="8"/>
        <v>36</v>
      </c>
      <c r="AZ69" s="627">
        <f t="shared" si="8"/>
        <v>249</v>
      </c>
      <c r="BA69" s="627">
        <f t="shared" si="8"/>
        <v>235</v>
      </c>
    </row>
    <row r="70" spans="1:53">
      <c r="A70" s="105">
        <f t="shared" si="2"/>
        <v>59</v>
      </c>
      <c r="B70" s="745">
        <v>42428</v>
      </c>
      <c r="C70" s="746" t="s">
        <v>1771</v>
      </c>
      <c r="D70" s="747">
        <v>4256</v>
      </c>
      <c r="E70" s="747">
        <v>4165</v>
      </c>
      <c r="F70" s="747">
        <v>4106</v>
      </c>
      <c r="G70" s="747">
        <v>4048</v>
      </c>
      <c r="H70" s="747">
        <v>3995</v>
      </c>
      <c r="I70" s="747">
        <v>4078</v>
      </c>
      <c r="J70" s="747">
        <v>4075</v>
      </c>
      <c r="K70" s="747">
        <v>4182</v>
      </c>
      <c r="L70" s="747">
        <v>4308</v>
      </c>
      <c r="M70" s="747">
        <v>4362</v>
      </c>
      <c r="N70" s="747">
        <v>4348</v>
      </c>
      <c r="O70" s="747">
        <v>4368</v>
      </c>
      <c r="P70" s="747">
        <v>4386</v>
      </c>
      <c r="Q70" s="747">
        <v>4313</v>
      </c>
      <c r="R70" s="747">
        <v>4340</v>
      </c>
      <c r="S70" s="747">
        <v>4382</v>
      </c>
      <c r="T70" s="747">
        <v>4502</v>
      </c>
      <c r="U70" s="747">
        <v>4806</v>
      </c>
      <c r="V70" s="747">
        <v>5160</v>
      </c>
      <c r="W70" s="747">
        <v>5159</v>
      </c>
      <c r="X70" s="747">
        <v>4990</v>
      </c>
      <c r="Y70" s="747">
        <v>4724</v>
      </c>
      <c r="Z70" s="747">
        <v>4407</v>
      </c>
      <c r="AA70" s="747">
        <v>4207</v>
      </c>
      <c r="AC70" s="628">
        <f t="shared" si="3"/>
        <v>59</v>
      </c>
      <c r="AD70" s="627">
        <f t="shared" si="4"/>
        <v>79</v>
      </c>
      <c r="AE70" s="627">
        <f t="shared" si="10"/>
        <v>91</v>
      </c>
      <c r="AF70" s="627">
        <f t="shared" si="10"/>
        <v>59</v>
      </c>
      <c r="AG70" s="627">
        <f t="shared" si="10"/>
        <v>58</v>
      </c>
      <c r="AH70" s="627">
        <f t="shared" si="10"/>
        <v>53</v>
      </c>
      <c r="AI70" s="627">
        <f t="shared" si="10"/>
        <v>83</v>
      </c>
      <c r="AJ70" s="627">
        <f t="shared" si="10"/>
        <v>3</v>
      </c>
      <c r="AK70" s="627">
        <f t="shared" si="10"/>
        <v>107</v>
      </c>
      <c r="AL70" s="627">
        <f t="shared" si="10"/>
        <v>126</v>
      </c>
      <c r="AM70" s="627">
        <f t="shared" si="10"/>
        <v>54</v>
      </c>
      <c r="AN70" s="627">
        <f t="shared" si="10"/>
        <v>14</v>
      </c>
      <c r="AO70" s="627">
        <f t="shared" si="10"/>
        <v>20</v>
      </c>
      <c r="AP70" s="627">
        <f t="shared" si="10"/>
        <v>18</v>
      </c>
      <c r="AQ70" s="627">
        <f t="shared" si="10"/>
        <v>73</v>
      </c>
      <c r="AR70" s="627">
        <f t="shared" si="9"/>
        <v>27</v>
      </c>
      <c r="AS70" s="627">
        <f t="shared" si="9"/>
        <v>42</v>
      </c>
      <c r="AT70" s="627">
        <f t="shared" si="9"/>
        <v>120</v>
      </c>
      <c r="AU70" s="627">
        <f t="shared" si="8"/>
        <v>304</v>
      </c>
      <c r="AV70" s="627">
        <f t="shared" si="8"/>
        <v>354</v>
      </c>
      <c r="AW70" s="627">
        <f t="shared" si="8"/>
        <v>1</v>
      </c>
      <c r="AX70" s="627">
        <f t="shared" si="8"/>
        <v>169</v>
      </c>
      <c r="AY70" s="627">
        <f t="shared" si="8"/>
        <v>266</v>
      </c>
      <c r="AZ70" s="627">
        <f t="shared" si="8"/>
        <v>317</v>
      </c>
      <c r="BA70" s="627">
        <f t="shared" si="8"/>
        <v>200</v>
      </c>
    </row>
    <row r="71" spans="1:53" s="744" customFormat="1">
      <c r="A71" s="110">
        <f t="shared" si="2"/>
        <v>60</v>
      </c>
      <c r="B71" s="745">
        <v>42429</v>
      </c>
      <c r="C71" s="746" t="s">
        <v>1771</v>
      </c>
      <c r="D71" s="747">
        <v>4079</v>
      </c>
      <c r="E71" s="747">
        <v>4087</v>
      </c>
      <c r="F71" s="747">
        <v>4076</v>
      </c>
      <c r="G71" s="747">
        <v>4120</v>
      </c>
      <c r="H71" s="747">
        <v>4261</v>
      </c>
      <c r="I71" s="747">
        <v>4523</v>
      </c>
      <c r="J71" s="747">
        <v>4894</v>
      </c>
      <c r="K71" s="747">
        <v>4988</v>
      </c>
      <c r="L71" s="747">
        <v>4971</v>
      </c>
      <c r="M71" s="747">
        <v>4970</v>
      </c>
      <c r="N71" s="747">
        <v>4839</v>
      </c>
      <c r="O71" s="747">
        <v>4855</v>
      </c>
      <c r="P71" s="747">
        <v>4851</v>
      </c>
      <c r="Q71" s="747">
        <v>4817</v>
      </c>
      <c r="R71" s="747">
        <v>4826</v>
      </c>
      <c r="S71" s="747">
        <v>4883</v>
      </c>
      <c r="T71" s="747">
        <v>5101</v>
      </c>
      <c r="U71" s="747">
        <v>5259</v>
      </c>
      <c r="V71" s="747">
        <v>5532</v>
      </c>
      <c r="W71" s="747">
        <v>5423</v>
      </c>
      <c r="X71" s="747">
        <v>5225</v>
      </c>
      <c r="Y71" s="747">
        <v>4937</v>
      </c>
      <c r="Z71" s="747">
        <v>4598</v>
      </c>
      <c r="AA71" s="747">
        <v>4398</v>
      </c>
      <c r="AB71" s="109"/>
      <c r="AC71" s="819">
        <f t="shared" si="3"/>
        <v>60</v>
      </c>
      <c r="AD71" s="820">
        <f t="shared" si="4"/>
        <v>128</v>
      </c>
      <c r="AE71" s="820">
        <f t="shared" si="10"/>
        <v>8</v>
      </c>
      <c r="AF71" s="820">
        <f t="shared" si="10"/>
        <v>11</v>
      </c>
      <c r="AG71" s="820">
        <f t="shared" si="10"/>
        <v>44</v>
      </c>
      <c r="AH71" s="820">
        <f t="shared" si="10"/>
        <v>141</v>
      </c>
      <c r="AI71" s="820">
        <f t="shared" si="10"/>
        <v>262</v>
      </c>
      <c r="AJ71" s="820">
        <f t="shared" si="10"/>
        <v>371</v>
      </c>
      <c r="AK71" s="820">
        <f t="shared" si="10"/>
        <v>94</v>
      </c>
      <c r="AL71" s="820">
        <f t="shared" si="10"/>
        <v>17</v>
      </c>
      <c r="AM71" s="820">
        <f t="shared" si="10"/>
        <v>1</v>
      </c>
      <c r="AN71" s="820">
        <f t="shared" si="10"/>
        <v>131</v>
      </c>
      <c r="AO71" s="820">
        <f t="shared" si="10"/>
        <v>16</v>
      </c>
      <c r="AP71" s="820">
        <f t="shared" si="10"/>
        <v>4</v>
      </c>
      <c r="AQ71" s="820">
        <f t="shared" si="10"/>
        <v>34</v>
      </c>
      <c r="AR71" s="820">
        <f t="shared" si="9"/>
        <v>9</v>
      </c>
      <c r="AS71" s="820">
        <f t="shared" si="9"/>
        <v>57</v>
      </c>
      <c r="AT71" s="820">
        <f t="shared" si="9"/>
        <v>218</v>
      </c>
      <c r="AU71" s="820">
        <f t="shared" si="8"/>
        <v>158</v>
      </c>
      <c r="AV71" s="820">
        <f t="shared" si="8"/>
        <v>273</v>
      </c>
      <c r="AW71" s="820">
        <f t="shared" si="8"/>
        <v>109</v>
      </c>
      <c r="AX71" s="820">
        <f t="shared" si="8"/>
        <v>198</v>
      </c>
      <c r="AY71" s="820">
        <f t="shared" si="8"/>
        <v>288</v>
      </c>
      <c r="AZ71" s="820">
        <f t="shared" si="8"/>
        <v>339</v>
      </c>
      <c r="BA71" s="820">
        <f t="shared" si="8"/>
        <v>200</v>
      </c>
    </row>
    <row r="72" spans="1:53">
      <c r="A72" s="105">
        <f t="shared" si="2"/>
        <v>61</v>
      </c>
      <c r="B72" s="745">
        <v>42430</v>
      </c>
      <c r="C72" s="746" t="s">
        <v>1771</v>
      </c>
      <c r="D72" s="747">
        <v>4267</v>
      </c>
      <c r="E72" s="747">
        <v>4241</v>
      </c>
      <c r="F72" s="747">
        <v>4215</v>
      </c>
      <c r="G72" s="747">
        <v>4239</v>
      </c>
      <c r="H72" s="747">
        <v>4260</v>
      </c>
      <c r="I72" s="747">
        <v>4595</v>
      </c>
      <c r="J72" s="747">
        <v>4920</v>
      </c>
      <c r="K72" s="747">
        <v>5051</v>
      </c>
      <c r="L72" s="747">
        <v>5011</v>
      </c>
      <c r="M72" s="747">
        <v>4989</v>
      </c>
      <c r="N72" s="747">
        <v>4908</v>
      </c>
      <c r="O72" s="747">
        <v>4866</v>
      </c>
      <c r="P72" s="747">
        <v>4592</v>
      </c>
      <c r="Q72" s="747">
        <v>4693</v>
      </c>
      <c r="R72" s="747">
        <v>4886</v>
      </c>
      <c r="S72" s="747">
        <v>4852</v>
      </c>
      <c r="T72" s="747">
        <v>4854</v>
      </c>
      <c r="U72" s="747">
        <v>5125</v>
      </c>
      <c r="V72" s="747">
        <v>5437</v>
      </c>
      <c r="W72" s="747">
        <v>5345</v>
      </c>
      <c r="X72" s="747">
        <v>5185</v>
      </c>
      <c r="Y72" s="747">
        <v>4887</v>
      </c>
      <c r="Z72" s="747">
        <v>4546</v>
      </c>
      <c r="AA72" s="747">
        <v>4212</v>
      </c>
      <c r="AB72" s="627">
        <f>MAX(D72:AA102)</f>
        <v>5658</v>
      </c>
      <c r="AC72" s="628">
        <f t="shared" si="3"/>
        <v>61</v>
      </c>
      <c r="AD72" s="627">
        <f t="shared" si="4"/>
        <v>131</v>
      </c>
      <c r="AE72" s="627">
        <f t="shared" si="10"/>
        <v>26</v>
      </c>
      <c r="AF72" s="627">
        <f t="shared" si="10"/>
        <v>26</v>
      </c>
      <c r="AG72" s="627">
        <f t="shared" si="10"/>
        <v>24</v>
      </c>
      <c r="AH72" s="627">
        <f t="shared" si="10"/>
        <v>21</v>
      </c>
      <c r="AI72" s="627">
        <f t="shared" si="10"/>
        <v>335</v>
      </c>
      <c r="AJ72" s="627">
        <f t="shared" si="10"/>
        <v>325</v>
      </c>
      <c r="AK72" s="627">
        <f t="shared" si="10"/>
        <v>131</v>
      </c>
      <c r="AL72" s="627">
        <f t="shared" si="10"/>
        <v>40</v>
      </c>
      <c r="AM72" s="627">
        <f t="shared" si="10"/>
        <v>22</v>
      </c>
      <c r="AN72" s="627">
        <f t="shared" si="10"/>
        <v>81</v>
      </c>
      <c r="AO72" s="627">
        <f t="shared" si="10"/>
        <v>42</v>
      </c>
      <c r="AP72" s="627">
        <f t="shared" si="10"/>
        <v>274</v>
      </c>
      <c r="AQ72" s="627">
        <f t="shared" si="10"/>
        <v>101</v>
      </c>
      <c r="AR72" s="627">
        <f t="shared" si="9"/>
        <v>193</v>
      </c>
      <c r="AS72" s="627">
        <f t="shared" si="9"/>
        <v>34</v>
      </c>
      <c r="AT72" s="627">
        <f t="shared" si="9"/>
        <v>2</v>
      </c>
      <c r="AU72" s="627">
        <f t="shared" si="8"/>
        <v>271</v>
      </c>
      <c r="AV72" s="627">
        <f t="shared" si="8"/>
        <v>312</v>
      </c>
      <c r="AW72" s="627">
        <f t="shared" si="8"/>
        <v>92</v>
      </c>
      <c r="AX72" s="627">
        <f t="shared" si="8"/>
        <v>160</v>
      </c>
      <c r="AY72" s="627">
        <f t="shared" si="8"/>
        <v>298</v>
      </c>
      <c r="AZ72" s="627">
        <f t="shared" si="8"/>
        <v>341</v>
      </c>
      <c r="BA72" s="627">
        <f t="shared" si="8"/>
        <v>334</v>
      </c>
    </row>
    <row r="73" spans="1:53">
      <c r="A73" s="105">
        <f t="shared" si="2"/>
        <v>62</v>
      </c>
      <c r="B73" s="745">
        <v>42431</v>
      </c>
      <c r="C73" s="746" t="s">
        <v>1771</v>
      </c>
      <c r="D73" s="747">
        <v>4104</v>
      </c>
      <c r="E73" s="747">
        <v>4120</v>
      </c>
      <c r="F73" s="747">
        <v>4142</v>
      </c>
      <c r="G73" s="747">
        <v>4152</v>
      </c>
      <c r="H73" s="747">
        <v>4284</v>
      </c>
      <c r="I73" s="747">
        <v>4555</v>
      </c>
      <c r="J73" s="747">
        <v>4844</v>
      </c>
      <c r="K73" s="747">
        <v>4983</v>
      </c>
      <c r="L73" s="747">
        <v>5058</v>
      </c>
      <c r="M73" s="747">
        <v>4981</v>
      </c>
      <c r="N73" s="747">
        <v>4984</v>
      </c>
      <c r="O73" s="747">
        <v>4842</v>
      </c>
      <c r="P73" s="747">
        <v>5011</v>
      </c>
      <c r="Q73" s="747">
        <v>4882</v>
      </c>
      <c r="R73" s="747">
        <v>4816</v>
      </c>
      <c r="S73" s="747">
        <v>4950</v>
      </c>
      <c r="T73" s="747">
        <v>5045</v>
      </c>
      <c r="U73" s="747">
        <v>5164</v>
      </c>
      <c r="V73" s="747">
        <v>5391</v>
      </c>
      <c r="W73" s="747">
        <v>5425</v>
      </c>
      <c r="X73" s="747">
        <v>5226</v>
      </c>
      <c r="Y73" s="747">
        <v>4985</v>
      </c>
      <c r="Z73" s="747">
        <v>4752</v>
      </c>
      <c r="AA73" s="747">
        <v>4493</v>
      </c>
      <c r="AC73" s="628">
        <f t="shared" si="3"/>
        <v>62</v>
      </c>
      <c r="AD73" s="627">
        <f t="shared" si="4"/>
        <v>108</v>
      </c>
      <c r="AE73" s="627">
        <f t="shared" si="10"/>
        <v>16</v>
      </c>
      <c r="AF73" s="627">
        <f t="shared" si="10"/>
        <v>22</v>
      </c>
      <c r="AG73" s="627">
        <f t="shared" si="10"/>
        <v>10</v>
      </c>
      <c r="AH73" s="627">
        <f t="shared" si="10"/>
        <v>132</v>
      </c>
      <c r="AI73" s="627">
        <f t="shared" si="10"/>
        <v>271</v>
      </c>
      <c r="AJ73" s="627">
        <f t="shared" si="10"/>
        <v>289</v>
      </c>
      <c r="AK73" s="627">
        <f t="shared" si="10"/>
        <v>139</v>
      </c>
      <c r="AL73" s="627">
        <f t="shared" si="10"/>
        <v>75</v>
      </c>
      <c r="AM73" s="627">
        <f t="shared" si="10"/>
        <v>77</v>
      </c>
      <c r="AN73" s="627">
        <f t="shared" si="10"/>
        <v>3</v>
      </c>
      <c r="AO73" s="627">
        <f t="shared" si="10"/>
        <v>142</v>
      </c>
      <c r="AP73" s="627">
        <f t="shared" si="10"/>
        <v>169</v>
      </c>
      <c r="AQ73" s="627">
        <f t="shared" si="10"/>
        <v>129</v>
      </c>
      <c r="AR73" s="627">
        <f t="shared" si="9"/>
        <v>66</v>
      </c>
      <c r="AS73" s="627">
        <f t="shared" si="9"/>
        <v>134</v>
      </c>
      <c r="AT73" s="627">
        <f t="shared" si="9"/>
        <v>95</v>
      </c>
      <c r="AU73" s="627">
        <f t="shared" si="8"/>
        <v>119</v>
      </c>
      <c r="AV73" s="627">
        <f t="shared" si="8"/>
        <v>227</v>
      </c>
      <c r="AW73" s="627">
        <f t="shared" si="8"/>
        <v>34</v>
      </c>
      <c r="AX73" s="627">
        <f t="shared" si="8"/>
        <v>199</v>
      </c>
      <c r="AY73" s="627">
        <f t="shared" si="8"/>
        <v>241</v>
      </c>
      <c r="AZ73" s="627">
        <f t="shared" si="8"/>
        <v>233</v>
      </c>
      <c r="BA73" s="627">
        <f t="shared" si="8"/>
        <v>259</v>
      </c>
    </row>
    <row r="74" spans="1:53">
      <c r="A74" s="105">
        <f t="shared" si="2"/>
        <v>63</v>
      </c>
      <c r="B74" s="745">
        <v>42432</v>
      </c>
      <c r="C74" s="746" t="s">
        <v>1771</v>
      </c>
      <c r="D74" s="747">
        <v>4279</v>
      </c>
      <c r="E74" s="747">
        <v>4203</v>
      </c>
      <c r="F74" s="747">
        <v>4273</v>
      </c>
      <c r="G74" s="747">
        <v>4214</v>
      </c>
      <c r="H74" s="747">
        <v>4204</v>
      </c>
      <c r="I74" s="747">
        <v>4524</v>
      </c>
      <c r="J74" s="747">
        <v>5103</v>
      </c>
      <c r="K74" s="747">
        <v>5022</v>
      </c>
      <c r="L74" s="747">
        <v>4868</v>
      </c>
      <c r="M74" s="747">
        <v>4895</v>
      </c>
      <c r="N74" s="747">
        <v>4900</v>
      </c>
      <c r="O74" s="747">
        <v>4818</v>
      </c>
      <c r="P74" s="747">
        <v>4776</v>
      </c>
      <c r="Q74" s="747">
        <v>4729</v>
      </c>
      <c r="R74" s="747">
        <v>4760</v>
      </c>
      <c r="S74" s="747">
        <v>4754</v>
      </c>
      <c r="T74" s="747">
        <v>4836</v>
      </c>
      <c r="U74" s="747">
        <v>5012</v>
      </c>
      <c r="V74" s="747">
        <v>5334</v>
      </c>
      <c r="W74" s="747">
        <v>5243</v>
      </c>
      <c r="X74" s="747">
        <v>5082</v>
      </c>
      <c r="Y74" s="747">
        <v>4799</v>
      </c>
      <c r="Z74" s="747">
        <v>4410</v>
      </c>
      <c r="AA74" s="747">
        <v>4097</v>
      </c>
      <c r="AC74" s="628">
        <f t="shared" si="3"/>
        <v>63</v>
      </c>
      <c r="AD74" s="627">
        <f t="shared" si="4"/>
        <v>214</v>
      </c>
      <c r="AE74" s="627">
        <f t="shared" si="10"/>
        <v>76</v>
      </c>
      <c r="AF74" s="627">
        <f t="shared" si="10"/>
        <v>70</v>
      </c>
      <c r="AG74" s="627">
        <f t="shared" si="10"/>
        <v>59</v>
      </c>
      <c r="AH74" s="627">
        <f t="shared" si="10"/>
        <v>10</v>
      </c>
      <c r="AI74" s="627">
        <f t="shared" si="10"/>
        <v>320</v>
      </c>
      <c r="AJ74" s="627">
        <f t="shared" si="10"/>
        <v>579</v>
      </c>
      <c r="AK74" s="627">
        <f t="shared" si="10"/>
        <v>81</v>
      </c>
      <c r="AL74" s="627">
        <f t="shared" si="10"/>
        <v>154</v>
      </c>
      <c r="AM74" s="627">
        <f t="shared" si="10"/>
        <v>27</v>
      </c>
      <c r="AN74" s="627">
        <f t="shared" si="10"/>
        <v>5</v>
      </c>
      <c r="AO74" s="627">
        <f t="shared" si="10"/>
        <v>82</v>
      </c>
      <c r="AP74" s="627">
        <f t="shared" si="10"/>
        <v>42</v>
      </c>
      <c r="AQ74" s="627">
        <f t="shared" si="10"/>
        <v>47</v>
      </c>
      <c r="AR74" s="627">
        <f t="shared" si="9"/>
        <v>31</v>
      </c>
      <c r="AS74" s="627">
        <f t="shared" si="9"/>
        <v>6</v>
      </c>
      <c r="AT74" s="627">
        <f t="shared" si="9"/>
        <v>82</v>
      </c>
      <c r="AU74" s="627">
        <f t="shared" si="8"/>
        <v>176</v>
      </c>
      <c r="AV74" s="627">
        <f t="shared" si="8"/>
        <v>322</v>
      </c>
      <c r="AW74" s="627">
        <f t="shared" si="8"/>
        <v>91</v>
      </c>
      <c r="AX74" s="627">
        <f t="shared" si="8"/>
        <v>161</v>
      </c>
      <c r="AY74" s="627">
        <f t="shared" si="8"/>
        <v>283</v>
      </c>
      <c r="AZ74" s="627">
        <f t="shared" si="8"/>
        <v>389</v>
      </c>
      <c r="BA74" s="627">
        <f t="shared" si="8"/>
        <v>313</v>
      </c>
    </row>
    <row r="75" spans="1:53">
      <c r="A75" s="105">
        <f t="shared" si="2"/>
        <v>64</v>
      </c>
      <c r="B75" s="745">
        <v>42433</v>
      </c>
      <c r="C75" s="746" t="s">
        <v>1771</v>
      </c>
      <c r="D75" s="747">
        <v>4009</v>
      </c>
      <c r="E75" s="747">
        <v>4048</v>
      </c>
      <c r="F75" s="747">
        <v>4025</v>
      </c>
      <c r="G75" s="747">
        <v>4056</v>
      </c>
      <c r="H75" s="747">
        <v>4188</v>
      </c>
      <c r="I75" s="747">
        <v>4427</v>
      </c>
      <c r="J75" s="747">
        <v>4683</v>
      </c>
      <c r="K75" s="747">
        <v>4801</v>
      </c>
      <c r="L75" s="747">
        <v>4893</v>
      </c>
      <c r="M75" s="747">
        <v>4898</v>
      </c>
      <c r="N75" s="747">
        <v>4923</v>
      </c>
      <c r="O75" s="747">
        <v>4819</v>
      </c>
      <c r="P75" s="747">
        <v>4821</v>
      </c>
      <c r="Q75" s="747">
        <v>4797</v>
      </c>
      <c r="R75" s="747">
        <v>4754</v>
      </c>
      <c r="S75" s="747">
        <v>4740</v>
      </c>
      <c r="T75" s="747">
        <v>4758</v>
      </c>
      <c r="U75" s="747">
        <v>4915</v>
      </c>
      <c r="V75" s="747">
        <v>5176</v>
      </c>
      <c r="W75" s="747">
        <v>5145</v>
      </c>
      <c r="X75" s="747">
        <v>4985</v>
      </c>
      <c r="Y75" s="747">
        <v>4784</v>
      </c>
      <c r="Z75" s="747">
        <v>4498</v>
      </c>
      <c r="AA75" s="747">
        <v>4211</v>
      </c>
      <c r="AC75" s="628">
        <f t="shared" si="3"/>
        <v>64</v>
      </c>
      <c r="AD75" s="627">
        <f t="shared" si="4"/>
        <v>88</v>
      </c>
      <c r="AE75" s="627">
        <f t="shared" si="10"/>
        <v>39</v>
      </c>
      <c r="AF75" s="627">
        <f t="shared" si="10"/>
        <v>23</v>
      </c>
      <c r="AG75" s="627">
        <f t="shared" si="10"/>
        <v>31</v>
      </c>
      <c r="AH75" s="627">
        <f t="shared" si="10"/>
        <v>132</v>
      </c>
      <c r="AI75" s="627">
        <f t="shared" si="10"/>
        <v>239</v>
      </c>
      <c r="AJ75" s="627">
        <f t="shared" si="10"/>
        <v>256</v>
      </c>
      <c r="AK75" s="627">
        <f t="shared" si="10"/>
        <v>118</v>
      </c>
      <c r="AL75" s="627">
        <f t="shared" si="10"/>
        <v>92</v>
      </c>
      <c r="AM75" s="627">
        <f t="shared" si="10"/>
        <v>5</v>
      </c>
      <c r="AN75" s="627">
        <f t="shared" si="10"/>
        <v>25</v>
      </c>
      <c r="AO75" s="627">
        <f t="shared" si="10"/>
        <v>104</v>
      </c>
      <c r="AP75" s="627">
        <f t="shared" si="10"/>
        <v>2</v>
      </c>
      <c r="AQ75" s="627">
        <f t="shared" si="10"/>
        <v>24</v>
      </c>
      <c r="AR75" s="627">
        <f t="shared" si="9"/>
        <v>43</v>
      </c>
      <c r="AS75" s="627">
        <f t="shared" si="9"/>
        <v>14</v>
      </c>
      <c r="AT75" s="627">
        <f t="shared" si="9"/>
        <v>18</v>
      </c>
      <c r="AU75" s="627">
        <f t="shared" si="8"/>
        <v>157</v>
      </c>
      <c r="AV75" s="627">
        <f t="shared" si="8"/>
        <v>261</v>
      </c>
      <c r="AW75" s="627">
        <f t="shared" si="8"/>
        <v>31</v>
      </c>
      <c r="AX75" s="627">
        <f t="shared" si="8"/>
        <v>160</v>
      </c>
      <c r="AY75" s="627">
        <f t="shared" si="8"/>
        <v>201</v>
      </c>
      <c r="AZ75" s="627">
        <f t="shared" si="8"/>
        <v>286</v>
      </c>
      <c r="BA75" s="627">
        <f t="shared" si="8"/>
        <v>287</v>
      </c>
    </row>
    <row r="76" spans="1:53">
      <c r="A76" s="105">
        <f t="shared" si="2"/>
        <v>65</v>
      </c>
      <c r="B76" s="745">
        <v>42434</v>
      </c>
      <c r="C76" s="746" t="s">
        <v>1771</v>
      </c>
      <c r="D76" s="747">
        <v>4025</v>
      </c>
      <c r="E76" s="747">
        <v>3993</v>
      </c>
      <c r="F76" s="747">
        <v>4112</v>
      </c>
      <c r="G76" s="747">
        <v>4140</v>
      </c>
      <c r="H76" s="747">
        <v>4179</v>
      </c>
      <c r="I76" s="747">
        <v>4185</v>
      </c>
      <c r="J76" s="747">
        <v>4363</v>
      </c>
      <c r="K76" s="747">
        <v>4476</v>
      </c>
      <c r="L76" s="747">
        <v>4665</v>
      </c>
      <c r="M76" s="747">
        <v>4661</v>
      </c>
      <c r="N76" s="747">
        <v>4545</v>
      </c>
      <c r="O76" s="747">
        <v>4530</v>
      </c>
      <c r="P76" s="747">
        <v>4526</v>
      </c>
      <c r="Q76" s="747">
        <v>4445</v>
      </c>
      <c r="R76" s="747">
        <v>4373</v>
      </c>
      <c r="S76" s="747">
        <v>4393</v>
      </c>
      <c r="T76" s="747">
        <v>4478</v>
      </c>
      <c r="U76" s="747">
        <v>4679</v>
      </c>
      <c r="V76" s="747">
        <v>4951</v>
      </c>
      <c r="W76" s="747">
        <v>4957</v>
      </c>
      <c r="X76" s="747">
        <v>4899</v>
      </c>
      <c r="Y76" s="747">
        <v>4858</v>
      </c>
      <c r="Z76" s="747">
        <v>4595</v>
      </c>
      <c r="AA76" s="747">
        <v>4345</v>
      </c>
      <c r="AC76" s="628">
        <f t="shared" si="3"/>
        <v>65</v>
      </c>
      <c r="AD76" s="627">
        <f t="shared" si="4"/>
        <v>186</v>
      </c>
      <c r="AE76" s="627">
        <f t="shared" si="10"/>
        <v>32</v>
      </c>
      <c r="AF76" s="627">
        <f t="shared" si="10"/>
        <v>119</v>
      </c>
      <c r="AG76" s="627">
        <f t="shared" si="10"/>
        <v>28</v>
      </c>
      <c r="AH76" s="627">
        <f t="shared" si="10"/>
        <v>39</v>
      </c>
      <c r="AI76" s="627">
        <f t="shared" si="10"/>
        <v>6</v>
      </c>
      <c r="AJ76" s="627">
        <f t="shared" si="10"/>
        <v>178</v>
      </c>
      <c r="AK76" s="627">
        <f t="shared" si="10"/>
        <v>113</v>
      </c>
      <c r="AL76" s="627">
        <f t="shared" si="10"/>
        <v>189</v>
      </c>
      <c r="AM76" s="627">
        <f t="shared" si="10"/>
        <v>4</v>
      </c>
      <c r="AN76" s="627">
        <f t="shared" si="10"/>
        <v>116</v>
      </c>
      <c r="AO76" s="627">
        <f t="shared" si="10"/>
        <v>15</v>
      </c>
      <c r="AP76" s="627">
        <f t="shared" si="10"/>
        <v>4</v>
      </c>
      <c r="AQ76" s="627">
        <f t="shared" si="10"/>
        <v>81</v>
      </c>
      <c r="AR76" s="627">
        <f t="shared" si="9"/>
        <v>72</v>
      </c>
      <c r="AS76" s="627">
        <f t="shared" si="9"/>
        <v>20</v>
      </c>
      <c r="AT76" s="627">
        <f t="shared" si="9"/>
        <v>85</v>
      </c>
      <c r="AU76" s="627">
        <f t="shared" si="8"/>
        <v>201</v>
      </c>
      <c r="AV76" s="627">
        <f t="shared" si="8"/>
        <v>272</v>
      </c>
      <c r="AW76" s="627">
        <f t="shared" si="8"/>
        <v>6</v>
      </c>
      <c r="AX76" s="627">
        <f t="shared" si="8"/>
        <v>58</v>
      </c>
      <c r="AY76" s="627">
        <f t="shared" si="8"/>
        <v>41</v>
      </c>
      <c r="AZ76" s="627">
        <f t="shared" si="8"/>
        <v>263</v>
      </c>
      <c r="BA76" s="627">
        <f t="shared" si="8"/>
        <v>250</v>
      </c>
    </row>
    <row r="77" spans="1:53">
      <c r="A77" s="105">
        <f t="shared" si="2"/>
        <v>66</v>
      </c>
      <c r="B77" s="745">
        <v>42435</v>
      </c>
      <c r="C77" s="746" t="s">
        <v>1771</v>
      </c>
      <c r="D77" s="747">
        <v>4150</v>
      </c>
      <c r="E77" s="747">
        <v>3931</v>
      </c>
      <c r="F77" s="747">
        <v>3872</v>
      </c>
      <c r="G77" s="747">
        <v>3750</v>
      </c>
      <c r="H77" s="747">
        <v>3786</v>
      </c>
      <c r="I77" s="747">
        <v>3886</v>
      </c>
      <c r="J77" s="747">
        <v>3984</v>
      </c>
      <c r="K77" s="747">
        <v>4080</v>
      </c>
      <c r="L77" s="747">
        <v>4199</v>
      </c>
      <c r="M77" s="747">
        <v>4258</v>
      </c>
      <c r="N77" s="747">
        <v>4326</v>
      </c>
      <c r="O77" s="747">
        <v>4362</v>
      </c>
      <c r="P77" s="747">
        <v>4404</v>
      </c>
      <c r="Q77" s="747">
        <v>4428</v>
      </c>
      <c r="R77" s="747">
        <v>4433</v>
      </c>
      <c r="S77" s="747">
        <v>4471</v>
      </c>
      <c r="T77" s="747">
        <v>4565</v>
      </c>
      <c r="U77" s="747">
        <v>4797</v>
      </c>
      <c r="V77" s="747">
        <v>5132</v>
      </c>
      <c r="W77" s="747">
        <v>5081</v>
      </c>
      <c r="X77" s="747">
        <v>4925</v>
      </c>
      <c r="Y77" s="747">
        <v>4683</v>
      </c>
      <c r="Z77" s="747">
        <v>4427</v>
      </c>
      <c r="AA77" s="747">
        <v>4117</v>
      </c>
      <c r="AC77" s="628">
        <f t="shared" si="3"/>
        <v>66</v>
      </c>
      <c r="AD77" s="627">
        <f t="shared" si="4"/>
        <v>195</v>
      </c>
      <c r="AE77" s="627">
        <f t="shared" si="10"/>
        <v>219</v>
      </c>
      <c r="AF77" s="627">
        <f t="shared" si="10"/>
        <v>59</v>
      </c>
      <c r="AG77" s="627">
        <f t="shared" si="10"/>
        <v>122</v>
      </c>
      <c r="AH77" s="627">
        <f t="shared" si="10"/>
        <v>36</v>
      </c>
      <c r="AI77" s="627">
        <f t="shared" si="10"/>
        <v>100</v>
      </c>
      <c r="AJ77" s="627">
        <f t="shared" si="10"/>
        <v>98</v>
      </c>
      <c r="AK77" s="627">
        <f t="shared" si="10"/>
        <v>96</v>
      </c>
      <c r="AL77" s="627">
        <f t="shared" si="10"/>
        <v>119</v>
      </c>
      <c r="AM77" s="627">
        <f t="shared" si="10"/>
        <v>59</v>
      </c>
      <c r="AN77" s="627">
        <f t="shared" si="10"/>
        <v>68</v>
      </c>
      <c r="AO77" s="627">
        <f t="shared" si="10"/>
        <v>36</v>
      </c>
      <c r="AP77" s="627">
        <f t="shared" si="10"/>
        <v>42</v>
      </c>
      <c r="AQ77" s="627">
        <f t="shared" si="10"/>
        <v>24</v>
      </c>
      <c r="AR77" s="627">
        <f t="shared" si="9"/>
        <v>5</v>
      </c>
      <c r="AS77" s="627">
        <f t="shared" si="9"/>
        <v>38</v>
      </c>
      <c r="AT77" s="627">
        <f t="shared" si="9"/>
        <v>94</v>
      </c>
      <c r="AU77" s="627">
        <f t="shared" si="8"/>
        <v>232</v>
      </c>
      <c r="AV77" s="627">
        <f t="shared" si="8"/>
        <v>335</v>
      </c>
      <c r="AW77" s="627">
        <f t="shared" si="8"/>
        <v>51</v>
      </c>
      <c r="AX77" s="627">
        <f t="shared" si="8"/>
        <v>156</v>
      </c>
      <c r="AY77" s="627">
        <f t="shared" si="8"/>
        <v>242</v>
      </c>
      <c r="AZ77" s="627">
        <f t="shared" si="8"/>
        <v>256</v>
      </c>
      <c r="BA77" s="627">
        <f t="shared" si="8"/>
        <v>310</v>
      </c>
    </row>
    <row r="78" spans="1:53">
      <c r="A78" s="105">
        <f t="shared" ref="A78:A141" si="11">A77+1</f>
        <v>67</v>
      </c>
      <c r="B78" s="745">
        <v>42436</v>
      </c>
      <c r="C78" s="746" t="s">
        <v>1771</v>
      </c>
      <c r="D78" s="747">
        <v>3927</v>
      </c>
      <c r="E78" s="747">
        <v>3834</v>
      </c>
      <c r="F78" s="747">
        <v>3848</v>
      </c>
      <c r="G78" s="747">
        <v>3888</v>
      </c>
      <c r="H78" s="747">
        <v>4028</v>
      </c>
      <c r="I78" s="747">
        <v>4232</v>
      </c>
      <c r="J78" s="747">
        <v>4664</v>
      </c>
      <c r="K78" s="747">
        <v>4784</v>
      </c>
      <c r="L78" s="747">
        <v>4785</v>
      </c>
      <c r="M78" s="747">
        <v>4917</v>
      </c>
      <c r="N78" s="747">
        <v>5053</v>
      </c>
      <c r="O78" s="747">
        <v>5114</v>
      </c>
      <c r="P78" s="747">
        <v>5214</v>
      </c>
      <c r="Q78" s="747">
        <v>5229</v>
      </c>
      <c r="R78" s="747">
        <v>5226</v>
      </c>
      <c r="S78" s="747">
        <v>5098</v>
      </c>
      <c r="T78" s="747">
        <v>5188</v>
      </c>
      <c r="U78" s="747">
        <v>5436</v>
      </c>
      <c r="V78" s="747">
        <v>5658</v>
      </c>
      <c r="W78" s="747">
        <v>5559</v>
      </c>
      <c r="X78" s="747">
        <v>5368</v>
      </c>
      <c r="Y78" s="747">
        <v>5044</v>
      </c>
      <c r="Z78" s="747">
        <v>4723</v>
      </c>
      <c r="AA78" s="747">
        <v>4418</v>
      </c>
      <c r="AC78" s="628">
        <f t="shared" ref="AC78:AC141" si="12">AC77+1</f>
        <v>67</v>
      </c>
      <c r="AD78" s="627">
        <f t="shared" ref="AD78:AD141" si="13">ABS(D78-AA77)</f>
        <v>190</v>
      </c>
      <c r="AE78" s="627">
        <f t="shared" si="10"/>
        <v>93</v>
      </c>
      <c r="AF78" s="627">
        <f t="shared" si="10"/>
        <v>14</v>
      </c>
      <c r="AG78" s="627">
        <f t="shared" si="10"/>
        <v>40</v>
      </c>
      <c r="AH78" s="627">
        <f t="shared" si="10"/>
        <v>140</v>
      </c>
      <c r="AI78" s="627">
        <f t="shared" si="10"/>
        <v>204</v>
      </c>
      <c r="AJ78" s="627">
        <f t="shared" si="10"/>
        <v>432</v>
      </c>
      <c r="AK78" s="627">
        <f t="shared" si="10"/>
        <v>120</v>
      </c>
      <c r="AL78" s="627">
        <f t="shared" si="10"/>
        <v>1</v>
      </c>
      <c r="AM78" s="627">
        <f t="shared" si="10"/>
        <v>132</v>
      </c>
      <c r="AN78" s="627">
        <f t="shared" si="10"/>
        <v>136</v>
      </c>
      <c r="AO78" s="627">
        <f t="shared" si="10"/>
        <v>61</v>
      </c>
      <c r="AP78" s="627">
        <f t="shared" si="10"/>
        <v>100</v>
      </c>
      <c r="AQ78" s="627">
        <f t="shared" si="10"/>
        <v>15</v>
      </c>
      <c r="AR78" s="627">
        <f t="shared" si="9"/>
        <v>3</v>
      </c>
      <c r="AS78" s="627">
        <f t="shared" si="9"/>
        <v>128</v>
      </c>
      <c r="AT78" s="627">
        <f t="shared" si="9"/>
        <v>90</v>
      </c>
      <c r="AU78" s="627">
        <f t="shared" si="8"/>
        <v>248</v>
      </c>
      <c r="AV78" s="627">
        <f t="shared" si="8"/>
        <v>222</v>
      </c>
      <c r="AW78" s="627">
        <f t="shared" si="8"/>
        <v>99</v>
      </c>
      <c r="AX78" s="627">
        <f t="shared" si="8"/>
        <v>191</v>
      </c>
      <c r="AY78" s="627">
        <f t="shared" si="8"/>
        <v>324</v>
      </c>
      <c r="AZ78" s="627">
        <f t="shared" si="8"/>
        <v>321</v>
      </c>
      <c r="BA78" s="627">
        <f t="shared" si="8"/>
        <v>305</v>
      </c>
    </row>
    <row r="79" spans="1:53">
      <c r="A79" s="105">
        <f t="shared" si="11"/>
        <v>68</v>
      </c>
      <c r="B79" s="745">
        <v>42437</v>
      </c>
      <c r="C79" s="746" t="s">
        <v>1771</v>
      </c>
      <c r="D79" s="747">
        <v>4225</v>
      </c>
      <c r="E79" s="747">
        <v>4156</v>
      </c>
      <c r="F79" s="747">
        <v>4156</v>
      </c>
      <c r="G79" s="747">
        <v>4143</v>
      </c>
      <c r="H79" s="747">
        <v>4238</v>
      </c>
      <c r="I79" s="747">
        <v>4539</v>
      </c>
      <c r="J79" s="747">
        <v>4932</v>
      </c>
      <c r="K79" s="747">
        <v>5039</v>
      </c>
      <c r="L79" s="747">
        <v>4954</v>
      </c>
      <c r="M79" s="747">
        <v>4946</v>
      </c>
      <c r="N79" s="747">
        <v>4957</v>
      </c>
      <c r="O79" s="747">
        <v>4964</v>
      </c>
      <c r="P79" s="747">
        <v>4887</v>
      </c>
      <c r="Q79" s="747">
        <v>4838</v>
      </c>
      <c r="R79" s="747">
        <v>4827</v>
      </c>
      <c r="S79" s="747">
        <v>4833</v>
      </c>
      <c r="T79" s="747">
        <v>4924</v>
      </c>
      <c r="U79" s="747">
        <v>5156</v>
      </c>
      <c r="V79" s="747">
        <v>5479</v>
      </c>
      <c r="W79" s="747">
        <v>5439</v>
      </c>
      <c r="X79" s="747">
        <v>5278</v>
      </c>
      <c r="Y79" s="747">
        <v>4982</v>
      </c>
      <c r="Z79" s="747">
        <v>4602</v>
      </c>
      <c r="AA79" s="747">
        <v>4335</v>
      </c>
      <c r="AC79" s="628">
        <f t="shared" si="12"/>
        <v>68</v>
      </c>
      <c r="AD79" s="627">
        <f t="shared" si="13"/>
        <v>193</v>
      </c>
      <c r="AE79" s="627">
        <f t="shared" si="10"/>
        <v>69</v>
      </c>
      <c r="AF79" s="627">
        <f t="shared" si="10"/>
        <v>0</v>
      </c>
      <c r="AG79" s="627">
        <f t="shared" si="10"/>
        <v>13</v>
      </c>
      <c r="AH79" s="627">
        <f t="shared" si="10"/>
        <v>95</v>
      </c>
      <c r="AI79" s="627">
        <f t="shared" si="10"/>
        <v>301</v>
      </c>
      <c r="AJ79" s="627">
        <f t="shared" si="10"/>
        <v>393</v>
      </c>
      <c r="AK79" s="627">
        <f t="shared" si="10"/>
        <v>107</v>
      </c>
      <c r="AL79" s="627">
        <f t="shared" si="10"/>
        <v>85</v>
      </c>
      <c r="AM79" s="627">
        <f t="shared" si="10"/>
        <v>8</v>
      </c>
      <c r="AN79" s="627">
        <f t="shared" si="10"/>
        <v>11</v>
      </c>
      <c r="AO79" s="627">
        <f t="shared" si="10"/>
        <v>7</v>
      </c>
      <c r="AP79" s="627">
        <f t="shared" si="10"/>
        <v>77</v>
      </c>
      <c r="AQ79" s="627">
        <f t="shared" si="10"/>
        <v>49</v>
      </c>
      <c r="AR79" s="627">
        <f t="shared" si="9"/>
        <v>11</v>
      </c>
      <c r="AS79" s="627">
        <f t="shared" si="9"/>
        <v>6</v>
      </c>
      <c r="AT79" s="627">
        <f t="shared" si="9"/>
        <v>91</v>
      </c>
      <c r="AU79" s="627">
        <f t="shared" si="8"/>
        <v>232</v>
      </c>
      <c r="AV79" s="627">
        <f t="shared" si="8"/>
        <v>323</v>
      </c>
      <c r="AW79" s="627">
        <f t="shared" si="8"/>
        <v>40</v>
      </c>
      <c r="AX79" s="627">
        <f t="shared" si="8"/>
        <v>161</v>
      </c>
      <c r="AY79" s="627">
        <f t="shared" si="8"/>
        <v>296</v>
      </c>
      <c r="AZ79" s="627">
        <f t="shared" si="8"/>
        <v>380</v>
      </c>
      <c r="BA79" s="627">
        <f t="shared" si="8"/>
        <v>267</v>
      </c>
    </row>
    <row r="80" spans="1:53">
      <c r="A80" s="105">
        <f t="shared" si="11"/>
        <v>69</v>
      </c>
      <c r="B80" s="745">
        <v>42438</v>
      </c>
      <c r="C80" s="746" t="s">
        <v>1771</v>
      </c>
      <c r="D80" s="747">
        <v>4328</v>
      </c>
      <c r="E80" s="747">
        <v>4262</v>
      </c>
      <c r="F80" s="747">
        <v>4257</v>
      </c>
      <c r="G80" s="747">
        <v>4273</v>
      </c>
      <c r="H80" s="747">
        <v>4387</v>
      </c>
      <c r="I80" s="747">
        <v>4651</v>
      </c>
      <c r="J80" s="747">
        <v>5050</v>
      </c>
      <c r="K80" s="747">
        <v>5010</v>
      </c>
      <c r="L80" s="747">
        <v>4971</v>
      </c>
      <c r="M80" s="747">
        <v>4904</v>
      </c>
      <c r="N80" s="747">
        <v>4892</v>
      </c>
      <c r="O80" s="747">
        <v>4871</v>
      </c>
      <c r="P80" s="747">
        <v>4826</v>
      </c>
      <c r="Q80" s="747">
        <v>4814</v>
      </c>
      <c r="R80" s="747">
        <v>4844</v>
      </c>
      <c r="S80" s="747">
        <v>4845</v>
      </c>
      <c r="T80" s="747">
        <v>4929</v>
      </c>
      <c r="U80" s="747">
        <v>5087</v>
      </c>
      <c r="V80" s="747">
        <v>5305</v>
      </c>
      <c r="W80" s="747">
        <v>5412</v>
      </c>
      <c r="X80" s="747">
        <v>5322</v>
      </c>
      <c r="Y80" s="747">
        <v>5014</v>
      </c>
      <c r="Z80" s="747">
        <v>4651</v>
      </c>
      <c r="AA80" s="747">
        <v>4528</v>
      </c>
      <c r="AC80" s="628">
        <f t="shared" si="12"/>
        <v>69</v>
      </c>
      <c r="AD80" s="627">
        <f t="shared" si="13"/>
        <v>7</v>
      </c>
      <c r="AE80" s="627">
        <f t="shared" si="10"/>
        <v>66</v>
      </c>
      <c r="AF80" s="627">
        <f t="shared" si="10"/>
        <v>5</v>
      </c>
      <c r="AG80" s="627">
        <f t="shared" si="10"/>
        <v>16</v>
      </c>
      <c r="AH80" s="627">
        <f t="shared" si="10"/>
        <v>114</v>
      </c>
      <c r="AI80" s="627">
        <f t="shared" si="10"/>
        <v>264</v>
      </c>
      <c r="AJ80" s="627">
        <f t="shared" si="10"/>
        <v>399</v>
      </c>
      <c r="AK80" s="627">
        <f t="shared" si="10"/>
        <v>40</v>
      </c>
      <c r="AL80" s="627">
        <f t="shared" si="10"/>
        <v>39</v>
      </c>
      <c r="AM80" s="627">
        <f t="shared" si="10"/>
        <v>67</v>
      </c>
      <c r="AN80" s="627">
        <f t="shared" si="10"/>
        <v>12</v>
      </c>
      <c r="AO80" s="627">
        <f t="shared" si="10"/>
        <v>21</v>
      </c>
      <c r="AP80" s="627">
        <f t="shared" si="10"/>
        <v>45</v>
      </c>
      <c r="AQ80" s="627">
        <f t="shared" si="10"/>
        <v>12</v>
      </c>
      <c r="AR80" s="627">
        <f t="shared" si="9"/>
        <v>30</v>
      </c>
      <c r="AS80" s="627">
        <f t="shared" si="9"/>
        <v>1</v>
      </c>
      <c r="AT80" s="627">
        <f t="shared" si="9"/>
        <v>84</v>
      </c>
      <c r="AU80" s="627">
        <f t="shared" si="8"/>
        <v>158</v>
      </c>
      <c r="AV80" s="627">
        <f t="shared" si="8"/>
        <v>218</v>
      </c>
      <c r="AW80" s="627">
        <f t="shared" si="8"/>
        <v>107</v>
      </c>
      <c r="AX80" s="627">
        <f t="shared" si="8"/>
        <v>90</v>
      </c>
      <c r="AY80" s="627">
        <f t="shared" si="8"/>
        <v>308</v>
      </c>
      <c r="AZ80" s="627">
        <f t="shared" si="8"/>
        <v>363</v>
      </c>
      <c r="BA80" s="627">
        <f t="shared" si="8"/>
        <v>123</v>
      </c>
    </row>
    <row r="81" spans="1:53">
      <c r="A81" s="105">
        <f t="shared" si="11"/>
        <v>70</v>
      </c>
      <c r="B81" s="745">
        <v>42439</v>
      </c>
      <c r="C81" s="746" t="s">
        <v>1772</v>
      </c>
      <c r="D81" s="747">
        <v>4379</v>
      </c>
      <c r="E81" s="747">
        <v>4316</v>
      </c>
      <c r="F81" s="747">
        <v>4278</v>
      </c>
      <c r="G81" s="747">
        <v>4336</v>
      </c>
      <c r="H81" s="747">
        <v>4404</v>
      </c>
      <c r="I81" s="747">
        <v>4652</v>
      </c>
      <c r="J81" s="747">
        <v>4957</v>
      </c>
      <c r="K81" s="747">
        <v>5033</v>
      </c>
      <c r="L81" s="747">
        <v>4987</v>
      </c>
      <c r="M81" s="747">
        <v>4917</v>
      </c>
      <c r="N81" s="747">
        <v>4896</v>
      </c>
      <c r="O81" s="747">
        <v>4836</v>
      </c>
      <c r="P81" s="747">
        <v>4846</v>
      </c>
      <c r="Q81" s="747">
        <v>4855</v>
      </c>
      <c r="R81" s="747">
        <v>4864</v>
      </c>
      <c r="S81" s="747">
        <v>4973</v>
      </c>
      <c r="T81" s="747">
        <v>5049</v>
      </c>
      <c r="U81" s="747">
        <v>4996</v>
      </c>
      <c r="V81" s="747">
        <v>5269</v>
      </c>
      <c r="W81" s="747">
        <v>5260</v>
      </c>
      <c r="X81" s="747">
        <v>5102</v>
      </c>
      <c r="Y81" s="747">
        <v>4870</v>
      </c>
      <c r="Z81" s="747">
        <v>4481</v>
      </c>
      <c r="AA81" s="747">
        <v>4202</v>
      </c>
      <c r="AC81" s="628">
        <f t="shared" si="12"/>
        <v>70</v>
      </c>
      <c r="AD81" s="627">
        <f t="shared" si="13"/>
        <v>149</v>
      </c>
      <c r="AE81" s="627">
        <f t="shared" si="10"/>
        <v>63</v>
      </c>
      <c r="AF81" s="627">
        <f t="shared" si="10"/>
        <v>38</v>
      </c>
      <c r="AG81" s="627">
        <f t="shared" si="10"/>
        <v>58</v>
      </c>
      <c r="AH81" s="627">
        <f t="shared" si="10"/>
        <v>68</v>
      </c>
      <c r="AI81" s="627">
        <f t="shared" si="10"/>
        <v>248</v>
      </c>
      <c r="AJ81" s="627">
        <f t="shared" si="10"/>
        <v>305</v>
      </c>
      <c r="AK81" s="627">
        <f t="shared" si="10"/>
        <v>76</v>
      </c>
      <c r="AL81" s="627">
        <f t="shared" si="10"/>
        <v>46</v>
      </c>
      <c r="AM81" s="627">
        <f t="shared" ref="AM81:BA101" si="14">ABS(M81-L81)</f>
        <v>70</v>
      </c>
      <c r="AN81" s="627">
        <f t="shared" si="14"/>
        <v>21</v>
      </c>
      <c r="AO81" s="627">
        <f t="shared" si="14"/>
        <v>60</v>
      </c>
      <c r="AP81" s="627">
        <f t="shared" si="14"/>
        <v>10</v>
      </c>
      <c r="AQ81" s="627">
        <f t="shared" si="14"/>
        <v>9</v>
      </c>
      <c r="AR81" s="627">
        <f t="shared" si="9"/>
        <v>9</v>
      </c>
      <c r="AS81" s="627">
        <f t="shared" si="9"/>
        <v>109</v>
      </c>
      <c r="AT81" s="627">
        <f t="shared" si="9"/>
        <v>76</v>
      </c>
      <c r="AU81" s="627">
        <f t="shared" si="8"/>
        <v>53</v>
      </c>
      <c r="AV81" s="627">
        <f t="shared" si="8"/>
        <v>273</v>
      </c>
      <c r="AW81" s="627">
        <f t="shared" si="8"/>
        <v>9</v>
      </c>
      <c r="AX81" s="627">
        <f t="shared" si="8"/>
        <v>158</v>
      </c>
      <c r="AY81" s="627">
        <f t="shared" si="8"/>
        <v>232</v>
      </c>
      <c r="AZ81" s="627">
        <f t="shared" si="8"/>
        <v>389</v>
      </c>
      <c r="BA81" s="627">
        <f t="shared" si="8"/>
        <v>279</v>
      </c>
    </row>
    <row r="82" spans="1:53">
      <c r="A82" s="105">
        <f t="shared" si="11"/>
        <v>71</v>
      </c>
      <c r="B82" s="745">
        <v>42440</v>
      </c>
      <c r="C82" s="746" t="s">
        <v>1772</v>
      </c>
      <c r="D82" s="747">
        <v>4129</v>
      </c>
      <c r="E82" s="747">
        <v>4153</v>
      </c>
      <c r="F82" s="747">
        <v>4110</v>
      </c>
      <c r="G82" s="747">
        <v>4146</v>
      </c>
      <c r="H82" s="747">
        <v>4183</v>
      </c>
      <c r="I82" s="747">
        <v>4465</v>
      </c>
      <c r="J82" s="747">
        <v>4713</v>
      </c>
      <c r="K82" s="747">
        <v>4771</v>
      </c>
      <c r="L82" s="747">
        <v>4759</v>
      </c>
      <c r="M82" s="747">
        <v>4836</v>
      </c>
      <c r="N82" s="747">
        <v>4849</v>
      </c>
      <c r="O82" s="747">
        <v>4843</v>
      </c>
      <c r="P82" s="747">
        <v>4825</v>
      </c>
      <c r="Q82" s="747">
        <v>4837</v>
      </c>
      <c r="R82" s="747">
        <v>4878</v>
      </c>
      <c r="S82" s="747">
        <v>4902</v>
      </c>
      <c r="T82" s="747">
        <v>4915</v>
      </c>
      <c r="U82" s="747">
        <v>4957</v>
      </c>
      <c r="V82" s="747">
        <v>5177</v>
      </c>
      <c r="W82" s="747">
        <v>5092</v>
      </c>
      <c r="X82" s="747">
        <v>4971</v>
      </c>
      <c r="Y82" s="747">
        <v>4725</v>
      </c>
      <c r="Z82" s="747">
        <v>4428</v>
      </c>
      <c r="AA82" s="747">
        <v>4217</v>
      </c>
      <c r="AC82" s="628">
        <f t="shared" si="12"/>
        <v>71</v>
      </c>
      <c r="AD82" s="627">
        <f t="shared" si="13"/>
        <v>73</v>
      </c>
      <c r="AE82" s="627">
        <f t="shared" ref="AE82:AT107" si="15">ABS(E82-D82)</f>
        <v>24</v>
      </c>
      <c r="AF82" s="627">
        <f t="shared" si="15"/>
        <v>43</v>
      </c>
      <c r="AG82" s="627">
        <f t="shared" si="15"/>
        <v>36</v>
      </c>
      <c r="AH82" s="627">
        <f t="shared" si="15"/>
        <v>37</v>
      </c>
      <c r="AI82" s="627">
        <f t="shared" si="15"/>
        <v>282</v>
      </c>
      <c r="AJ82" s="627">
        <f t="shared" si="15"/>
        <v>248</v>
      </c>
      <c r="AK82" s="627">
        <f t="shared" si="15"/>
        <v>58</v>
      </c>
      <c r="AL82" s="627">
        <f t="shared" si="15"/>
        <v>12</v>
      </c>
      <c r="AM82" s="627">
        <f t="shared" si="14"/>
        <v>77</v>
      </c>
      <c r="AN82" s="627">
        <f t="shared" si="14"/>
        <v>13</v>
      </c>
      <c r="AO82" s="627">
        <f t="shared" si="14"/>
        <v>6</v>
      </c>
      <c r="AP82" s="627">
        <f t="shared" si="14"/>
        <v>18</v>
      </c>
      <c r="AQ82" s="627">
        <f t="shared" si="14"/>
        <v>12</v>
      </c>
      <c r="AR82" s="627">
        <f t="shared" si="9"/>
        <v>41</v>
      </c>
      <c r="AS82" s="627">
        <f t="shared" si="9"/>
        <v>24</v>
      </c>
      <c r="AT82" s="627">
        <f t="shared" si="9"/>
        <v>13</v>
      </c>
      <c r="AU82" s="627">
        <f t="shared" si="8"/>
        <v>42</v>
      </c>
      <c r="AV82" s="627">
        <f t="shared" si="8"/>
        <v>220</v>
      </c>
      <c r="AW82" s="627">
        <f t="shared" si="8"/>
        <v>85</v>
      </c>
      <c r="AX82" s="627">
        <f t="shared" si="8"/>
        <v>121</v>
      </c>
      <c r="AY82" s="627">
        <f t="shared" si="8"/>
        <v>246</v>
      </c>
      <c r="AZ82" s="627">
        <f t="shared" si="8"/>
        <v>297</v>
      </c>
      <c r="BA82" s="627">
        <f t="shared" si="8"/>
        <v>211</v>
      </c>
    </row>
    <row r="83" spans="1:53">
      <c r="A83" s="105">
        <f t="shared" si="11"/>
        <v>72</v>
      </c>
      <c r="B83" s="745">
        <v>42441</v>
      </c>
      <c r="C83" s="746" t="s">
        <v>1772</v>
      </c>
      <c r="D83" s="747">
        <v>4001</v>
      </c>
      <c r="E83" s="747">
        <v>3842</v>
      </c>
      <c r="F83" s="747">
        <v>3822</v>
      </c>
      <c r="G83" s="747">
        <v>3806</v>
      </c>
      <c r="H83" s="747">
        <v>3818</v>
      </c>
      <c r="I83" s="747">
        <v>3924</v>
      </c>
      <c r="J83" s="747">
        <v>4058</v>
      </c>
      <c r="K83" s="747">
        <v>4292</v>
      </c>
      <c r="L83" s="747">
        <v>4482</v>
      </c>
      <c r="M83" s="747">
        <v>4570</v>
      </c>
      <c r="N83" s="747">
        <v>4577</v>
      </c>
      <c r="O83" s="747">
        <v>4484</v>
      </c>
      <c r="P83" s="747">
        <v>4388</v>
      </c>
      <c r="Q83" s="747">
        <v>4384</v>
      </c>
      <c r="R83" s="747">
        <v>4381</v>
      </c>
      <c r="S83" s="747">
        <v>4383</v>
      </c>
      <c r="T83" s="747">
        <v>4516</v>
      </c>
      <c r="U83" s="747">
        <v>4748</v>
      </c>
      <c r="V83" s="747">
        <v>4939</v>
      </c>
      <c r="W83" s="747">
        <v>4881</v>
      </c>
      <c r="X83" s="747">
        <v>4797</v>
      </c>
      <c r="Y83" s="747">
        <v>4575</v>
      </c>
      <c r="Z83" s="747">
        <v>4297</v>
      </c>
      <c r="AA83" s="747">
        <v>4040</v>
      </c>
      <c r="AC83" s="628">
        <f t="shared" si="12"/>
        <v>72</v>
      </c>
      <c r="AD83" s="627">
        <f t="shared" si="13"/>
        <v>216</v>
      </c>
      <c r="AE83" s="627">
        <f t="shared" si="15"/>
        <v>159</v>
      </c>
      <c r="AF83" s="627">
        <f t="shared" si="15"/>
        <v>20</v>
      </c>
      <c r="AG83" s="627">
        <f>ABS(G83-E83)</f>
        <v>36</v>
      </c>
      <c r="AH83" s="627">
        <f t="shared" si="15"/>
        <v>12</v>
      </c>
      <c r="AI83" s="627">
        <f t="shared" si="15"/>
        <v>106</v>
      </c>
      <c r="AJ83" s="627">
        <f t="shared" si="15"/>
        <v>134</v>
      </c>
      <c r="AK83" s="627">
        <f t="shared" si="15"/>
        <v>234</v>
      </c>
      <c r="AL83" s="627">
        <f t="shared" si="15"/>
        <v>190</v>
      </c>
      <c r="AM83" s="627">
        <f t="shared" si="14"/>
        <v>88</v>
      </c>
      <c r="AN83" s="627">
        <f t="shared" si="14"/>
        <v>7</v>
      </c>
      <c r="AO83" s="627">
        <f t="shared" si="14"/>
        <v>93</v>
      </c>
      <c r="AP83" s="627">
        <f t="shared" si="14"/>
        <v>96</v>
      </c>
      <c r="AQ83" s="627">
        <f t="shared" si="14"/>
        <v>4</v>
      </c>
      <c r="AR83" s="627">
        <f t="shared" si="14"/>
        <v>3</v>
      </c>
      <c r="AS83" s="627">
        <f t="shared" si="14"/>
        <v>2</v>
      </c>
      <c r="AT83" s="627">
        <f t="shared" si="9"/>
        <v>133</v>
      </c>
      <c r="AU83" s="627">
        <f t="shared" si="8"/>
        <v>232</v>
      </c>
      <c r="AV83" s="627">
        <f t="shared" si="8"/>
        <v>191</v>
      </c>
      <c r="AW83" s="627">
        <f t="shared" si="8"/>
        <v>58</v>
      </c>
      <c r="AX83" s="627">
        <f t="shared" si="8"/>
        <v>84</v>
      </c>
      <c r="AY83" s="627">
        <f t="shared" si="8"/>
        <v>222</v>
      </c>
      <c r="AZ83" s="627">
        <f t="shared" si="8"/>
        <v>278</v>
      </c>
      <c r="BA83" s="627">
        <f t="shared" si="8"/>
        <v>257</v>
      </c>
    </row>
    <row r="84" spans="1:53">
      <c r="A84" s="105">
        <f t="shared" si="11"/>
        <v>73</v>
      </c>
      <c r="B84" s="745">
        <v>42442</v>
      </c>
      <c r="C84" s="746" t="s">
        <v>1772</v>
      </c>
      <c r="D84" s="747">
        <v>3830</v>
      </c>
      <c r="E84" s="747">
        <v>3871</v>
      </c>
      <c r="F84" s="747">
        <v>3928</v>
      </c>
      <c r="G84" s="747">
        <v>3928</v>
      </c>
      <c r="H84" s="747">
        <v>3925</v>
      </c>
      <c r="I84" s="747">
        <v>3987</v>
      </c>
      <c r="J84" s="747">
        <v>4147</v>
      </c>
      <c r="K84" s="747">
        <v>4161</v>
      </c>
      <c r="L84" s="747">
        <v>4215</v>
      </c>
      <c r="M84" s="747">
        <v>4315</v>
      </c>
      <c r="N84" s="747">
        <v>4340</v>
      </c>
      <c r="O84" s="747">
        <v>4265</v>
      </c>
      <c r="P84" s="747">
        <v>4360</v>
      </c>
      <c r="Q84" s="747">
        <v>4376</v>
      </c>
      <c r="R84" s="747">
        <v>4350</v>
      </c>
      <c r="S84" s="747">
        <v>4310</v>
      </c>
      <c r="T84" s="747">
        <v>4357</v>
      </c>
      <c r="U84" s="747">
        <v>4492</v>
      </c>
      <c r="V84" s="747">
        <v>4618</v>
      </c>
      <c r="W84" s="747">
        <v>4901</v>
      </c>
      <c r="X84" s="747">
        <v>4887</v>
      </c>
      <c r="Y84" s="747">
        <v>4668</v>
      </c>
      <c r="Z84" s="747">
        <v>4285</v>
      </c>
      <c r="AA84" s="747">
        <v>4000</v>
      </c>
      <c r="AC84" s="628">
        <f t="shared" si="12"/>
        <v>73</v>
      </c>
      <c r="AD84" s="627">
        <f t="shared" si="13"/>
        <v>210</v>
      </c>
      <c r="AE84" s="627">
        <f t="shared" si="15"/>
        <v>41</v>
      </c>
      <c r="AF84" s="627">
        <f t="shared" si="15"/>
        <v>57</v>
      </c>
      <c r="AG84" s="627">
        <f t="shared" si="15"/>
        <v>0</v>
      </c>
      <c r="AH84" s="627">
        <f t="shared" si="15"/>
        <v>3</v>
      </c>
      <c r="AI84" s="627">
        <f t="shared" si="15"/>
        <v>62</v>
      </c>
      <c r="AJ84" s="627">
        <f t="shared" si="15"/>
        <v>160</v>
      </c>
      <c r="AK84" s="627">
        <f t="shared" si="15"/>
        <v>14</v>
      </c>
      <c r="AL84" s="627">
        <f t="shared" si="15"/>
        <v>54</v>
      </c>
      <c r="AM84" s="627">
        <f t="shared" si="14"/>
        <v>100</v>
      </c>
      <c r="AN84" s="627">
        <f t="shared" si="14"/>
        <v>25</v>
      </c>
      <c r="AO84" s="627">
        <f t="shared" si="14"/>
        <v>75</v>
      </c>
      <c r="AP84" s="627">
        <f t="shared" si="14"/>
        <v>95</v>
      </c>
      <c r="AQ84" s="627">
        <f t="shared" si="14"/>
        <v>16</v>
      </c>
      <c r="AR84" s="627">
        <f t="shared" si="14"/>
        <v>26</v>
      </c>
      <c r="AS84" s="627">
        <f t="shared" si="14"/>
        <v>40</v>
      </c>
      <c r="AT84" s="627">
        <f t="shared" si="9"/>
        <v>47</v>
      </c>
      <c r="AU84" s="627">
        <f t="shared" si="8"/>
        <v>135</v>
      </c>
      <c r="AV84" s="627">
        <f t="shared" si="8"/>
        <v>126</v>
      </c>
      <c r="AW84" s="627">
        <f t="shared" si="8"/>
        <v>283</v>
      </c>
      <c r="AX84" s="627">
        <f t="shared" si="8"/>
        <v>14</v>
      </c>
      <c r="AY84" s="627">
        <f t="shared" si="8"/>
        <v>219</v>
      </c>
      <c r="AZ84" s="627">
        <f t="shared" si="8"/>
        <v>383</v>
      </c>
      <c r="BA84" s="627">
        <f t="shared" si="8"/>
        <v>285</v>
      </c>
    </row>
    <row r="85" spans="1:53">
      <c r="A85" s="105">
        <f t="shared" si="11"/>
        <v>74</v>
      </c>
      <c r="B85" s="745">
        <v>42443</v>
      </c>
      <c r="C85" s="746" t="s">
        <v>1772</v>
      </c>
      <c r="D85" s="747">
        <v>3856</v>
      </c>
      <c r="E85" s="747">
        <v>3849</v>
      </c>
      <c r="F85" s="747">
        <v>3900</v>
      </c>
      <c r="G85" s="747">
        <v>3918</v>
      </c>
      <c r="H85" s="747">
        <v>4029</v>
      </c>
      <c r="I85" s="747">
        <v>4224</v>
      </c>
      <c r="J85" s="747">
        <v>4750</v>
      </c>
      <c r="K85" s="747">
        <v>4911</v>
      </c>
      <c r="L85" s="747">
        <v>4885</v>
      </c>
      <c r="M85" s="747">
        <v>4882</v>
      </c>
      <c r="N85" s="747">
        <v>4879</v>
      </c>
      <c r="O85" s="747">
        <v>4872</v>
      </c>
      <c r="P85" s="747">
        <v>4861</v>
      </c>
      <c r="Q85" s="747">
        <v>4849</v>
      </c>
      <c r="R85" s="747">
        <v>4822</v>
      </c>
      <c r="S85" s="747">
        <v>4837</v>
      </c>
      <c r="T85" s="747">
        <v>4852</v>
      </c>
      <c r="U85" s="747">
        <v>4949</v>
      </c>
      <c r="V85" s="747">
        <v>5075</v>
      </c>
      <c r="W85" s="747">
        <v>5287</v>
      </c>
      <c r="X85" s="747">
        <v>5249</v>
      </c>
      <c r="Y85" s="747">
        <v>4997</v>
      </c>
      <c r="Z85" s="747">
        <v>4638</v>
      </c>
      <c r="AA85" s="747">
        <v>4390</v>
      </c>
      <c r="AC85" s="628">
        <f t="shared" si="12"/>
        <v>74</v>
      </c>
      <c r="AD85" s="627">
        <f t="shared" si="13"/>
        <v>144</v>
      </c>
      <c r="AE85" s="627">
        <f t="shared" si="15"/>
        <v>7</v>
      </c>
      <c r="AF85" s="627">
        <f t="shared" si="15"/>
        <v>51</v>
      </c>
      <c r="AG85" s="627">
        <f t="shared" si="15"/>
        <v>18</v>
      </c>
      <c r="AH85" s="627">
        <f t="shared" si="15"/>
        <v>111</v>
      </c>
      <c r="AI85" s="627">
        <f t="shared" si="15"/>
        <v>195</v>
      </c>
      <c r="AJ85" s="627">
        <f t="shared" si="15"/>
        <v>526</v>
      </c>
      <c r="AK85" s="627">
        <f t="shared" si="15"/>
        <v>161</v>
      </c>
      <c r="AL85" s="627">
        <f t="shared" si="15"/>
        <v>26</v>
      </c>
      <c r="AM85" s="627">
        <f t="shared" si="14"/>
        <v>3</v>
      </c>
      <c r="AN85" s="627">
        <f t="shared" si="14"/>
        <v>3</v>
      </c>
      <c r="AO85" s="627">
        <f t="shared" si="14"/>
        <v>7</v>
      </c>
      <c r="AP85" s="627">
        <f t="shared" si="14"/>
        <v>11</v>
      </c>
      <c r="AQ85" s="627">
        <f t="shared" si="14"/>
        <v>12</v>
      </c>
      <c r="AR85" s="627">
        <f t="shared" si="14"/>
        <v>27</v>
      </c>
      <c r="AS85" s="627">
        <f t="shared" si="14"/>
        <v>15</v>
      </c>
      <c r="AT85" s="627">
        <f t="shared" si="9"/>
        <v>15</v>
      </c>
      <c r="AU85" s="627">
        <f t="shared" si="8"/>
        <v>97</v>
      </c>
      <c r="AV85" s="627">
        <f t="shared" si="8"/>
        <v>126</v>
      </c>
      <c r="AW85" s="627">
        <f t="shared" si="8"/>
        <v>212</v>
      </c>
      <c r="AX85" s="627">
        <f t="shared" si="8"/>
        <v>38</v>
      </c>
      <c r="AY85" s="627">
        <f t="shared" si="8"/>
        <v>252</v>
      </c>
      <c r="AZ85" s="627">
        <f t="shared" si="8"/>
        <v>359</v>
      </c>
      <c r="BA85" s="627">
        <f t="shared" si="8"/>
        <v>248</v>
      </c>
    </row>
    <row r="86" spans="1:53">
      <c r="A86" s="105">
        <f t="shared" si="11"/>
        <v>75</v>
      </c>
      <c r="B86" s="745">
        <v>42444</v>
      </c>
      <c r="C86" s="746" t="s">
        <v>1772</v>
      </c>
      <c r="D86" s="747">
        <v>4266</v>
      </c>
      <c r="E86" s="747">
        <v>4138</v>
      </c>
      <c r="F86" s="747">
        <v>4093</v>
      </c>
      <c r="G86" s="747">
        <v>4163</v>
      </c>
      <c r="H86" s="747">
        <v>4236</v>
      </c>
      <c r="I86" s="747">
        <v>4477</v>
      </c>
      <c r="J86" s="747">
        <v>4985</v>
      </c>
      <c r="K86" s="747">
        <v>5166</v>
      </c>
      <c r="L86" s="747">
        <v>5158</v>
      </c>
      <c r="M86" s="747">
        <v>5093</v>
      </c>
      <c r="N86" s="747">
        <v>5055</v>
      </c>
      <c r="O86" s="747">
        <v>5022</v>
      </c>
      <c r="P86" s="747">
        <v>4972</v>
      </c>
      <c r="Q86" s="747">
        <v>4920</v>
      </c>
      <c r="R86" s="747">
        <v>4889</v>
      </c>
      <c r="S86" s="747">
        <v>4838</v>
      </c>
      <c r="T86" s="747">
        <v>4851</v>
      </c>
      <c r="U86" s="747">
        <v>4975</v>
      </c>
      <c r="V86" s="747">
        <v>5139</v>
      </c>
      <c r="W86" s="747">
        <v>5406</v>
      </c>
      <c r="X86" s="747">
        <v>5394</v>
      </c>
      <c r="Y86" s="747">
        <v>5148</v>
      </c>
      <c r="Z86" s="747">
        <v>4724</v>
      </c>
      <c r="AA86" s="747">
        <v>4355</v>
      </c>
      <c r="AC86" s="628">
        <f t="shared" si="12"/>
        <v>75</v>
      </c>
      <c r="AD86" s="627">
        <f t="shared" si="13"/>
        <v>124</v>
      </c>
      <c r="AE86" s="627">
        <f t="shared" si="15"/>
        <v>128</v>
      </c>
      <c r="AF86" s="627">
        <f t="shared" si="15"/>
        <v>45</v>
      </c>
      <c r="AG86" s="627">
        <f t="shared" si="15"/>
        <v>70</v>
      </c>
      <c r="AH86" s="627">
        <f t="shared" si="15"/>
        <v>73</v>
      </c>
      <c r="AI86" s="627">
        <f t="shared" si="15"/>
        <v>241</v>
      </c>
      <c r="AJ86" s="627">
        <f t="shared" si="15"/>
        <v>508</v>
      </c>
      <c r="AK86" s="627">
        <f t="shared" si="15"/>
        <v>181</v>
      </c>
      <c r="AL86" s="627">
        <f t="shared" si="15"/>
        <v>8</v>
      </c>
      <c r="AM86" s="627">
        <f t="shared" si="14"/>
        <v>65</v>
      </c>
      <c r="AN86" s="627">
        <f t="shared" si="14"/>
        <v>38</v>
      </c>
      <c r="AO86" s="627">
        <f t="shared" si="14"/>
        <v>33</v>
      </c>
      <c r="AP86" s="627">
        <f t="shared" si="14"/>
        <v>50</v>
      </c>
      <c r="AQ86" s="627">
        <f t="shared" si="14"/>
        <v>52</v>
      </c>
      <c r="AR86" s="627">
        <f t="shared" si="14"/>
        <v>31</v>
      </c>
      <c r="AS86" s="627">
        <f t="shared" si="14"/>
        <v>51</v>
      </c>
      <c r="AT86" s="627">
        <f t="shared" si="9"/>
        <v>13</v>
      </c>
      <c r="AU86" s="627">
        <f t="shared" si="9"/>
        <v>124</v>
      </c>
      <c r="AV86" s="627">
        <f t="shared" si="9"/>
        <v>164</v>
      </c>
      <c r="AW86" s="627">
        <f t="shared" si="9"/>
        <v>267</v>
      </c>
      <c r="AX86" s="627">
        <f t="shared" si="9"/>
        <v>12</v>
      </c>
      <c r="AY86" s="627">
        <f t="shared" si="9"/>
        <v>246</v>
      </c>
      <c r="AZ86" s="627">
        <f t="shared" si="9"/>
        <v>424</v>
      </c>
      <c r="BA86" s="627">
        <f t="shared" si="9"/>
        <v>369</v>
      </c>
    </row>
    <row r="87" spans="1:53">
      <c r="A87" s="105">
        <f t="shared" si="11"/>
        <v>76</v>
      </c>
      <c r="B87" s="745">
        <v>42445</v>
      </c>
      <c r="C87" s="746" t="s">
        <v>1772</v>
      </c>
      <c r="D87" s="747">
        <v>4232</v>
      </c>
      <c r="E87" s="747">
        <v>4187</v>
      </c>
      <c r="F87" s="747">
        <v>4224</v>
      </c>
      <c r="G87" s="747">
        <v>4272</v>
      </c>
      <c r="H87" s="747">
        <v>4249</v>
      </c>
      <c r="I87" s="747">
        <v>4549</v>
      </c>
      <c r="J87" s="747">
        <v>5015</v>
      </c>
      <c r="K87" s="747">
        <v>5235</v>
      </c>
      <c r="L87" s="747">
        <v>5176</v>
      </c>
      <c r="M87" s="747">
        <v>5091</v>
      </c>
      <c r="N87" s="747">
        <v>5112</v>
      </c>
      <c r="O87" s="747">
        <v>5130</v>
      </c>
      <c r="P87" s="747">
        <v>5074</v>
      </c>
      <c r="Q87" s="747">
        <v>5042</v>
      </c>
      <c r="R87" s="747">
        <v>4993</v>
      </c>
      <c r="S87" s="747">
        <v>4959</v>
      </c>
      <c r="T87" s="747">
        <v>4924</v>
      </c>
      <c r="U87" s="747">
        <v>4956</v>
      </c>
      <c r="V87" s="747">
        <v>5053</v>
      </c>
      <c r="W87" s="747">
        <v>5363</v>
      </c>
      <c r="X87" s="747">
        <v>5334</v>
      </c>
      <c r="Y87" s="747">
        <v>5079</v>
      </c>
      <c r="Z87" s="747">
        <v>4716</v>
      </c>
      <c r="AA87" s="747">
        <v>4359</v>
      </c>
      <c r="AC87" s="628">
        <f t="shared" si="12"/>
        <v>76</v>
      </c>
      <c r="AD87" s="627">
        <f t="shared" si="13"/>
        <v>123</v>
      </c>
      <c r="AE87" s="627">
        <f t="shared" si="15"/>
        <v>45</v>
      </c>
      <c r="AF87" s="627">
        <f t="shared" si="15"/>
        <v>37</v>
      </c>
      <c r="AG87" s="627">
        <f t="shared" si="15"/>
        <v>48</v>
      </c>
      <c r="AH87" s="627">
        <f t="shared" si="15"/>
        <v>23</v>
      </c>
      <c r="AI87" s="627">
        <f t="shared" si="15"/>
        <v>300</v>
      </c>
      <c r="AJ87" s="627">
        <f t="shared" si="15"/>
        <v>466</v>
      </c>
      <c r="AK87" s="627">
        <f t="shared" si="15"/>
        <v>220</v>
      </c>
      <c r="AL87" s="627">
        <f t="shared" si="15"/>
        <v>59</v>
      </c>
      <c r="AM87" s="627">
        <f t="shared" si="14"/>
        <v>85</v>
      </c>
      <c r="AN87" s="627">
        <f t="shared" si="14"/>
        <v>21</v>
      </c>
      <c r="AO87" s="627">
        <f t="shared" si="14"/>
        <v>18</v>
      </c>
      <c r="AP87" s="627">
        <f t="shared" si="14"/>
        <v>56</v>
      </c>
      <c r="AQ87" s="627">
        <f t="shared" si="14"/>
        <v>32</v>
      </c>
      <c r="AR87" s="627">
        <f t="shared" si="14"/>
        <v>49</v>
      </c>
      <c r="AS87" s="627">
        <f t="shared" si="14"/>
        <v>34</v>
      </c>
      <c r="AT87" s="627">
        <f t="shared" si="9"/>
        <v>35</v>
      </c>
      <c r="AU87" s="627">
        <f t="shared" si="9"/>
        <v>32</v>
      </c>
      <c r="AV87" s="627">
        <f t="shared" si="9"/>
        <v>97</v>
      </c>
      <c r="AW87" s="627">
        <f t="shared" si="9"/>
        <v>310</v>
      </c>
      <c r="AX87" s="627">
        <f t="shared" si="9"/>
        <v>29</v>
      </c>
      <c r="AY87" s="627">
        <f t="shared" si="9"/>
        <v>255</v>
      </c>
      <c r="AZ87" s="627">
        <f t="shared" si="9"/>
        <v>363</v>
      </c>
      <c r="BA87" s="627">
        <f t="shared" si="9"/>
        <v>357</v>
      </c>
    </row>
    <row r="88" spans="1:53">
      <c r="A88" s="105">
        <f t="shared" si="11"/>
        <v>77</v>
      </c>
      <c r="B88" s="745">
        <v>42446</v>
      </c>
      <c r="C88" s="746" t="s">
        <v>1772</v>
      </c>
      <c r="D88" s="747">
        <v>4286</v>
      </c>
      <c r="E88" s="747">
        <v>4167</v>
      </c>
      <c r="F88" s="747">
        <v>4158</v>
      </c>
      <c r="G88" s="747">
        <v>4277</v>
      </c>
      <c r="H88" s="747">
        <v>4428</v>
      </c>
      <c r="I88" s="747">
        <v>4738</v>
      </c>
      <c r="J88" s="747">
        <v>5189</v>
      </c>
      <c r="K88" s="747">
        <v>5344</v>
      </c>
      <c r="L88" s="747">
        <v>5335</v>
      </c>
      <c r="M88" s="747">
        <v>5192</v>
      </c>
      <c r="N88" s="747">
        <v>5238</v>
      </c>
      <c r="O88" s="747">
        <v>5250</v>
      </c>
      <c r="P88" s="747">
        <v>5172</v>
      </c>
      <c r="Q88" s="747">
        <v>5166</v>
      </c>
      <c r="R88" s="747">
        <v>5140</v>
      </c>
      <c r="S88" s="747">
        <v>5171</v>
      </c>
      <c r="T88" s="747">
        <v>5273</v>
      </c>
      <c r="U88" s="747">
        <v>5349</v>
      </c>
      <c r="V88" s="747">
        <v>5421</v>
      </c>
      <c r="W88" s="747">
        <v>5568</v>
      </c>
      <c r="X88" s="747">
        <v>5511</v>
      </c>
      <c r="Y88" s="747">
        <v>5239</v>
      </c>
      <c r="Z88" s="747">
        <v>4846</v>
      </c>
      <c r="AA88" s="747">
        <v>4480</v>
      </c>
      <c r="AC88" s="628">
        <f t="shared" si="12"/>
        <v>77</v>
      </c>
      <c r="AD88" s="627">
        <f t="shared" si="13"/>
        <v>73</v>
      </c>
      <c r="AE88" s="627">
        <f t="shared" si="15"/>
        <v>119</v>
      </c>
      <c r="AF88" s="627">
        <f t="shared" si="15"/>
        <v>9</v>
      </c>
      <c r="AG88" s="627">
        <f t="shared" si="15"/>
        <v>119</v>
      </c>
      <c r="AH88" s="627">
        <f t="shared" si="15"/>
        <v>151</v>
      </c>
      <c r="AI88" s="627">
        <f t="shared" si="15"/>
        <v>310</v>
      </c>
      <c r="AJ88" s="627">
        <f t="shared" si="15"/>
        <v>451</v>
      </c>
      <c r="AK88" s="627">
        <f t="shared" si="15"/>
        <v>155</v>
      </c>
      <c r="AL88" s="627">
        <f t="shared" si="15"/>
        <v>9</v>
      </c>
      <c r="AM88" s="627">
        <f t="shared" si="14"/>
        <v>143</v>
      </c>
      <c r="AN88" s="627">
        <f t="shared" si="14"/>
        <v>46</v>
      </c>
      <c r="AO88" s="627">
        <f t="shared" si="14"/>
        <v>12</v>
      </c>
      <c r="AP88" s="627">
        <f t="shared" si="14"/>
        <v>78</v>
      </c>
      <c r="AQ88" s="627">
        <f t="shared" si="14"/>
        <v>6</v>
      </c>
      <c r="AR88" s="627">
        <f t="shared" si="14"/>
        <v>26</v>
      </c>
      <c r="AS88" s="627">
        <f t="shared" si="14"/>
        <v>31</v>
      </c>
      <c r="AT88" s="627">
        <f t="shared" si="14"/>
        <v>102</v>
      </c>
      <c r="AU88" s="627">
        <f t="shared" si="14"/>
        <v>76</v>
      </c>
      <c r="AV88" s="627">
        <f t="shared" si="14"/>
        <v>72</v>
      </c>
      <c r="AW88" s="627">
        <f t="shared" si="14"/>
        <v>147</v>
      </c>
      <c r="AX88" s="627">
        <f t="shared" si="14"/>
        <v>57</v>
      </c>
      <c r="AY88" s="627">
        <f t="shared" si="14"/>
        <v>272</v>
      </c>
      <c r="AZ88" s="627">
        <f t="shared" si="14"/>
        <v>393</v>
      </c>
      <c r="BA88" s="627">
        <f t="shared" si="14"/>
        <v>366</v>
      </c>
    </row>
    <row r="89" spans="1:53">
      <c r="A89" s="105">
        <f t="shared" si="11"/>
        <v>78</v>
      </c>
      <c r="B89" s="745">
        <v>42447</v>
      </c>
      <c r="C89" s="746" t="s">
        <v>1772</v>
      </c>
      <c r="D89" s="747">
        <v>4333</v>
      </c>
      <c r="E89" s="747">
        <v>4289</v>
      </c>
      <c r="F89" s="747">
        <v>4392</v>
      </c>
      <c r="G89" s="747">
        <v>4338</v>
      </c>
      <c r="H89" s="747">
        <v>4435</v>
      </c>
      <c r="I89" s="747">
        <v>4699</v>
      </c>
      <c r="J89" s="747">
        <v>5060</v>
      </c>
      <c r="K89" s="747">
        <v>5291</v>
      </c>
      <c r="L89" s="747">
        <v>5397</v>
      </c>
      <c r="M89" s="747">
        <v>5414</v>
      </c>
      <c r="N89" s="747">
        <v>5393</v>
      </c>
      <c r="O89" s="747">
        <v>5323</v>
      </c>
      <c r="P89" s="747">
        <v>5269</v>
      </c>
      <c r="Q89" s="747">
        <v>5226</v>
      </c>
      <c r="R89" s="747">
        <v>5144</v>
      </c>
      <c r="S89" s="747">
        <v>5074</v>
      </c>
      <c r="T89" s="747">
        <v>5043</v>
      </c>
      <c r="U89" s="747">
        <v>5157</v>
      </c>
      <c r="V89" s="747">
        <v>5218</v>
      </c>
      <c r="W89" s="747">
        <v>5403</v>
      </c>
      <c r="X89" s="747">
        <v>5397</v>
      </c>
      <c r="Y89" s="747">
        <v>5191</v>
      </c>
      <c r="Z89" s="747">
        <v>4841</v>
      </c>
      <c r="AA89" s="747">
        <v>4537</v>
      </c>
      <c r="AC89" s="628">
        <f t="shared" si="12"/>
        <v>78</v>
      </c>
      <c r="AD89" s="627">
        <f t="shared" si="13"/>
        <v>147</v>
      </c>
      <c r="AE89" s="627">
        <f t="shared" si="15"/>
        <v>44</v>
      </c>
      <c r="AF89" s="627">
        <f t="shared" si="15"/>
        <v>103</v>
      </c>
      <c r="AG89" s="627">
        <f t="shared" si="15"/>
        <v>54</v>
      </c>
      <c r="AH89" s="627">
        <f t="shared" si="15"/>
        <v>97</v>
      </c>
      <c r="AI89" s="627">
        <f t="shared" si="15"/>
        <v>264</v>
      </c>
      <c r="AJ89" s="627">
        <f t="shared" si="15"/>
        <v>361</v>
      </c>
      <c r="AK89" s="627">
        <f t="shared" si="15"/>
        <v>231</v>
      </c>
      <c r="AL89" s="627">
        <f t="shared" si="15"/>
        <v>106</v>
      </c>
      <c r="AM89" s="627">
        <f t="shared" si="14"/>
        <v>17</v>
      </c>
      <c r="AN89" s="627">
        <f t="shared" si="14"/>
        <v>21</v>
      </c>
      <c r="AO89" s="627">
        <f t="shared" si="14"/>
        <v>70</v>
      </c>
      <c r="AP89" s="627">
        <f t="shared" si="14"/>
        <v>54</v>
      </c>
      <c r="AQ89" s="627">
        <f t="shared" si="14"/>
        <v>43</v>
      </c>
      <c r="AR89" s="627">
        <f t="shared" si="14"/>
        <v>82</v>
      </c>
      <c r="AS89" s="627">
        <f t="shared" si="14"/>
        <v>70</v>
      </c>
      <c r="AT89" s="627">
        <f t="shared" si="14"/>
        <v>31</v>
      </c>
      <c r="AU89" s="627">
        <f t="shared" si="14"/>
        <v>114</v>
      </c>
      <c r="AV89" s="627">
        <f t="shared" si="14"/>
        <v>61</v>
      </c>
      <c r="AW89" s="627">
        <f t="shared" si="14"/>
        <v>185</v>
      </c>
      <c r="AX89" s="627">
        <f t="shared" si="14"/>
        <v>6</v>
      </c>
      <c r="AY89" s="627">
        <f t="shared" si="14"/>
        <v>206</v>
      </c>
      <c r="AZ89" s="627">
        <f t="shared" si="14"/>
        <v>350</v>
      </c>
      <c r="BA89" s="627">
        <f t="shared" si="14"/>
        <v>304</v>
      </c>
    </row>
    <row r="90" spans="1:53">
      <c r="A90" s="105">
        <f t="shared" si="11"/>
        <v>79</v>
      </c>
      <c r="B90" s="745">
        <v>42448</v>
      </c>
      <c r="C90" s="746" t="s">
        <v>1772</v>
      </c>
      <c r="D90" s="747">
        <v>4438</v>
      </c>
      <c r="E90" s="747">
        <v>4452</v>
      </c>
      <c r="F90" s="747">
        <v>4393</v>
      </c>
      <c r="G90" s="747">
        <v>4399</v>
      </c>
      <c r="H90" s="747">
        <v>4422</v>
      </c>
      <c r="I90" s="747">
        <v>4501</v>
      </c>
      <c r="J90" s="747">
        <v>4642</v>
      </c>
      <c r="K90" s="747">
        <v>4788</v>
      </c>
      <c r="L90" s="747">
        <v>4895</v>
      </c>
      <c r="M90" s="747">
        <v>5017</v>
      </c>
      <c r="N90" s="747">
        <v>4976</v>
      </c>
      <c r="O90" s="747">
        <v>4901</v>
      </c>
      <c r="P90" s="747">
        <v>4804</v>
      </c>
      <c r="Q90" s="747">
        <v>4716</v>
      </c>
      <c r="R90" s="747">
        <v>4630</v>
      </c>
      <c r="S90" s="747">
        <v>4629</v>
      </c>
      <c r="T90" s="747">
        <v>4635</v>
      </c>
      <c r="U90" s="747">
        <v>4757</v>
      </c>
      <c r="V90" s="747">
        <v>4824</v>
      </c>
      <c r="W90" s="747">
        <v>5044</v>
      </c>
      <c r="X90" s="747">
        <v>5126</v>
      </c>
      <c r="Y90" s="747">
        <v>5009</v>
      </c>
      <c r="Z90" s="747">
        <v>4780</v>
      </c>
      <c r="AA90" s="747">
        <v>4566</v>
      </c>
      <c r="AC90" s="628">
        <f t="shared" si="12"/>
        <v>79</v>
      </c>
      <c r="AD90" s="627">
        <f t="shared" si="13"/>
        <v>99</v>
      </c>
      <c r="AE90" s="627">
        <f t="shared" si="15"/>
        <v>14</v>
      </c>
      <c r="AF90" s="627">
        <f t="shared" si="15"/>
        <v>59</v>
      </c>
      <c r="AG90" s="627">
        <f t="shared" si="15"/>
        <v>6</v>
      </c>
      <c r="AH90" s="627">
        <f t="shared" si="15"/>
        <v>23</v>
      </c>
      <c r="AI90" s="627">
        <f t="shared" si="15"/>
        <v>79</v>
      </c>
      <c r="AJ90" s="627">
        <f t="shared" si="15"/>
        <v>141</v>
      </c>
      <c r="AK90" s="627">
        <f t="shared" si="15"/>
        <v>146</v>
      </c>
      <c r="AL90" s="627">
        <f t="shared" si="15"/>
        <v>107</v>
      </c>
      <c r="AM90" s="627">
        <f t="shared" si="14"/>
        <v>122</v>
      </c>
      <c r="AN90" s="627">
        <f t="shared" si="14"/>
        <v>41</v>
      </c>
      <c r="AO90" s="627">
        <f t="shared" si="14"/>
        <v>75</v>
      </c>
      <c r="AP90" s="627">
        <f t="shared" si="14"/>
        <v>97</v>
      </c>
      <c r="AQ90" s="627">
        <f t="shared" si="14"/>
        <v>88</v>
      </c>
      <c r="AR90" s="627">
        <f t="shared" si="14"/>
        <v>86</v>
      </c>
      <c r="AS90" s="627">
        <f t="shared" si="14"/>
        <v>1</v>
      </c>
      <c r="AT90" s="627">
        <f t="shared" si="14"/>
        <v>6</v>
      </c>
      <c r="AU90" s="627">
        <f t="shared" si="14"/>
        <v>122</v>
      </c>
      <c r="AV90" s="627">
        <f t="shared" si="14"/>
        <v>67</v>
      </c>
      <c r="AW90" s="627">
        <f t="shared" si="14"/>
        <v>220</v>
      </c>
      <c r="AX90" s="627">
        <f t="shared" si="14"/>
        <v>82</v>
      </c>
      <c r="AY90" s="627">
        <f t="shared" si="14"/>
        <v>117</v>
      </c>
      <c r="AZ90" s="627">
        <f t="shared" si="14"/>
        <v>229</v>
      </c>
      <c r="BA90" s="627">
        <f t="shared" si="14"/>
        <v>214</v>
      </c>
    </row>
    <row r="91" spans="1:53">
      <c r="A91" s="105">
        <f t="shared" si="11"/>
        <v>80</v>
      </c>
      <c r="B91" s="745">
        <v>42449</v>
      </c>
      <c r="C91" s="746" t="s">
        <v>1772</v>
      </c>
      <c r="D91" s="747">
        <v>4442</v>
      </c>
      <c r="E91" s="747">
        <v>4293</v>
      </c>
      <c r="F91" s="747">
        <v>4262</v>
      </c>
      <c r="G91" s="747">
        <v>4251</v>
      </c>
      <c r="H91" s="747">
        <v>4306</v>
      </c>
      <c r="I91" s="747">
        <v>4395</v>
      </c>
      <c r="J91" s="747">
        <v>4572</v>
      </c>
      <c r="K91" s="747">
        <v>4647</v>
      </c>
      <c r="L91" s="747">
        <v>4624</v>
      </c>
      <c r="M91" s="747">
        <v>4638</v>
      </c>
      <c r="N91" s="747">
        <v>4605</v>
      </c>
      <c r="O91" s="747">
        <v>4513</v>
      </c>
      <c r="P91" s="747">
        <v>4440</v>
      </c>
      <c r="Q91" s="747">
        <v>4346</v>
      </c>
      <c r="R91" s="747">
        <v>4273</v>
      </c>
      <c r="S91" s="747">
        <v>4252</v>
      </c>
      <c r="T91" s="747">
        <v>4296</v>
      </c>
      <c r="U91" s="747">
        <v>4429</v>
      </c>
      <c r="V91" s="747">
        <v>4558</v>
      </c>
      <c r="W91" s="747">
        <v>4844</v>
      </c>
      <c r="X91" s="747">
        <v>4925</v>
      </c>
      <c r="Y91" s="747">
        <v>4739</v>
      </c>
      <c r="Z91" s="747">
        <v>4424</v>
      </c>
      <c r="AA91" s="747">
        <v>4211</v>
      </c>
      <c r="AC91" s="628">
        <f t="shared" si="12"/>
        <v>80</v>
      </c>
      <c r="AD91" s="627">
        <f t="shared" si="13"/>
        <v>124</v>
      </c>
      <c r="AE91" s="627">
        <f t="shared" si="15"/>
        <v>149</v>
      </c>
      <c r="AF91" s="627">
        <f t="shared" si="15"/>
        <v>31</v>
      </c>
      <c r="AG91" s="627">
        <f t="shared" si="15"/>
        <v>11</v>
      </c>
      <c r="AH91" s="627">
        <f t="shared" si="15"/>
        <v>55</v>
      </c>
      <c r="AI91" s="627">
        <f t="shared" si="15"/>
        <v>89</v>
      </c>
      <c r="AJ91" s="627">
        <f t="shared" si="15"/>
        <v>177</v>
      </c>
      <c r="AK91" s="627">
        <f t="shared" si="15"/>
        <v>75</v>
      </c>
      <c r="AL91" s="627">
        <f t="shared" si="15"/>
        <v>23</v>
      </c>
      <c r="AM91" s="627">
        <f t="shared" si="14"/>
        <v>14</v>
      </c>
      <c r="AN91" s="627">
        <f t="shared" si="14"/>
        <v>33</v>
      </c>
      <c r="AO91" s="627">
        <f t="shared" si="14"/>
        <v>92</v>
      </c>
      <c r="AP91" s="627">
        <f t="shared" si="14"/>
        <v>73</v>
      </c>
      <c r="AQ91" s="627">
        <f t="shared" si="14"/>
        <v>94</v>
      </c>
      <c r="AR91" s="627">
        <f t="shared" si="14"/>
        <v>73</v>
      </c>
      <c r="AS91" s="627">
        <f t="shared" si="14"/>
        <v>21</v>
      </c>
      <c r="AT91" s="627">
        <f t="shared" si="14"/>
        <v>44</v>
      </c>
      <c r="AU91" s="627">
        <f t="shared" si="14"/>
        <v>133</v>
      </c>
      <c r="AV91" s="627">
        <f t="shared" si="14"/>
        <v>129</v>
      </c>
      <c r="AW91" s="627">
        <f t="shared" si="14"/>
        <v>286</v>
      </c>
      <c r="AX91" s="627">
        <f t="shared" si="14"/>
        <v>81</v>
      </c>
      <c r="AY91" s="627">
        <f t="shared" si="14"/>
        <v>186</v>
      </c>
      <c r="AZ91" s="627">
        <f t="shared" si="14"/>
        <v>315</v>
      </c>
      <c r="BA91" s="627">
        <f t="shared" si="14"/>
        <v>213</v>
      </c>
    </row>
    <row r="92" spans="1:53">
      <c r="A92" s="105">
        <f t="shared" si="11"/>
        <v>81</v>
      </c>
      <c r="B92" s="745">
        <v>42450</v>
      </c>
      <c r="C92" s="746" t="s">
        <v>1772</v>
      </c>
      <c r="D92" s="747">
        <v>4027</v>
      </c>
      <c r="E92" s="747">
        <v>3937</v>
      </c>
      <c r="F92" s="747">
        <v>3908</v>
      </c>
      <c r="G92" s="747">
        <v>3943</v>
      </c>
      <c r="H92" s="747">
        <v>4043</v>
      </c>
      <c r="I92" s="747">
        <v>4344</v>
      </c>
      <c r="J92" s="747">
        <v>4789</v>
      </c>
      <c r="K92" s="747">
        <v>4893</v>
      </c>
      <c r="L92" s="747">
        <v>4955</v>
      </c>
      <c r="M92" s="747">
        <v>4941</v>
      </c>
      <c r="N92" s="747">
        <v>4906</v>
      </c>
      <c r="O92" s="747">
        <v>4850</v>
      </c>
      <c r="P92" s="747">
        <v>4799</v>
      </c>
      <c r="Q92" s="747">
        <v>4780</v>
      </c>
      <c r="R92" s="747">
        <v>4754</v>
      </c>
      <c r="S92" s="747">
        <v>4724</v>
      </c>
      <c r="T92" s="747">
        <v>4727</v>
      </c>
      <c r="U92" s="747">
        <v>4794</v>
      </c>
      <c r="V92" s="747">
        <v>4824</v>
      </c>
      <c r="W92" s="747">
        <v>5024</v>
      </c>
      <c r="X92" s="747">
        <v>5009</v>
      </c>
      <c r="Y92" s="747">
        <v>4729</v>
      </c>
      <c r="Z92" s="747">
        <v>4377</v>
      </c>
      <c r="AA92" s="747">
        <v>4191</v>
      </c>
      <c r="AC92" s="628">
        <f t="shared" si="12"/>
        <v>81</v>
      </c>
      <c r="AD92" s="627">
        <f t="shared" si="13"/>
        <v>184</v>
      </c>
      <c r="AE92" s="627">
        <f t="shared" si="15"/>
        <v>90</v>
      </c>
      <c r="AF92" s="627">
        <f t="shared" si="15"/>
        <v>29</v>
      </c>
      <c r="AG92" s="627">
        <f t="shared" si="15"/>
        <v>35</v>
      </c>
      <c r="AH92" s="627">
        <f t="shared" si="15"/>
        <v>100</v>
      </c>
      <c r="AI92" s="627">
        <f t="shared" si="15"/>
        <v>301</v>
      </c>
      <c r="AJ92" s="627">
        <f t="shared" si="15"/>
        <v>445</v>
      </c>
      <c r="AK92" s="627">
        <f t="shared" si="15"/>
        <v>104</v>
      </c>
      <c r="AL92" s="627">
        <f t="shared" si="15"/>
        <v>62</v>
      </c>
      <c r="AM92" s="627">
        <f t="shared" si="14"/>
        <v>14</v>
      </c>
      <c r="AN92" s="627">
        <f t="shared" si="14"/>
        <v>35</v>
      </c>
      <c r="AO92" s="627">
        <f t="shared" si="14"/>
        <v>56</v>
      </c>
      <c r="AP92" s="627">
        <f t="shared" si="14"/>
        <v>51</v>
      </c>
      <c r="AQ92" s="627">
        <f t="shared" si="14"/>
        <v>19</v>
      </c>
      <c r="AR92" s="627">
        <f t="shared" si="14"/>
        <v>26</v>
      </c>
      <c r="AS92" s="627">
        <f t="shared" si="14"/>
        <v>30</v>
      </c>
      <c r="AT92" s="627">
        <f t="shared" si="14"/>
        <v>3</v>
      </c>
      <c r="AU92" s="627">
        <f t="shared" si="14"/>
        <v>67</v>
      </c>
      <c r="AV92" s="627">
        <f t="shared" si="14"/>
        <v>30</v>
      </c>
      <c r="AW92" s="627">
        <f t="shared" si="14"/>
        <v>200</v>
      </c>
      <c r="AX92" s="627">
        <f t="shared" si="14"/>
        <v>15</v>
      </c>
      <c r="AY92" s="627">
        <f t="shared" si="14"/>
        <v>280</v>
      </c>
      <c r="AZ92" s="627">
        <f t="shared" si="14"/>
        <v>352</v>
      </c>
      <c r="BA92" s="627">
        <f t="shared" si="14"/>
        <v>186</v>
      </c>
    </row>
    <row r="93" spans="1:53">
      <c r="A93" s="105">
        <f t="shared" si="11"/>
        <v>82</v>
      </c>
      <c r="B93" s="745">
        <v>42451</v>
      </c>
      <c r="C93" s="746" t="s">
        <v>1772</v>
      </c>
      <c r="D93" s="747">
        <v>4006</v>
      </c>
      <c r="E93" s="747">
        <v>3875</v>
      </c>
      <c r="F93" s="747">
        <v>3835</v>
      </c>
      <c r="G93" s="747">
        <v>3632</v>
      </c>
      <c r="H93" s="747">
        <v>3712</v>
      </c>
      <c r="I93" s="747">
        <v>4012</v>
      </c>
      <c r="J93" s="747">
        <v>4490</v>
      </c>
      <c r="K93" s="747">
        <v>4725</v>
      </c>
      <c r="L93" s="747">
        <v>4754</v>
      </c>
      <c r="M93" s="747">
        <v>4781</v>
      </c>
      <c r="N93" s="747">
        <v>4765</v>
      </c>
      <c r="O93" s="747">
        <v>4767</v>
      </c>
      <c r="P93" s="747">
        <v>4740</v>
      </c>
      <c r="Q93" s="747">
        <v>4762</v>
      </c>
      <c r="R93" s="747">
        <v>4742</v>
      </c>
      <c r="S93" s="747">
        <v>4740</v>
      </c>
      <c r="T93" s="747">
        <v>4752</v>
      </c>
      <c r="U93" s="747">
        <v>4785</v>
      </c>
      <c r="V93" s="747">
        <v>4828</v>
      </c>
      <c r="W93" s="747">
        <v>5022</v>
      </c>
      <c r="X93" s="747">
        <v>5008</v>
      </c>
      <c r="Y93" s="747">
        <v>4763</v>
      </c>
      <c r="Z93" s="747">
        <v>4375</v>
      </c>
      <c r="AA93" s="747">
        <v>4074</v>
      </c>
      <c r="AC93" s="628">
        <f t="shared" si="12"/>
        <v>82</v>
      </c>
      <c r="AD93" s="627">
        <f t="shared" si="13"/>
        <v>185</v>
      </c>
      <c r="AE93" s="627">
        <f t="shared" si="15"/>
        <v>131</v>
      </c>
      <c r="AF93" s="627">
        <f t="shared" si="15"/>
        <v>40</v>
      </c>
      <c r="AG93" s="627">
        <f t="shared" si="15"/>
        <v>203</v>
      </c>
      <c r="AH93" s="627">
        <f t="shared" si="15"/>
        <v>80</v>
      </c>
      <c r="AI93" s="627">
        <f t="shared" si="15"/>
        <v>300</v>
      </c>
      <c r="AJ93" s="627">
        <f t="shared" si="15"/>
        <v>478</v>
      </c>
      <c r="AK93" s="627">
        <f t="shared" si="15"/>
        <v>235</v>
      </c>
      <c r="AL93" s="627">
        <f t="shared" si="15"/>
        <v>29</v>
      </c>
      <c r="AM93" s="627">
        <f t="shared" si="14"/>
        <v>27</v>
      </c>
      <c r="AN93" s="627">
        <f t="shared" si="14"/>
        <v>16</v>
      </c>
      <c r="AO93" s="627">
        <f t="shared" si="14"/>
        <v>2</v>
      </c>
      <c r="AP93" s="627">
        <f t="shared" si="14"/>
        <v>27</v>
      </c>
      <c r="AQ93" s="627">
        <f t="shared" si="14"/>
        <v>22</v>
      </c>
      <c r="AR93" s="627">
        <f t="shared" si="14"/>
        <v>20</v>
      </c>
      <c r="AS93" s="627">
        <f t="shared" si="14"/>
        <v>2</v>
      </c>
      <c r="AT93" s="627">
        <f t="shared" si="14"/>
        <v>12</v>
      </c>
      <c r="AU93" s="627">
        <f t="shared" si="14"/>
        <v>33</v>
      </c>
      <c r="AV93" s="627">
        <f t="shared" si="14"/>
        <v>43</v>
      </c>
      <c r="AW93" s="627">
        <f t="shared" si="14"/>
        <v>194</v>
      </c>
      <c r="AX93" s="627">
        <f t="shared" si="14"/>
        <v>14</v>
      </c>
      <c r="AY93" s="627">
        <f t="shared" si="14"/>
        <v>245</v>
      </c>
      <c r="AZ93" s="627">
        <f t="shared" si="14"/>
        <v>388</v>
      </c>
      <c r="BA93" s="627">
        <f t="shared" si="14"/>
        <v>301</v>
      </c>
    </row>
    <row r="94" spans="1:53">
      <c r="A94" s="105">
        <f t="shared" si="11"/>
        <v>83</v>
      </c>
      <c r="B94" s="745">
        <v>42452</v>
      </c>
      <c r="C94" s="746" t="s">
        <v>1772</v>
      </c>
      <c r="D94" s="747">
        <v>3982</v>
      </c>
      <c r="E94" s="747">
        <v>3968</v>
      </c>
      <c r="F94" s="747">
        <v>3984</v>
      </c>
      <c r="G94" s="747">
        <v>4036</v>
      </c>
      <c r="H94" s="747">
        <v>4037</v>
      </c>
      <c r="I94" s="747">
        <v>4246</v>
      </c>
      <c r="J94" s="747">
        <v>4519</v>
      </c>
      <c r="K94" s="747">
        <v>4706</v>
      </c>
      <c r="L94" s="747">
        <v>4855</v>
      </c>
      <c r="M94" s="747">
        <v>4962</v>
      </c>
      <c r="N94" s="747">
        <v>5038</v>
      </c>
      <c r="O94" s="747">
        <v>5090</v>
      </c>
      <c r="P94" s="747">
        <v>5108</v>
      </c>
      <c r="Q94" s="747">
        <v>5025</v>
      </c>
      <c r="R94" s="747">
        <v>4940</v>
      </c>
      <c r="S94" s="747">
        <v>4852</v>
      </c>
      <c r="T94" s="747">
        <v>4838</v>
      </c>
      <c r="U94" s="747">
        <v>4881</v>
      </c>
      <c r="V94" s="747">
        <v>4933</v>
      </c>
      <c r="W94" s="747">
        <v>5140</v>
      </c>
      <c r="X94" s="747">
        <v>5153</v>
      </c>
      <c r="Y94" s="747">
        <v>4902</v>
      </c>
      <c r="Z94" s="747">
        <v>4590</v>
      </c>
      <c r="AA94" s="747">
        <v>4370</v>
      </c>
      <c r="AC94" s="628">
        <f t="shared" si="12"/>
        <v>83</v>
      </c>
      <c r="AD94" s="627">
        <f t="shared" si="13"/>
        <v>92</v>
      </c>
      <c r="AE94" s="627">
        <f t="shared" si="15"/>
        <v>14</v>
      </c>
      <c r="AF94" s="627">
        <f t="shared" si="15"/>
        <v>16</v>
      </c>
      <c r="AG94" s="627">
        <f t="shared" si="15"/>
        <v>52</v>
      </c>
      <c r="AH94" s="627">
        <f t="shared" si="15"/>
        <v>1</v>
      </c>
      <c r="AI94" s="627">
        <f t="shared" si="15"/>
        <v>209</v>
      </c>
      <c r="AJ94" s="627">
        <f t="shared" si="15"/>
        <v>273</v>
      </c>
      <c r="AK94" s="627">
        <f t="shared" si="15"/>
        <v>187</v>
      </c>
      <c r="AL94" s="627">
        <f t="shared" si="15"/>
        <v>149</v>
      </c>
      <c r="AM94" s="627">
        <f t="shared" si="14"/>
        <v>107</v>
      </c>
      <c r="AN94" s="627">
        <f t="shared" si="14"/>
        <v>76</v>
      </c>
      <c r="AO94" s="627">
        <f t="shared" si="14"/>
        <v>52</v>
      </c>
      <c r="AP94" s="627">
        <f t="shared" si="14"/>
        <v>18</v>
      </c>
      <c r="AQ94" s="627">
        <f t="shared" si="14"/>
        <v>83</v>
      </c>
      <c r="AR94" s="627">
        <f t="shared" si="14"/>
        <v>85</v>
      </c>
      <c r="AS94" s="627">
        <f t="shared" si="14"/>
        <v>88</v>
      </c>
      <c r="AT94" s="627">
        <f t="shared" si="14"/>
        <v>14</v>
      </c>
      <c r="AU94" s="627">
        <f t="shared" si="14"/>
        <v>43</v>
      </c>
      <c r="AV94" s="627">
        <f t="shared" si="14"/>
        <v>52</v>
      </c>
      <c r="AW94" s="627">
        <f t="shared" si="14"/>
        <v>207</v>
      </c>
      <c r="AX94" s="627">
        <f t="shared" si="14"/>
        <v>13</v>
      </c>
      <c r="AY94" s="627">
        <f t="shared" si="14"/>
        <v>251</v>
      </c>
      <c r="AZ94" s="627">
        <f t="shared" si="14"/>
        <v>312</v>
      </c>
      <c r="BA94" s="627">
        <f t="shared" si="14"/>
        <v>220</v>
      </c>
    </row>
    <row r="95" spans="1:53">
      <c r="A95" s="105">
        <f t="shared" si="11"/>
        <v>84</v>
      </c>
      <c r="B95" s="745">
        <v>42453</v>
      </c>
      <c r="C95" s="746" t="s">
        <v>1772</v>
      </c>
      <c r="D95" s="747">
        <v>4205</v>
      </c>
      <c r="E95" s="747">
        <v>4120</v>
      </c>
      <c r="F95" s="747">
        <v>4094</v>
      </c>
      <c r="G95" s="747">
        <v>4122</v>
      </c>
      <c r="H95" s="747">
        <v>4231</v>
      </c>
      <c r="I95" s="747">
        <v>4375</v>
      </c>
      <c r="J95" s="747">
        <v>4761</v>
      </c>
      <c r="K95" s="747">
        <v>4938</v>
      </c>
      <c r="L95" s="747">
        <v>4988</v>
      </c>
      <c r="M95" s="747">
        <v>5004</v>
      </c>
      <c r="N95" s="747">
        <v>4986</v>
      </c>
      <c r="O95" s="747">
        <v>4918</v>
      </c>
      <c r="P95" s="747">
        <v>4861</v>
      </c>
      <c r="Q95" s="747">
        <v>4815</v>
      </c>
      <c r="R95" s="747">
        <v>4824</v>
      </c>
      <c r="S95" s="747">
        <v>4731</v>
      </c>
      <c r="T95" s="747">
        <v>4700</v>
      </c>
      <c r="U95" s="747">
        <v>4734</v>
      </c>
      <c r="V95" s="747">
        <v>4792</v>
      </c>
      <c r="W95" s="747">
        <v>5075</v>
      </c>
      <c r="X95" s="747">
        <v>5126</v>
      </c>
      <c r="Y95" s="747">
        <v>4921</v>
      </c>
      <c r="Z95" s="747">
        <v>4629</v>
      </c>
      <c r="AA95" s="747">
        <v>4407</v>
      </c>
      <c r="AC95" s="628">
        <f t="shared" si="12"/>
        <v>84</v>
      </c>
      <c r="AD95" s="627">
        <f t="shared" si="13"/>
        <v>165</v>
      </c>
      <c r="AE95" s="627">
        <f t="shared" si="15"/>
        <v>85</v>
      </c>
      <c r="AF95" s="627">
        <f t="shared" si="15"/>
        <v>26</v>
      </c>
      <c r="AG95" s="627">
        <f t="shared" si="15"/>
        <v>28</v>
      </c>
      <c r="AH95" s="627">
        <f t="shared" si="15"/>
        <v>109</v>
      </c>
      <c r="AI95" s="627">
        <f t="shared" si="15"/>
        <v>144</v>
      </c>
      <c r="AJ95" s="627">
        <f t="shared" si="15"/>
        <v>386</v>
      </c>
      <c r="AK95" s="627">
        <f t="shared" si="15"/>
        <v>177</v>
      </c>
      <c r="AL95" s="627">
        <f t="shared" si="15"/>
        <v>50</v>
      </c>
      <c r="AM95" s="627">
        <f t="shared" si="14"/>
        <v>16</v>
      </c>
      <c r="AN95" s="627">
        <f t="shared" si="14"/>
        <v>18</v>
      </c>
      <c r="AO95" s="627">
        <f t="shared" si="14"/>
        <v>68</v>
      </c>
      <c r="AP95" s="627">
        <f t="shared" si="14"/>
        <v>57</v>
      </c>
      <c r="AQ95" s="627">
        <f t="shared" si="14"/>
        <v>46</v>
      </c>
      <c r="AR95" s="627">
        <f t="shared" si="14"/>
        <v>9</v>
      </c>
      <c r="AS95" s="627">
        <f t="shared" si="14"/>
        <v>93</v>
      </c>
      <c r="AT95" s="627">
        <f t="shared" si="14"/>
        <v>31</v>
      </c>
      <c r="AU95" s="627">
        <f t="shared" si="14"/>
        <v>34</v>
      </c>
      <c r="AV95" s="627">
        <f t="shared" si="14"/>
        <v>58</v>
      </c>
      <c r="AW95" s="627">
        <f t="shared" si="14"/>
        <v>283</v>
      </c>
      <c r="AX95" s="627">
        <f t="shared" si="14"/>
        <v>51</v>
      </c>
      <c r="AY95" s="627">
        <f t="shared" si="14"/>
        <v>205</v>
      </c>
      <c r="AZ95" s="627">
        <f t="shared" si="14"/>
        <v>292</v>
      </c>
      <c r="BA95" s="627">
        <f t="shared" si="14"/>
        <v>222</v>
      </c>
    </row>
    <row r="96" spans="1:53">
      <c r="A96" s="105">
        <f t="shared" si="11"/>
        <v>85</v>
      </c>
      <c r="B96" s="745">
        <v>42454</v>
      </c>
      <c r="C96" s="746" t="s">
        <v>1772</v>
      </c>
      <c r="D96" s="747">
        <v>4302</v>
      </c>
      <c r="E96" s="747">
        <v>4210</v>
      </c>
      <c r="F96" s="747">
        <v>4155</v>
      </c>
      <c r="G96" s="747">
        <v>4135</v>
      </c>
      <c r="H96" s="747">
        <v>4164</v>
      </c>
      <c r="I96" s="747">
        <v>4416</v>
      </c>
      <c r="J96" s="747">
        <v>4802</v>
      </c>
      <c r="K96" s="747">
        <v>4861</v>
      </c>
      <c r="L96" s="747">
        <v>4925</v>
      </c>
      <c r="M96" s="747">
        <v>4904</v>
      </c>
      <c r="N96" s="747">
        <v>4888</v>
      </c>
      <c r="O96" s="747">
        <v>4835</v>
      </c>
      <c r="P96" s="747">
        <v>4776</v>
      </c>
      <c r="Q96" s="747">
        <v>4753</v>
      </c>
      <c r="R96" s="747">
        <v>4742</v>
      </c>
      <c r="S96" s="747">
        <v>4758</v>
      </c>
      <c r="T96" s="747">
        <v>4796</v>
      </c>
      <c r="U96" s="747">
        <v>4849</v>
      </c>
      <c r="V96" s="747">
        <v>4902</v>
      </c>
      <c r="W96" s="747">
        <v>5086</v>
      </c>
      <c r="X96" s="747">
        <v>5107</v>
      </c>
      <c r="Y96" s="747">
        <v>4947</v>
      </c>
      <c r="Z96" s="747">
        <v>4636</v>
      </c>
      <c r="AA96" s="747">
        <v>4433</v>
      </c>
      <c r="AC96" s="628">
        <f t="shared" si="12"/>
        <v>85</v>
      </c>
      <c r="AD96" s="627">
        <f t="shared" si="13"/>
        <v>105</v>
      </c>
      <c r="AE96" s="627">
        <f t="shared" si="15"/>
        <v>92</v>
      </c>
      <c r="AF96" s="627">
        <f t="shared" si="15"/>
        <v>55</v>
      </c>
      <c r="AG96" s="627">
        <f t="shared" si="15"/>
        <v>20</v>
      </c>
      <c r="AH96" s="627">
        <f t="shared" si="15"/>
        <v>29</v>
      </c>
      <c r="AI96" s="627">
        <f t="shared" si="15"/>
        <v>252</v>
      </c>
      <c r="AJ96" s="627">
        <f t="shared" si="15"/>
        <v>386</v>
      </c>
      <c r="AK96" s="627">
        <f t="shared" si="15"/>
        <v>59</v>
      </c>
      <c r="AL96" s="627">
        <f t="shared" si="15"/>
        <v>64</v>
      </c>
      <c r="AM96" s="627">
        <f t="shared" si="14"/>
        <v>21</v>
      </c>
      <c r="AN96" s="627">
        <f t="shared" si="14"/>
        <v>16</v>
      </c>
      <c r="AO96" s="627">
        <f t="shared" si="14"/>
        <v>53</v>
      </c>
      <c r="AP96" s="627">
        <f t="shared" si="14"/>
        <v>59</v>
      </c>
      <c r="AQ96" s="627">
        <f t="shared" si="14"/>
        <v>23</v>
      </c>
      <c r="AR96" s="627">
        <f t="shared" si="14"/>
        <v>11</v>
      </c>
      <c r="AS96" s="627">
        <f t="shared" si="14"/>
        <v>16</v>
      </c>
      <c r="AT96" s="627">
        <f t="shared" si="14"/>
        <v>38</v>
      </c>
      <c r="AU96" s="627">
        <f t="shared" si="14"/>
        <v>53</v>
      </c>
      <c r="AV96" s="627">
        <f t="shared" si="14"/>
        <v>53</v>
      </c>
      <c r="AW96" s="627">
        <f t="shared" si="14"/>
        <v>184</v>
      </c>
      <c r="AX96" s="627">
        <f t="shared" si="14"/>
        <v>21</v>
      </c>
      <c r="AY96" s="627">
        <f t="shared" si="14"/>
        <v>160</v>
      </c>
      <c r="AZ96" s="627">
        <f t="shared" si="14"/>
        <v>311</v>
      </c>
      <c r="BA96" s="627">
        <f t="shared" si="14"/>
        <v>203</v>
      </c>
    </row>
    <row r="97" spans="1:53">
      <c r="A97" s="105">
        <f t="shared" si="11"/>
        <v>86</v>
      </c>
      <c r="B97" s="745">
        <v>42455</v>
      </c>
      <c r="C97" s="746" t="s">
        <v>1772</v>
      </c>
      <c r="D97" s="747">
        <v>4273</v>
      </c>
      <c r="E97" s="747">
        <v>4273</v>
      </c>
      <c r="F97" s="747">
        <v>4221</v>
      </c>
      <c r="G97" s="747">
        <v>4210</v>
      </c>
      <c r="H97" s="747">
        <v>4265</v>
      </c>
      <c r="I97" s="747">
        <v>4267</v>
      </c>
      <c r="J97" s="747">
        <v>4487</v>
      </c>
      <c r="K97" s="747">
        <v>4577</v>
      </c>
      <c r="L97" s="747">
        <v>4830</v>
      </c>
      <c r="M97" s="747">
        <v>5012</v>
      </c>
      <c r="N97" s="747">
        <v>5092</v>
      </c>
      <c r="O97" s="747">
        <v>5072</v>
      </c>
      <c r="P97" s="747">
        <v>5003</v>
      </c>
      <c r="Q97" s="747">
        <v>4877</v>
      </c>
      <c r="R97" s="747">
        <v>4789</v>
      </c>
      <c r="S97" s="747">
        <v>4704</v>
      </c>
      <c r="T97" s="747">
        <v>4662</v>
      </c>
      <c r="U97" s="747">
        <v>4700</v>
      </c>
      <c r="V97" s="747">
        <v>4823</v>
      </c>
      <c r="W97" s="747">
        <v>5074</v>
      </c>
      <c r="X97" s="747">
        <v>5183</v>
      </c>
      <c r="Y97" s="747">
        <v>5017</v>
      </c>
      <c r="Z97" s="747">
        <v>4751</v>
      </c>
      <c r="AA97" s="747">
        <v>4466</v>
      </c>
      <c r="AC97" s="628">
        <f t="shared" si="12"/>
        <v>86</v>
      </c>
      <c r="AD97" s="627">
        <f t="shared" si="13"/>
        <v>160</v>
      </c>
      <c r="AE97" s="627">
        <f t="shared" si="15"/>
        <v>0</v>
      </c>
      <c r="AF97" s="627">
        <f t="shared" si="15"/>
        <v>52</v>
      </c>
      <c r="AG97" s="627">
        <f t="shared" si="15"/>
        <v>11</v>
      </c>
      <c r="AH97" s="627">
        <f t="shared" si="15"/>
        <v>55</v>
      </c>
      <c r="AI97" s="627">
        <f t="shared" si="15"/>
        <v>2</v>
      </c>
      <c r="AJ97" s="627">
        <f t="shared" si="15"/>
        <v>220</v>
      </c>
      <c r="AK97" s="627">
        <f t="shared" si="15"/>
        <v>90</v>
      </c>
      <c r="AL97" s="627">
        <f t="shared" si="15"/>
        <v>253</v>
      </c>
      <c r="AM97" s="627">
        <f t="shared" si="14"/>
        <v>182</v>
      </c>
      <c r="AN97" s="627">
        <f t="shared" si="14"/>
        <v>80</v>
      </c>
      <c r="AO97" s="627">
        <f t="shared" si="14"/>
        <v>20</v>
      </c>
      <c r="AP97" s="627">
        <f t="shared" si="14"/>
        <v>69</v>
      </c>
      <c r="AQ97" s="627">
        <f t="shared" si="14"/>
        <v>126</v>
      </c>
      <c r="AR97" s="627">
        <f t="shared" si="14"/>
        <v>88</v>
      </c>
      <c r="AS97" s="627">
        <f t="shared" si="14"/>
        <v>85</v>
      </c>
      <c r="AT97" s="627">
        <f t="shared" si="14"/>
        <v>42</v>
      </c>
      <c r="AU97" s="627">
        <f t="shared" si="14"/>
        <v>38</v>
      </c>
      <c r="AV97" s="627">
        <f t="shared" si="14"/>
        <v>123</v>
      </c>
      <c r="AW97" s="627">
        <f t="shared" si="14"/>
        <v>251</v>
      </c>
      <c r="AX97" s="627">
        <f t="shared" si="14"/>
        <v>109</v>
      </c>
      <c r="AY97" s="627">
        <f t="shared" si="14"/>
        <v>166</v>
      </c>
      <c r="AZ97" s="627">
        <f t="shared" si="14"/>
        <v>266</v>
      </c>
      <c r="BA97" s="627">
        <f t="shared" si="14"/>
        <v>285</v>
      </c>
    </row>
    <row r="98" spans="1:53">
      <c r="A98" s="105">
        <f t="shared" si="11"/>
        <v>87</v>
      </c>
      <c r="B98" s="745">
        <v>42456</v>
      </c>
      <c r="C98" s="746" t="s">
        <v>1772</v>
      </c>
      <c r="D98" s="747">
        <v>4266</v>
      </c>
      <c r="E98" s="747">
        <v>4238</v>
      </c>
      <c r="F98" s="747">
        <v>4230</v>
      </c>
      <c r="G98" s="747">
        <v>4219</v>
      </c>
      <c r="H98" s="747">
        <v>4260</v>
      </c>
      <c r="I98" s="747">
        <v>4362</v>
      </c>
      <c r="J98" s="747">
        <v>4523</v>
      </c>
      <c r="K98" s="747">
        <v>4580</v>
      </c>
      <c r="L98" s="747">
        <v>4610</v>
      </c>
      <c r="M98" s="747">
        <v>4603</v>
      </c>
      <c r="N98" s="747">
        <v>4554</v>
      </c>
      <c r="O98" s="747">
        <v>4459</v>
      </c>
      <c r="P98" s="747">
        <v>4352</v>
      </c>
      <c r="Q98" s="747">
        <v>4245</v>
      </c>
      <c r="R98" s="747">
        <v>4154</v>
      </c>
      <c r="S98" s="747">
        <v>4103</v>
      </c>
      <c r="T98" s="747">
        <v>4109</v>
      </c>
      <c r="U98" s="747">
        <v>4213</v>
      </c>
      <c r="V98" s="747">
        <v>4334</v>
      </c>
      <c r="W98" s="747">
        <v>4645</v>
      </c>
      <c r="X98" s="747">
        <v>4808</v>
      </c>
      <c r="Y98" s="747">
        <v>4656</v>
      </c>
      <c r="Z98" s="747">
        <v>4358</v>
      </c>
      <c r="AA98" s="747">
        <v>4096</v>
      </c>
      <c r="AC98" s="628">
        <f t="shared" si="12"/>
        <v>87</v>
      </c>
      <c r="AD98" s="627">
        <f t="shared" si="13"/>
        <v>200</v>
      </c>
      <c r="AE98" s="627">
        <f t="shared" si="15"/>
        <v>28</v>
      </c>
      <c r="AF98" s="627">
        <f t="shared" si="15"/>
        <v>8</v>
      </c>
      <c r="AG98" s="627">
        <f t="shared" si="15"/>
        <v>11</v>
      </c>
      <c r="AH98" s="627">
        <f t="shared" si="15"/>
        <v>41</v>
      </c>
      <c r="AI98" s="627">
        <f t="shared" si="15"/>
        <v>102</v>
      </c>
      <c r="AJ98" s="627">
        <f t="shared" si="15"/>
        <v>161</v>
      </c>
      <c r="AK98" s="627">
        <f t="shared" si="15"/>
        <v>57</v>
      </c>
      <c r="AL98" s="627">
        <f t="shared" si="15"/>
        <v>30</v>
      </c>
      <c r="AM98" s="627">
        <f t="shared" si="14"/>
        <v>7</v>
      </c>
      <c r="AN98" s="627">
        <f t="shared" si="14"/>
        <v>49</v>
      </c>
      <c r="AO98" s="627">
        <f t="shared" si="14"/>
        <v>95</v>
      </c>
      <c r="AP98" s="627">
        <f t="shared" si="14"/>
        <v>107</v>
      </c>
      <c r="AQ98" s="627">
        <f t="shared" si="14"/>
        <v>107</v>
      </c>
      <c r="AR98" s="627">
        <f t="shared" si="14"/>
        <v>91</v>
      </c>
      <c r="AS98" s="627">
        <f t="shared" si="14"/>
        <v>51</v>
      </c>
      <c r="AT98" s="627">
        <f t="shared" si="14"/>
        <v>6</v>
      </c>
      <c r="AU98" s="627">
        <f t="shared" si="14"/>
        <v>104</v>
      </c>
      <c r="AV98" s="627">
        <f t="shared" si="14"/>
        <v>121</v>
      </c>
      <c r="AW98" s="627">
        <f t="shared" si="14"/>
        <v>311</v>
      </c>
      <c r="AX98" s="627">
        <f t="shared" si="14"/>
        <v>163</v>
      </c>
      <c r="AY98" s="627">
        <f t="shared" si="14"/>
        <v>152</v>
      </c>
      <c r="AZ98" s="627">
        <f t="shared" si="14"/>
        <v>298</v>
      </c>
      <c r="BA98" s="627">
        <f t="shared" si="14"/>
        <v>262</v>
      </c>
    </row>
    <row r="99" spans="1:53">
      <c r="A99" s="105">
        <f t="shared" si="11"/>
        <v>88</v>
      </c>
      <c r="B99" s="745">
        <v>42457</v>
      </c>
      <c r="C99" s="746" t="s">
        <v>1772</v>
      </c>
      <c r="D99" s="747">
        <v>4019</v>
      </c>
      <c r="E99" s="747">
        <v>3941</v>
      </c>
      <c r="F99" s="747">
        <v>3931</v>
      </c>
      <c r="G99" s="747">
        <v>3985</v>
      </c>
      <c r="H99" s="747">
        <v>4109</v>
      </c>
      <c r="I99" s="747">
        <v>4386</v>
      </c>
      <c r="J99" s="747">
        <v>4751</v>
      </c>
      <c r="K99" s="747">
        <v>4927</v>
      </c>
      <c r="L99" s="747">
        <v>4938</v>
      </c>
      <c r="M99" s="747">
        <v>4903</v>
      </c>
      <c r="N99" s="747">
        <v>4865</v>
      </c>
      <c r="O99" s="747">
        <v>4815</v>
      </c>
      <c r="P99" s="747">
        <v>4748</v>
      </c>
      <c r="Q99" s="747">
        <v>4735</v>
      </c>
      <c r="R99" s="747">
        <v>4697</v>
      </c>
      <c r="S99" s="747">
        <v>4694</v>
      </c>
      <c r="T99" s="747">
        <v>4723</v>
      </c>
      <c r="U99" s="747">
        <v>4776</v>
      </c>
      <c r="V99" s="747">
        <v>4808</v>
      </c>
      <c r="W99" s="747">
        <v>5026</v>
      </c>
      <c r="X99" s="747">
        <v>5081</v>
      </c>
      <c r="Y99" s="747">
        <v>4906</v>
      </c>
      <c r="Z99" s="747">
        <v>4528</v>
      </c>
      <c r="AA99" s="747">
        <v>4187</v>
      </c>
      <c r="AC99" s="628">
        <f t="shared" si="12"/>
        <v>88</v>
      </c>
      <c r="AD99" s="627">
        <f t="shared" si="13"/>
        <v>77</v>
      </c>
      <c r="AE99" s="627">
        <f t="shared" si="15"/>
        <v>78</v>
      </c>
      <c r="AF99" s="627">
        <f t="shared" si="15"/>
        <v>10</v>
      </c>
      <c r="AG99" s="627">
        <f t="shared" si="15"/>
        <v>54</v>
      </c>
      <c r="AH99" s="627">
        <f t="shared" si="15"/>
        <v>124</v>
      </c>
      <c r="AI99" s="627">
        <f t="shared" si="15"/>
        <v>277</v>
      </c>
      <c r="AJ99" s="627">
        <f t="shared" si="15"/>
        <v>365</v>
      </c>
      <c r="AK99" s="627">
        <f t="shared" si="15"/>
        <v>176</v>
      </c>
      <c r="AL99" s="627">
        <f t="shared" si="15"/>
        <v>11</v>
      </c>
      <c r="AM99" s="627">
        <f t="shared" si="14"/>
        <v>35</v>
      </c>
      <c r="AN99" s="627">
        <f t="shared" si="14"/>
        <v>38</v>
      </c>
      <c r="AO99" s="627">
        <f t="shared" si="14"/>
        <v>50</v>
      </c>
      <c r="AP99" s="627">
        <f t="shared" si="14"/>
        <v>67</v>
      </c>
      <c r="AQ99" s="627">
        <f t="shared" si="14"/>
        <v>13</v>
      </c>
      <c r="AR99" s="627">
        <f t="shared" si="14"/>
        <v>38</v>
      </c>
      <c r="AS99" s="627">
        <f t="shared" si="14"/>
        <v>3</v>
      </c>
      <c r="AT99" s="627">
        <f t="shared" si="14"/>
        <v>29</v>
      </c>
      <c r="AU99" s="627">
        <f t="shared" si="14"/>
        <v>53</v>
      </c>
      <c r="AV99" s="627">
        <f t="shared" si="14"/>
        <v>32</v>
      </c>
      <c r="AW99" s="627">
        <f t="shared" si="14"/>
        <v>218</v>
      </c>
      <c r="AX99" s="627">
        <f t="shared" si="14"/>
        <v>55</v>
      </c>
      <c r="AY99" s="627">
        <f t="shared" si="14"/>
        <v>175</v>
      </c>
      <c r="AZ99" s="627">
        <f t="shared" si="14"/>
        <v>378</v>
      </c>
      <c r="BA99" s="627">
        <f t="shared" si="14"/>
        <v>341</v>
      </c>
    </row>
    <row r="100" spans="1:53">
      <c r="A100" s="105">
        <f t="shared" si="11"/>
        <v>89</v>
      </c>
      <c r="B100" s="745">
        <v>42458</v>
      </c>
      <c r="C100" s="746" t="s">
        <v>1772</v>
      </c>
      <c r="D100" s="747">
        <v>3974</v>
      </c>
      <c r="E100" s="747">
        <v>3894</v>
      </c>
      <c r="F100" s="747">
        <v>3835</v>
      </c>
      <c r="G100" s="747">
        <v>3818</v>
      </c>
      <c r="H100" s="747">
        <v>3856</v>
      </c>
      <c r="I100" s="747">
        <v>4160</v>
      </c>
      <c r="J100" s="747">
        <v>4636</v>
      </c>
      <c r="K100" s="747">
        <v>4847</v>
      </c>
      <c r="L100" s="747">
        <v>4890</v>
      </c>
      <c r="M100" s="747">
        <v>4855</v>
      </c>
      <c r="N100" s="747">
        <v>4819</v>
      </c>
      <c r="O100" s="747">
        <v>4747</v>
      </c>
      <c r="P100" s="747">
        <v>4676</v>
      </c>
      <c r="Q100" s="747">
        <v>4695</v>
      </c>
      <c r="R100" s="747">
        <v>4734</v>
      </c>
      <c r="S100" s="747">
        <v>4746</v>
      </c>
      <c r="T100" s="747">
        <v>4848</v>
      </c>
      <c r="U100" s="747">
        <v>4924</v>
      </c>
      <c r="V100" s="747">
        <v>4995</v>
      </c>
      <c r="W100" s="747">
        <v>5154</v>
      </c>
      <c r="X100" s="747">
        <v>5143</v>
      </c>
      <c r="Y100" s="747">
        <v>4886</v>
      </c>
      <c r="Z100" s="747">
        <v>4642</v>
      </c>
      <c r="AA100" s="747">
        <v>4347</v>
      </c>
      <c r="AC100" s="628">
        <f t="shared" si="12"/>
        <v>89</v>
      </c>
      <c r="AD100" s="627">
        <f t="shared" si="13"/>
        <v>213</v>
      </c>
      <c r="AE100" s="627">
        <f t="shared" si="15"/>
        <v>80</v>
      </c>
      <c r="AF100" s="627">
        <f t="shared" si="15"/>
        <v>59</v>
      </c>
      <c r="AG100" s="627">
        <f t="shared" si="15"/>
        <v>17</v>
      </c>
      <c r="AH100" s="627">
        <f t="shared" si="15"/>
        <v>38</v>
      </c>
      <c r="AI100" s="627">
        <f t="shared" si="15"/>
        <v>304</v>
      </c>
      <c r="AJ100" s="627">
        <f t="shared" si="15"/>
        <v>476</v>
      </c>
      <c r="AK100" s="627">
        <f t="shared" si="15"/>
        <v>211</v>
      </c>
      <c r="AL100" s="627">
        <f t="shared" si="15"/>
        <v>43</v>
      </c>
      <c r="AM100" s="627">
        <f t="shared" si="14"/>
        <v>35</v>
      </c>
      <c r="AN100" s="627">
        <f t="shared" si="14"/>
        <v>36</v>
      </c>
      <c r="AO100" s="627">
        <f t="shared" si="14"/>
        <v>72</v>
      </c>
      <c r="AP100" s="627">
        <f t="shared" si="14"/>
        <v>71</v>
      </c>
      <c r="AQ100" s="627">
        <f t="shared" si="14"/>
        <v>19</v>
      </c>
      <c r="AR100" s="627">
        <f t="shared" si="14"/>
        <v>39</v>
      </c>
      <c r="AS100" s="627">
        <f t="shared" si="14"/>
        <v>12</v>
      </c>
      <c r="AT100" s="627">
        <f t="shared" si="14"/>
        <v>102</v>
      </c>
      <c r="AU100" s="627">
        <f t="shared" si="14"/>
        <v>76</v>
      </c>
      <c r="AV100" s="627">
        <f t="shared" si="14"/>
        <v>71</v>
      </c>
      <c r="AW100" s="627">
        <f t="shared" si="14"/>
        <v>159</v>
      </c>
      <c r="AX100" s="627">
        <f t="shared" si="14"/>
        <v>11</v>
      </c>
      <c r="AY100" s="627">
        <f t="shared" si="14"/>
        <v>257</v>
      </c>
      <c r="AZ100" s="627">
        <f t="shared" si="14"/>
        <v>244</v>
      </c>
      <c r="BA100" s="627">
        <f t="shared" si="14"/>
        <v>295</v>
      </c>
    </row>
    <row r="101" spans="1:53">
      <c r="A101" s="105">
        <f t="shared" si="11"/>
        <v>90</v>
      </c>
      <c r="B101" s="745">
        <v>42459</v>
      </c>
      <c r="C101" s="746" t="s">
        <v>1772</v>
      </c>
      <c r="D101" s="747">
        <v>4210</v>
      </c>
      <c r="E101" s="747">
        <v>4109</v>
      </c>
      <c r="F101" s="747">
        <v>4072</v>
      </c>
      <c r="G101" s="747">
        <v>4090</v>
      </c>
      <c r="H101" s="747">
        <v>4091</v>
      </c>
      <c r="I101" s="747">
        <v>4391</v>
      </c>
      <c r="J101" s="747">
        <v>4778</v>
      </c>
      <c r="K101" s="747">
        <v>4904</v>
      </c>
      <c r="L101" s="747">
        <v>4891</v>
      </c>
      <c r="M101" s="747">
        <v>4869</v>
      </c>
      <c r="N101" s="747">
        <v>4859</v>
      </c>
      <c r="O101" s="747">
        <v>4821</v>
      </c>
      <c r="P101" s="747">
        <v>4824</v>
      </c>
      <c r="Q101" s="747">
        <v>4898</v>
      </c>
      <c r="R101" s="747">
        <v>4898</v>
      </c>
      <c r="S101" s="747">
        <v>4983</v>
      </c>
      <c r="T101" s="747">
        <v>5114</v>
      </c>
      <c r="U101" s="747">
        <v>5228</v>
      </c>
      <c r="V101" s="747">
        <v>5278</v>
      </c>
      <c r="W101" s="747">
        <v>5421</v>
      </c>
      <c r="X101" s="747">
        <v>5385</v>
      </c>
      <c r="Y101" s="747">
        <v>5115</v>
      </c>
      <c r="Z101" s="747">
        <v>4818</v>
      </c>
      <c r="AA101" s="747">
        <v>4584</v>
      </c>
      <c r="AC101" s="628">
        <f t="shared" si="12"/>
        <v>90</v>
      </c>
      <c r="AD101" s="627">
        <f t="shared" si="13"/>
        <v>137</v>
      </c>
      <c r="AE101" s="627">
        <f t="shared" si="15"/>
        <v>101</v>
      </c>
      <c r="AF101" s="627">
        <f t="shared" si="15"/>
        <v>37</v>
      </c>
      <c r="AG101" s="627">
        <f t="shared" si="15"/>
        <v>18</v>
      </c>
      <c r="AH101" s="627">
        <f t="shared" si="15"/>
        <v>1</v>
      </c>
      <c r="AI101" s="627">
        <f t="shared" si="15"/>
        <v>300</v>
      </c>
      <c r="AJ101" s="627">
        <f t="shared" si="15"/>
        <v>387</v>
      </c>
      <c r="AK101" s="627">
        <f t="shared" si="15"/>
        <v>126</v>
      </c>
      <c r="AL101" s="627">
        <f t="shared" si="15"/>
        <v>13</v>
      </c>
      <c r="AM101" s="627">
        <f t="shared" si="14"/>
        <v>22</v>
      </c>
      <c r="AN101" s="627">
        <f t="shared" si="14"/>
        <v>10</v>
      </c>
      <c r="AO101" s="627">
        <f t="shared" si="14"/>
        <v>38</v>
      </c>
      <c r="AP101" s="627">
        <f t="shared" si="14"/>
        <v>3</v>
      </c>
      <c r="AQ101" s="627">
        <f t="shared" si="14"/>
        <v>74</v>
      </c>
      <c r="AR101" s="627">
        <f t="shared" si="14"/>
        <v>0</v>
      </c>
      <c r="AS101" s="627">
        <f t="shared" si="14"/>
        <v>85</v>
      </c>
      <c r="AT101" s="627">
        <f t="shared" si="14"/>
        <v>131</v>
      </c>
      <c r="AU101" s="627">
        <f t="shared" si="14"/>
        <v>114</v>
      </c>
      <c r="AV101" s="627">
        <f t="shared" si="14"/>
        <v>50</v>
      </c>
      <c r="AW101" s="627">
        <f t="shared" si="14"/>
        <v>143</v>
      </c>
      <c r="AX101" s="627">
        <f t="shared" si="14"/>
        <v>36</v>
      </c>
      <c r="AY101" s="627">
        <f t="shared" si="14"/>
        <v>270</v>
      </c>
      <c r="AZ101" s="627">
        <f t="shared" si="14"/>
        <v>297</v>
      </c>
      <c r="BA101" s="627">
        <f t="shared" si="14"/>
        <v>234</v>
      </c>
    </row>
    <row r="102" spans="1:53">
      <c r="A102" s="105">
        <f t="shared" si="11"/>
        <v>91</v>
      </c>
      <c r="B102" s="745">
        <v>42460</v>
      </c>
      <c r="C102" s="746" t="s">
        <v>1772</v>
      </c>
      <c r="D102" s="747">
        <v>4414</v>
      </c>
      <c r="E102" s="747">
        <v>4342</v>
      </c>
      <c r="F102" s="747">
        <v>4283</v>
      </c>
      <c r="G102" s="747">
        <v>4306</v>
      </c>
      <c r="H102" s="747">
        <v>4315</v>
      </c>
      <c r="I102" s="747">
        <v>4586</v>
      </c>
      <c r="J102" s="747">
        <v>4912</v>
      </c>
      <c r="K102" s="747">
        <v>5107</v>
      </c>
      <c r="L102" s="747">
        <v>5183</v>
      </c>
      <c r="M102" s="747">
        <v>5248</v>
      </c>
      <c r="N102" s="747">
        <v>5228</v>
      </c>
      <c r="O102" s="747">
        <v>5098</v>
      </c>
      <c r="P102" s="747">
        <v>5012</v>
      </c>
      <c r="Q102" s="747">
        <v>5054</v>
      </c>
      <c r="R102" s="747">
        <v>5073</v>
      </c>
      <c r="S102" s="747">
        <v>5071</v>
      </c>
      <c r="T102" s="747">
        <v>5089</v>
      </c>
      <c r="U102" s="747">
        <v>5147</v>
      </c>
      <c r="V102" s="747">
        <v>5140</v>
      </c>
      <c r="W102" s="747">
        <v>5284</v>
      </c>
      <c r="X102" s="747">
        <v>5341</v>
      </c>
      <c r="Y102" s="747">
        <v>5106</v>
      </c>
      <c r="Z102" s="747">
        <v>4718</v>
      </c>
      <c r="AA102" s="747">
        <v>4390</v>
      </c>
      <c r="AC102" s="628">
        <f t="shared" si="12"/>
        <v>91</v>
      </c>
      <c r="AD102" s="627">
        <f t="shared" si="13"/>
        <v>170</v>
      </c>
      <c r="AE102" s="627">
        <f t="shared" si="15"/>
        <v>72</v>
      </c>
      <c r="AF102" s="627">
        <f t="shared" si="15"/>
        <v>59</v>
      </c>
      <c r="AG102" s="627">
        <f t="shared" si="15"/>
        <v>23</v>
      </c>
      <c r="AH102" s="627">
        <f t="shared" si="15"/>
        <v>9</v>
      </c>
      <c r="AI102" s="627">
        <f t="shared" si="15"/>
        <v>271</v>
      </c>
      <c r="AJ102" s="627">
        <f t="shared" si="15"/>
        <v>326</v>
      </c>
      <c r="AK102" s="627">
        <f t="shared" si="15"/>
        <v>195</v>
      </c>
      <c r="AL102" s="627">
        <f t="shared" si="15"/>
        <v>76</v>
      </c>
      <c r="AM102" s="627">
        <f t="shared" si="15"/>
        <v>65</v>
      </c>
      <c r="AN102" s="627">
        <f t="shared" si="15"/>
        <v>20</v>
      </c>
      <c r="AO102" s="627">
        <f t="shared" si="15"/>
        <v>130</v>
      </c>
      <c r="AP102" s="627">
        <f t="shared" si="15"/>
        <v>86</v>
      </c>
      <c r="AQ102" s="627">
        <f t="shared" si="15"/>
        <v>42</v>
      </c>
      <c r="AR102" s="627">
        <f t="shared" si="15"/>
        <v>19</v>
      </c>
      <c r="AS102" s="627">
        <f t="shared" si="15"/>
        <v>2</v>
      </c>
      <c r="AT102" s="627">
        <f t="shared" si="15"/>
        <v>18</v>
      </c>
      <c r="AU102" s="627">
        <f t="shared" ref="AU102:BA133" si="16">ABS(U102-T102)</f>
        <v>58</v>
      </c>
      <c r="AV102" s="627">
        <f t="shared" si="16"/>
        <v>7</v>
      </c>
      <c r="AW102" s="627">
        <f t="shared" si="16"/>
        <v>144</v>
      </c>
      <c r="AX102" s="627">
        <f t="shared" si="16"/>
        <v>57</v>
      </c>
      <c r="AY102" s="627">
        <f t="shared" si="16"/>
        <v>235</v>
      </c>
      <c r="AZ102" s="627">
        <f t="shared" si="16"/>
        <v>388</v>
      </c>
      <c r="BA102" s="627">
        <f t="shared" si="16"/>
        <v>328</v>
      </c>
    </row>
    <row r="103" spans="1:53">
      <c r="A103" s="105">
        <f t="shared" si="11"/>
        <v>92</v>
      </c>
      <c r="B103" s="745">
        <v>42461</v>
      </c>
      <c r="C103" s="746" t="s">
        <v>1772</v>
      </c>
      <c r="D103" s="747">
        <v>4290</v>
      </c>
      <c r="E103" s="747">
        <v>4339</v>
      </c>
      <c r="F103" s="747">
        <v>4310</v>
      </c>
      <c r="G103" s="747">
        <v>4336</v>
      </c>
      <c r="H103" s="747">
        <v>4443</v>
      </c>
      <c r="I103" s="747">
        <v>4601</v>
      </c>
      <c r="J103" s="747">
        <v>4952</v>
      </c>
      <c r="K103" s="747">
        <v>5110</v>
      </c>
      <c r="L103" s="747">
        <v>5087</v>
      </c>
      <c r="M103" s="747">
        <v>5016</v>
      </c>
      <c r="N103" s="747">
        <v>4926</v>
      </c>
      <c r="O103" s="747">
        <v>4879</v>
      </c>
      <c r="P103" s="747">
        <v>4841</v>
      </c>
      <c r="Q103" s="747">
        <v>4786</v>
      </c>
      <c r="R103" s="747">
        <v>4734</v>
      </c>
      <c r="S103" s="747">
        <v>4661</v>
      </c>
      <c r="T103" s="747">
        <v>4544</v>
      </c>
      <c r="U103" s="747">
        <v>4569</v>
      </c>
      <c r="V103" s="747">
        <v>4605</v>
      </c>
      <c r="W103" s="747">
        <v>4797</v>
      </c>
      <c r="X103" s="747">
        <v>4927</v>
      </c>
      <c r="Y103" s="747">
        <v>4788</v>
      </c>
      <c r="Z103" s="747">
        <v>4502</v>
      </c>
      <c r="AA103" s="747">
        <v>4263</v>
      </c>
      <c r="AB103" s="627">
        <f>MAX(D103:AA132)</f>
        <v>5274</v>
      </c>
      <c r="AC103" s="628">
        <f t="shared" si="12"/>
        <v>92</v>
      </c>
      <c r="AD103" s="627">
        <f t="shared" si="13"/>
        <v>100</v>
      </c>
      <c r="AE103" s="627">
        <f t="shared" si="15"/>
        <v>49</v>
      </c>
      <c r="AF103" s="627">
        <f t="shared" si="15"/>
        <v>29</v>
      </c>
      <c r="AG103" s="627">
        <f t="shared" si="15"/>
        <v>26</v>
      </c>
      <c r="AH103" s="627">
        <f t="shared" si="15"/>
        <v>107</v>
      </c>
      <c r="AI103" s="627">
        <f t="shared" si="15"/>
        <v>158</v>
      </c>
      <c r="AJ103" s="627">
        <f t="shared" si="15"/>
        <v>351</v>
      </c>
      <c r="AK103" s="627">
        <f t="shared" si="15"/>
        <v>158</v>
      </c>
      <c r="AL103" s="627">
        <f t="shared" si="15"/>
        <v>23</v>
      </c>
      <c r="AM103" s="627">
        <f t="shared" si="15"/>
        <v>71</v>
      </c>
      <c r="AN103" s="627">
        <f t="shared" si="15"/>
        <v>90</v>
      </c>
      <c r="AO103" s="627">
        <f t="shared" si="15"/>
        <v>47</v>
      </c>
      <c r="AP103" s="627">
        <f t="shared" si="15"/>
        <v>38</v>
      </c>
      <c r="AQ103" s="627">
        <f t="shared" si="15"/>
        <v>55</v>
      </c>
      <c r="AR103" s="627">
        <f t="shared" si="15"/>
        <v>52</v>
      </c>
      <c r="AS103" s="627">
        <f t="shared" si="15"/>
        <v>73</v>
      </c>
      <c r="AT103" s="627">
        <f t="shared" si="15"/>
        <v>117</v>
      </c>
      <c r="AU103" s="627">
        <f t="shared" si="16"/>
        <v>25</v>
      </c>
      <c r="AV103" s="627">
        <f t="shared" si="16"/>
        <v>36</v>
      </c>
      <c r="AW103" s="627">
        <f t="shared" si="16"/>
        <v>192</v>
      </c>
      <c r="AX103" s="627">
        <f t="shared" si="16"/>
        <v>130</v>
      </c>
      <c r="AY103" s="627">
        <f t="shared" si="16"/>
        <v>139</v>
      </c>
      <c r="AZ103" s="627">
        <f t="shared" si="16"/>
        <v>286</v>
      </c>
      <c r="BA103" s="627">
        <f t="shared" si="16"/>
        <v>239</v>
      </c>
    </row>
    <row r="104" spans="1:53">
      <c r="A104" s="105">
        <f t="shared" si="11"/>
        <v>93</v>
      </c>
      <c r="B104" s="745">
        <v>42462</v>
      </c>
      <c r="C104" s="746" t="s">
        <v>1772</v>
      </c>
      <c r="D104" s="747">
        <v>4162</v>
      </c>
      <c r="E104" s="747">
        <v>4175</v>
      </c>
      <c r="F104" s="747">
        <v>4114</v>
      </c>
      <c r="G104" s="747">
        <v>4103</v>
      </c>
      <c r="H104" s="747">
        <v>4089</v>
      </c>
      <c r="I104" s="747">
        <v>4159</v>
      </c>
      <c r="J104" s="747">
        <v>4335</v>
      </c>
      <c r="K104" s="747">
        <v>4358</v>
      </c>
      <c r="L104" s="747">
        <v>4421</v>
      </c>
      <c r="M104" s="747">
        <v>4424</v>
      </c>
      <c r="N104" s="747">
        <v>4377</v>
      </c>
      <c r="O104" s="747">
        <v>4299</v>
      </c>
      <c r="P104" s="747">
        <v>4221</v>
      </c>
      <c r="Q104" s="747">
        <v>4142</v>
      </c>
      <c r="R104" s="747">
        <v>4120</v>
      </c>
      <c r="S104" s="747">
        <v>4103</v>
      </c>
      <c r="T104" s="747">
        <v>4156</v>
      </c>
      <c r="U104" s="747">
        <v>4267</v>
      </c>
      <c r="V104" s="747">
        <v>4348</v>
      </c>
      <c r="W104" s="747">
        <v>4513</v>
      </c>
      <c r="X104" s="747">
        <v>4645</v>
      </c>
      <c r="Y104" s="747">
        <v>4494</v>
      </c>
      <c r="Z104" s="747">
        <v>4221</v>
      </c>
      <c r="AA104" s="747">
        <v>3989</v>
      </c>
      <c r="AC104" s="628">
        <f t="shared" si="12"/>
        <v>93</v>
      </c>
      <c r="AD104" s="627">
        <f t="shared" si="13"/>
        <v>101</v>
      </c>
      <c r="AE104" s="627">
        <f t="shared" si="15"/>
        <v>13</v>
      </c>
      <c r="AF104" s="627">
        <f t="shared" si="15"/>
        <v>61</v>
      </c>
      <c r="AG104" s="627">
        <f t="shared" si="15"/>
        <v>11</v>
      </c>
      <c r="AH104" s="627">
        <f t="shared" si="15"/>
        <v>14</v>
      </c>
      <c r="AI104" s="627">
        <f t="shared" si="15"/>
        <v>70</v>
      </c>
      <c r="AJ104" s="627">
        <f t="shared" si="15"/>
        <v>176</v>
      </c>
      <c r="AK104" s="627">
        <f t="shared" si="15"/>
        <v>23</v>
      </c>
      <c r="AL104" s="627">
        <f t="shared" si="15"/>
        <v>63</v>
      </c>
      <c r="AM104" s="627">
        <f t="shared" si="15"/>
        <v>3</v>
      </c>
      <c r="AN104" s="627">
        <f t="shared" si="15"/>
        <v>47</v>
      </c>
      <c r="AO104" s="627">
        <f t="shared" si="15"/>
        <v>78</v>
      </c>
      <c r="AP104" s="627">
        <f t="shared" si="15"/>
        <v>78</v>
      </c>
      <c r="AQ104" s="627">
        <f t="shared" si="15"/>
        <v>79</v>
      </c>
      <c r="AR104" s="627">
        <f t="shared" si="15"/>
        <v>22</v>
      </c>
      <c r="AS104" s="627">
        <f t="shared" si="15"/>
        <v>17</v>
      </c>
      <c r="AT104" s="627">
        <f t="shared" si="15"/>
        <v>53</v>
      </c>
      <c r="AU104" s="627">
        <f t="shared" si="16"/>
        <v>111</v>
      </c>
      <c r="AV104" s="627">
        <f t="shared" si="16"/>
        <v>81</v>
      </c>
      <c r="AW104" s="627">
        <f t="shared" si="16"/>
        <v>165</v>
      </c>
      <c r="AX104" s="627">
        <f t="shared" si="16"/>
        <v>132</v>
      </c>
      <c r="AY104" s="627">
        <f t="shared" si="16"/>
        <v>151</v>
      </c>
      <c r="AZ104" s="627">
        <f t="shared" si="16"/>
        <v>273</v>
      </c>
      <c r="BA104" s="627">
        <f t="shared" si="16"/>
        <v>232</v>
      </c>
    </row>
    <row r="105" spans="1:53">
      <c r="A105" s="105">
        <f t="shared" si="11"/>
        <v>94</v>
      </c>
      <c r="B105" s="745">
        <v>42463</v>
      </c>
      <c r="C105" s="746" t="s">
        <v>1772</v>
      </c>
      <c r="D105" s="747">
        <v>3889</v>
      </c>
      <c r="E105" s="747">
        <v>3883</v>
      </c>
      <c r="F105" s="747">
        <v>3882</v>
      </c>
      <c r="G105" s="747">
        <v>3855</v>
      </c>
      <c r="H105" s="747">
        <v>3905</v>
      </c>
      <c r="I105" s="747">
        <v>3902</v>
      </c>
      <c r="J105" s="747">
        <v>4013</v>
      </c>
      <c r="K105" s="747">
        <v>4006</v>
      </c>
      <c r="L105" s="747">
        <v>4094</v>
      </c>
      <c r="M105" s="747">
        <v>4153</v>
      </c>
      <c r="N105" s="747">
        <v>4162</v>
      </c>
      <c r="O105" s="747">
        <v>4158</v>
      </c>
      <c r="P105" s="747">
        <v>4145</v>
      </c>
      <c r="Q105" s="747">
        <v>4073</v>
      </c>
      <c r="R105" s="747">
        <v>4094</v>
      </c>
      <c r="S105" s="747">
        <v>4154</v>
      </c>
      <c r="T105" s="747">
        <v>4256</v>
      </c>
      <c r="U105" s="747">
        <v>4409</v>
      </c>
      <c r="V105" s="747">
        <v>4507</v>
      </c>
      <c r="W105" s="747">
        <v>4659</v>
      </c>
      <c r="X105" s="747">
        <v>4773</v>
      </c>
      <c r="Y105" s="747">
        <v>4537</v>
      </c>
      <c r="Z105" s="747">
        <v>4169</v>
      </c>
      <c r="AA105" s="747">
        <v>3836</v>
      </c>
      <c r="AC105" s="628">
        <f t="shared" si="12"/>
        <v>94</v>
      </c>
      <c r="AD105" s="627">
        <f t="shared" si="13"/>
        <v>100</v>
      </c>
      <c r="AE105" s="627">
        <f t="shared" si="15"/>
        <v>6</v>
      </c>
      <c r="AF105" s="627">
        <f t="shared" si="15"/>
        <v>1</v>
      </c>
      <c r="AG105" s="627">
        <f t="shared" si="15"/>
        <v>27</v>
      </c>
      <c r="AH105" s="627">
        <f t="shared" si="15"/>
        <v>50</v>
      </c>
      <c r="AI105" s="627">
        <f t="shared" si="15"/>
        <v>3</v>
      </c>
      <c r="AJ105" s="627">
        <f t="shared" si="15"/>
        <v>111</v>
      </c>
      <c r="AK105" s="627">
        <f t="shared" si="15"/>
        <v>7</v>
      </c>
      <c r="AL105" s="627">
        <f t="shared" si="15"/>
        <v>88</v>
      </c>
      <c r="AM105" s="627">
        <f t="shared" si="15"/>
        <v>59</v>
      </c>
      <c r="AN105" s="627">
        <f t="shared" si="15"/>
        <v>9</v>
      </c>
      <c r="AO105" s="627">
        <f t="shared" si="15"/>
        <v>4</v>
      </c>
      <c r="AP105" s="627">
        <f t="shared" si="15"/>
        <v>13</v>
      </c>
      <c r="AQ105" s="627">
        <f t="shared" si="15"/>
        <v>72</v>
      </c>
      <c r="AR105" s="627">
        <f t="shared" si="15"/>
        <v>21</v>
      </c>
      <c r="AS105" s="627">
        <f t="shared" si="15"/>
        <v>60</v>
      </c>
      <c r="AT105" s="627">
        <f t="shared" si="15"/>
        <v>102</v>
      </c>
      <c r="AU105" s="627">
        <f t="shared" si="16"/>
        <v>153</v>
      </c>
      <c r="AV105" s="627">
        <f t="shared" si="16"/>
        <v>98</v>
      </c>
      <c r="AW105" s="627">
        <f t="shared" si="16"/>
        <v>152</v>
      </c>
      <c r="AX105" s="627">
        <f t="shared" si="16"/>
        <v>114</v>
      </c>
      <c r="AY105" s="627">
        <f t="shared" si="16"/>
        <v>236</v>
      </c>
      <c r="AZ105" s="627">
        <f t="shared" si="16"/>
        <v>368</v>
      </c>
      <c r="BA105" s="627">
        <f t="shared" si="16"/>
        <v>333</v>
      </c>
    </row>
    <row r="106" spans="1:53">
      <c r="A106" s="105">
        <f t="shared" si="11"/>
        <v>95</v>
      </c>
      <c r="B106" s="745">
        <v>42464</v>
      </c>
      <c r="C106" s="746" t="s">
        <v>1772</v>
      </c>
      <c r="D106" s="747">
        <v>3679</v>
      </c>
      <c r="E106" s="747">
        <v>3682</v>
      </c>
      <c r="F106" s="747">
        <v>3655</v>
      </c>
      <c r="G106" s="747">
        <v>3700</v>
      </c>
      <c r="H106" s="747">
        <v>3819</v>
      </c>
      <c r="I106" s="747">
        <v>4085</v>
      </c>
      <c r="J106" s="747">
        <v>4448</v>
      </c>
      <c r="K106" s="747">
        <v>4657</v>
      </c>
      <c r="L106" s="747">
        <v>4679</v>
      </c>
      <c r="M106" s="747">
        <v>4732</v>
      </c>
      <c r="N106" s="747">
        <v>4753</v>
      </c>
      <c r="O106" s="747">
        <v>4730</v>
      </c>
      <c r="P106" s="747">
        <v>4751</v>
      </c>
      <c r="Q106" s="747">
        <v>4793</v>
      </c>
      <c r="R106" s="747">
        <v>4844</v>
      </c>
      <c r="S106" s="747">
        <v>4811</v>
      </c>
      <c r="T106" s="747">
        <v>4868</v>
      </c>
      <c r="U106" s="747">
        <v>4920</v>
      </c>
      <c r="V106" s="747">
        <v>4923</v>
      </c>
      <c r="W106" s="747">
        <v>5050</v>
      </c>
      <c r="X106" s="747">
        <v>5048</v>
      </c>
      <c r="Y106" s="747">
        <v>4767</v>
      </c>
      <c r="Z106" s="747">
        <v>4266</v>
      </c>
      <c r="AA106" s="747">
        <v>3974</v>
      </c>
      <c r="AC106" s="628">
        <f t="shared" si="12"/>
        <v>95</v>
      </c>
      <c r="AD106" s="627">
        <f t="shared" si="13"/>
        <v>157</v>
      </c>
      <c r="AE106" s="627">
        <f t="shared" si="15"/>
        <v>3</v>
      </c>
      <c r="AF106" s="627">
        <f t="shared" si="15"/>
        <v>27</v>
      </c>
      <c r="AG106" s="627">
        <f t="shared" si="15"/>
        <v>45</v>
      </c>
      <c r="AH106" s="627">
        <f t="shared" si="15"/>
        <v>119</v>
      </c>
      <c r="AI106" s="627">
        <f t="shared" si="15"/>
        <v>266</v>
      </c>
      <c r="AJ106" s="627">
        <f t="shared" si="15"/>
        <v>363</v>
      </c>
      <c r="AK106" s="627">
        <f t="shared" si="15"/>
        <v>209</v>
      </c>
      <c r="AL106" s="627">
        <f t="shared" si="15"/>
        <v>22</v>
      </c>
      <c r="AM106" s="627">
        <f t="shared" si="15"/>
        <v>53</v>
      </c>
      <c r="AN106" s="627">
        <f t="shared" si="15"/>
        <v>21</v>
      </c>
      <c r="AO106" s="627">
        <f t="shared" si="15"/>
        <v>23</v>
      </c>
      <c r="AP106" s="627">
        <f t="shared" si="15"/>
        <v>21</v>
      </c>
      <c r="AQ106" s="627">
        <f t="shared" si="15"/>
        <v>42</v>
      </c>
      <c r="AR106" s="627">
        <f t="shared" si="15"/>
        <v>51</v>
      </c>
      <c r="AS106" s="627">
        <f t="shared" si="15"/>
        <v>33</v>
      </c>
      <c r="AT106" s="627">
        <f t="shared" si="15"/>
        <v>57</v>
      </c>
      <c r="AU106" s="627">
        <f t="shared" si="16"/>
        <v>52</v>
      </c>
      <c r="AV106" s="627">
        <f t="shared" si="16"/>
        <v>3</v>
      </c>
      <c r="AW106" s="627">
        <f t="shared" si="16"/>
        <v>127</v>
      </c>
      <c r="AX106" s="627">
        <f t="shared" si="16"/>
        <v>2</v>
      </c>
      <c r="AY106" s="627">
        <f t="shared" si="16"/>
        <v>281</v>
      </c>
      <c r="AZ106" s="627">
        <f t="shared" si="16"/>
        <v>501</v>
      </c>
      <c r="BA106" s="627">
        <f t="shared" si="16"/>
        <v>292</v>
      </c>
    </row>
    <row r="107" spans="1:53">
      <c r="A107" s="105">
        <f t="shared" si="11"/>
        <v>96</v>
      </c>
      <c r="B107" s="745">
        <v>42465</v>
      </c>
      <c r="C107" s="746" t="s">
        <v>1772</v>
      </c>
      <c r="D107" s="747">
        <v>3836</v>
      </c>
      <c r="E107" s="747">
        <v>3770</v>
      </c>
      <c r="F107" s="747">
        <v>3718</v>
      </c>
      <c r="G107" s="747">
        <v>3725</v>
      </c>
      <c r="H107" s="747">
        <v>3805</v>
      </c>
      <c r="I107" s="747">
        <v>4104</v>
      </c>
      <c r="J107" s="747">
        <v>4567</v>
      </c>
      <c r="K107" s="747">
        <v>4705</v>
      </c>
      <c r="L107" s="747">
        <v>4621</v>
      </c>
      <c r="M107" s="747">
        <v>4685</v>
      </c>
      <c r="N107" s="747">
        <v>4755</v>
      </c>
      <c r="O107" s="747">
        <v>4831</v>
      </c>
      <c r="P107" s="747">
        <v>4740</v>
      </c>
      <c r="Q107" s="747">
        <v>4849</v>
      </c>
      <c r="R107" s="747">
        <v>4839</v>
      </c>
      <c r="S107" s="747">
        <v>4844</v>
      </c>
      <c r="T107" s="747">
        <v>4847</v>
      </c>
      <c r="U107" s="747">
        <v>4861</v>
      </c>
      <c r="V107" s="747">
        <v>4852</v>
      </c>
      <c r="W107" s="747">
        <v>5033</v>
      </c>
      <c r="X107" s="747">
        <v>5105</v>
      </c>
      <c r="Y107" s="747">
        <v>4884</v>
      </c>
      <c r="Z107" s="747">
        <v>4483</v>
      </c>
      <c r="AA107" s="747">
        <v>4176</v>
      </c>
      <c r="AC107" s="628">
        <f t="shared" si="12"/>
        <v>96</v>
      </c>
      <c r="AD107" s="627">
        <f t="shared" si="13"/>
        <v>138</v>
      </c>
      <c r="AE107" s="627">
        <f t="shared" si="15"/>
        <v>66</v>
      </c>
      <c r="AF107" s="627">
        <f t="shared" si="15"/>
        <v>52</v>
      </c>
      <c r="AG107" s="627">
        <f t="shared" si="15"/>
        <v>7</v>
      </c>
      <c r="AH107" s="627">
        <f t="shared" si="15"/>
        <v>80</v>
      </c>
      <c r="AI107" s="627">
        <f t="shared" si="15"/>
        <v>299</v>
      </c>
      <c r="AJ107" s="627">
        <f t="shared" si="15"/>
        <v>463</v>
      </c>
      <c r="AK107" s="627">
        <f t="shared" si="15"/>
        <v>138</v>
      </c>
      <c r="AL107" s="627">
        <f t="shared" si="15"/>
        <v>84</v>
      </c>
      <c r="AM107" s="627">
        <f t="shared" si="15"/>
        <v>64</v>
      </c>
      <c r="AN107" s="627">
        <f t="shared" si="15"/>
        <v>70</v>
      </c>
      <c r="AO107" s="627">
        <f t="shared" si="15"/>
        <v>76</v>
      </c>
      <c r="AP107" s="627">
        <f t="shared" si="15"/>
        <v>91</v>
      </c>
      <c r="AQ107" s="627">
        <f t="shared" si="15"/>
        <v>109</v>
      </c>
      <c r="AR107" s="627">
        <f t="shared" si="15"/>
        <v>10</v>
      </c>
      <c r="AS107" s="627">
        <f t="shared" si="15"/>
        <v>5</v>
      </c>
      <c r="AT107" s="627">
        <f t="shared" si="15"/>
        <v>3</v>
      </c>
      <c r="AU107" s="627">
        <f t="shared" si="16"/>
        <v>14</v>
      </c>
      <c r="AV107" s="627">
        <f t="shared" si="16"/>
        <v>9</v>
      </c>
      <c r="AW107" s="627">
        <f t="shared" si="16"/>
        <v>181</v>
      </c>
      <c r="AX107" s="627">
        <f t="shared" si="16"/>
        <v>72</v>
      </c>
      <c r="AY107" s="627">
        <f t="shared" si="16"/>
        <v>221</v>
      </c>
      <c r="AZ107" s="627">
        <f t="shared" si="16"/>
        <v>401</v>
      </c>
      <c r="BA107" s="627">
        <f t="shared" si="16"/>
        <v>307</v>
      </c>
    </row>
    <row r="108" spans="1:53">
      <c r="A108" s="105">
        <f t="shared" si="11"/>
        <v>97</v>
      </c>
      <c r="B108" s="745">
        <v>42466</v>
      </c>
      <c r="C108" s="746" t="s">
        <v>1772</v>
      </c>
      <c r="D108" s="747">
        <v>4006</v>
      </c>
      <c r="E108" s="747">
        <v>3905</v>
      </c>
      <c r="F108" s="747">
        <v>3891</v>
      </c>
      <c r="G108" s="747">
        <v>3901</v>
      </c>
      <c r="H108" s="747">
        <v>4083</v>
      </c>
      <c r="I108" s="747">
        <v>4458</v>
      </c>
      <c r="J108" s="747">
        <v>4799</v>
      </c>
      <c r="K108" s="747">
        <v>4850</v>
      </c>
      <c r="L108" s="747">
        <v>4804</v>
      </c>
      <c r="M108" s="747">
        <v>4815</v>
      </c>
      <c r="N108" s="747">
        <v>4794</v>
      </c>
      <c r="O108" s="747">
        <v>4789</v>
      </c>
      <c r="P108" s="747">
        <v>4799</v>
      </c>
      <c r="Q108" s="747">
        <v>4815</v>
      </c>
      <c r="R108" s="747">
        <v>4840</v>
      </c>
      <c r="S108" s="747">
        <v>4868</v>
      </c>
      <c r="T108" s="747">
        <v>4899</v>
      </c>
      <c r="U108" s="747">
        <v>4823</v>
      </c>
      <c r="V108" s="747">
        <v>4824</v>
      </c>
      <c r="W108" s="747">
        <v>4975</v>
      </c>
      <c r="X108" s="747">
        <v>5072</v>
      </c>
      <c r="Y108" s="747">
        <v>4823</v>
      </c>
      <c r="Z108" s="747">
        <v>4394</v>
      </c>
      <c r="AA108" s="747">
        <v>4032</v>
      </c>
      <c r="AC108" s="628">
        <f t="shared" si="12"/>
        <v>97</v>
      </c>
      <c r="AD108" s="627">
        <f t="shared" si="13"/>
        <v>170</v>
      </c>
      <c r="AE108" s="627">
        <f t="shared" ref="AE108:AT123" si="17">ABS(E108-D108)</f>
        <v>101</v>
      </c>
      <c r="AF108" s="627">
        <f t="shared" si="17"/>
        <v>14</v>
      </c>
      <c r="AG108" s="627">
        <f t="shared" si="17"/>
        <v>10</v>
      </c>
      <c r="AH108" s="627">
        <f t="shared" si="17"/>
        <v>182</v>
      </c>
      <c r="AI108" s="627">
        <f t="shared" si="17"/>
        <v>375</v>
      </c>
      <c r="AJ108" s="627">
        <f t="shared" si="17"/>
        <v>341</v>
      </c>
      <c r="AK108" s="627">
        <f t="shared" si="17"/>
        <v>51</v>
      </c>
      <c r="AL108" s="627">
        <f t="shared" si="17"/>
        <v>46</v>
      </c>
      <c r="AM108" s="627">
        <f t="shared" si="17"/>
        <v>11</v>
      </c>
      <c r="AN108" s="627">
        <f t="shared" si="17"/>
        <v>21</v>
      </c>
      <c r="AO108" s="627">
        <f t="shared" si="17"/>
        <v>5</v>
      </c>
      <c r="AP108" s="627">
        <f t="shared" si="17"/>
        <v>10</v>
      </c>
      <c r="AQ108" s="627">
        <f t="shared" si="17"/>
        <v>16</v>
      </c>
      <c r="AR108" s="627">
        <f t="shared" si="17"/>
        <v>25</v>
      </c>
      <c r="AS108" s="627">
        <f t="shared" si="17"/>
        <v>28</v>
      </c>
      <c r="AT108" s="627">
        <f t="shared" si="17"/>
        <v>31</v>
      </c>
      <c r="AU108" s="627">
        <f t="shared" si="16"/>
        <v>76</v>
      </c>
      <c r="AV108" s="627">
        <f t="shared" si="16"/>
        <v>1</v>
      </c>
      <c r="AW108" s="627">
        <f t="shared" si="16"/>
        <v>151</v>
      </c>
      <c r="AX108" s="627">
        <f t="shared" si="16"/>
        <v>97</v>
      </c>
      <c r="AY108" s="627">
        <f t="shared" si="16"/>
        <v>249</v>
      </c>
      <c r="AZ108" s="627">
        <f t="shared" si="16"/>
        <v>429</v>
      </c>
      <c r="BA108" s="627">
        <f t="shared" si="16"/>
        <v>362</v>
      </c>
    </row>
    <row r="109" spans="1:53">
      <c r="A109" s="105">
        <f t="shared" si="11"/>
        <v>98</v>
      </c>
      <c r="B109" s="745">
        <v>42467</v>
      </c>
      <c r="C109" s="746" t="s">
        <v>1772</v>
      </c>
      <c r="D109" s="747">
        <v>3867</v>
      </c>
      <c r="E109" s="747">
        <v>3806</v>
      </c>
      <c r="F109" s="747">
        <v>3759</v>
      </c>
      <c r="G109" s="747">
        <v>3729</v>
      </c>
      <c r="H109" s="747">
        <v>3745</v>
      </c>
      <c r="I109" s="747">
        <v>4037</v>
      </c>
      <c r="J109" s="747">
        <v>4476</v>
      </c>
      <c r="K109" s="747">
        <v>4657</v>
      </c>
      <c r="L109" s="747">
        <v>4680</v>
      </c>
      <c r="M109" s="747">
        <v>4685</v>
      </c>
      <c r="N109" s="747">
        <v>4681</v>
      </c>
      <c r="O109" s="747">
        <v>4676</v>
      </c>
      <c r="P109" s="747">
        <v>4656</v>
      </c>
      <c r="Q109" s="747">
        <v>4604</v>
      </c>
      <c r="R109" s="747">
        <v>4648</v>
      </c>
      <c r="S109" s="747">
        <v>4605</v>
      </c>
      <c r="T109" s="747">
        <v>4650</v>
      </c>
      <c r="U109" s="747">
        <v>4758</v>
      </c>
      <c r="V109" s="747">
        <v>4773</v>
      </c>
      <c r="W109" s="747">
        <v>4854</v>
      </c>
      <c r="X109" s="747">
        <v>4954</v>
      </c>
      <c r="Y109" s="747">
        <v>4718</v>
      </c>
      <c r="Z109" s="747">
        <v>4302</v>
      </c>
      <c r="AA109" s="747">
        <v>4014</v>
      </c>
      <c r="AC109" s="628">
        <f t="shared" si="12"/>
        <v>98</v>
      </c>
      <c r="AD109" s="627">
        <f t="shared" si="13"/>
        <v>165</v>
      </c>
      <c r="AE109" s="627">
        <f t="shared" si="17"/>
        <v>61</v>
      </c>
      <c r="AF109" s="627">
        <f t="shared" si="17"/>
        <v>47</v>
      </c>
      <c r="AG109" s="627">
        <f t="shared" si="17"/>
        <v>30</v>
      </c>
      <c r="AH109" s="627">
        <f t="shared" si="17"/>
        <v>16</v>
      </c>
      <c r="AI109" s="627">
        <f t="shared" si="17"/>
        <v>292</v>
      </c>
      <c r="AJ109" s="627">
        <f t="shared" si="17"/>
        <v>439</v>
      </c>
      <c r="AK109" s="627">
        <f t="shared" si="17"/>
        <v>181</v>
      </c>
      <c r="AL109" s="627">
        <f t="shared" si="17"/>
        <v>23</v>
      </c>
      <c r="AM109" s="627">
        <f t="shared" si="17"/>
        <v>5</v>
      </c>
      <c r="AN109" s="627">
        <f t="shared" si="17"/>
        <v>4</v>
      </c>
      <c r="AO109" s="627">
        <f t="shared" si="17"/>
        <v>5</v>
      </c>
      <c r="AP109" s="627">
        <f t="shared" si="17"/>
        <v>20</v>
      </c>
      <c r="AQ109" s="627">
        <f t="shared" si="17"/>
        <v>52</v>
      </c>
      <c r="AR109" s="627">
        <f t="shared" si="17"/>
        <v>44</v>
      </c>
      <c r="AS109" s="627">
        <f t="shared" si="17"/>
        <v>43</v>
      </c>
      <c r="AT109" s="627">
        <f t="shared" si="17"/>
        <v>45</v>
      </c>
      <c r="AU109" s="627">
        <f t="shared" si="16"/>
        <v>108</v>
      </c>
      <c r="AV109" s="627">
        <f t="shared" si="16"/>
        <v>15</v>
      </c>
      <c r="AW109" s="627">
        <f t="shared" si="16"/>
        <v>81</v>
      </c>
      <c r="AX109" s="627">
        <f t="shared" si="16"/>
        <v>100</v>
      </c>
      <c r="AY109" s="627">
        <f t="shared" si="16"/>
        <v>236</v>
      </c>
      <c r="AZ109" s="627">
        <f t="shared" si="16"/>
        <v>416</v>
      </c>
      <c r="BA109" s="627">
        <f t="shared" si="16"/>
        <v>288</v>
      </c>
    </row>
    <row r="110" spans="1:53">
      <c r="A110" s="105">
        <f t="shared" si="11"/>
        <v>99</v>
      </c>
      <c r="B110" s="745">
        <v>42468</v>
      </c>
      <c r="C110" s="746" t="s">
        <v>1772</v>
      </c>
      <c r="D110" s="747">
        <v>3836</v>
      </c>
      <c r="E110" s="747">
        <v>3794</v>
      </c>
      <c r="F110" s="747">
        <v>3717</v>
      </c>
      <c r="G110" s="747">
        <v>3747</v>
      </c>
      <c r="H110" s="747">
        <v>3901</v>
      </c>
      <c r="I110" s="747">
        <v>4177</v>
      </c>
      <c r="J110" s="747">
        <v>4483</v>
      </c>
      <c r="K110" s="747">
        <v>4696</v>
      </c>
      <c r="L110" s="747">
        <v>4726</v>
      </c>
      <c r="M110" s="747">
        <v>4716</v>
      </c>
      <c r="N110" s="747">
        <v>4736</v>
      </c>
      <c r="O110" s="747">
        <v>4662</v>
      </c>
      <c r="P110" s="747">
        <v>4664</v>
      </c>
      <c r="Q110" s="747">
        <v>4606</v>
      </c>
      <c r="R110" s="747">
        <v>4596</v>
      </c>
      <c r="S110" s="747">
        <v>4645</v>
      </c>
      <c r="T110" s="747">
        <v>4647</v>
      </c>
      <c r="U110" s="747">
        <v>4676</v>
      </c>
      <c r="V110" s="747">
        <v>4598</v>
      </c>
      <c r="W110" s="747">
        <v>4741</v>
      </c>
      <c r="X110" s="747">
        <v>4847</v>
      </c>
      <c r="Y110" s="747">
        <v>4655</v>
      </c>
      <c r="Z110" s="747">
        <v>4340</v>
      </c>
      <c r="AA110" s="747">
        <v>4145</v>
      </c>
      <c r="AC110" s="628">
        <f t="shared" si="12"/>
        <v>99</v>
      </c>
      <c r="AD110" s="627">
        <f t="shared" si="13"/>
        <v>178</v>
      </c>
      <c r="AE110" s="627">
        <f t="shared" si="17"/>
        <v>42</v>
      </c>
      <c r="AF110" s="627">
        <f t="shared" si="17"/>
        <v>77</v>
      </c>
      <c r="AG110" s="627">
        <f t="shared" si="17"/>
        <v>30</v>
      </c>
      <c r="AH110" s="627">
        <f t="shared" si="17"/>
        <v>154</v>
      </c>
      <c r="AI110" s="627">
        <f t="shared" si="17"/>
        <v>276</v>
      </c>
      <c r="AJ110" s="627">
        <f t="shared" si="17"/>
        <v>306</v>
      </c>
      <c r="AK110" s="627">
        <f t="shared" si="17"/>
        <v>213</v>
      </c>
      <c r="AL110" s="627">
        <f t="shared" si="17"/>
        <v>30</v>
      </c>
      <c r="AM110" s="627">
        <f t="shared" si="17"/>
        <v>10</v>
      </c>
      <c r="AN110" s="627">
        <f t="shared" si="17"/>
        <v>20</v>
      </c>
      <c r="AO110" s="627">
        <f t="shared" si="17"/>
        <v>74</v>
      </c>
      <c r="AP110" s="627">
        <f t="shared" si="17"/>
        <v>2</v>
      </c>
      <c r="AQ110" s="627">
        <f t="shared" si="17"/>
        <v>58</v>
      </c>
      <c r="AR110" s="627">
        <f t="shared" si="17"/>
        <v>10</v>
      </c>
      <c r="AS110" s="627">
        <f t="shared" si="17"/>
        <v>49</v>
      </c>
      <c r="AT110" s="627">
        <f t="shared" si="17"/>
        <v>2</v>
      </c>
      <c r="AU110" s="627">
        <f t="shared" si="16"/>
        <v>29</v>
      </c>
      <c r="AV110" s="627">
        <f t="shared" si="16"/>
        <v>78</v>
      </c>
      <c r="AW110" s="627">
        <f t="shared" si="16"/>
        <v>143</v>
      </c>
      <c r="AX110" s="627">
        <f t="shared" si="16"/>
        <v>106</v>
      </c>
      <c r="AY110" s="627">
        <f t="shared" si="16"/>
        <v>192</v>
      </c>
      <c r="AZ110" s="627">
        <f t="shared" si="16"/>
        <v>315</v>
      </c>
      <c r="BA110" s="627">
        <f t="shared" si="16"/>
        <v>195</v>
      </c>
    </row>
    <row r="111" spans="1:53">
      <c r="A111" s="105">
        <f t="shared" si="11"/>
        <v>100</v>
      </c>
      <c r="B111" s="745">
        <v>42469</v>
      </c>
      <c r="C111" s="746" t="s">
        <v>1772</v>
      </c>
      <c r="D111" s="747">
        <v>3922</v>
      </c>
      <c r="E111" s="747">
        <v>3831</v>
      </c>
      <c r="F111" s="747">
        <v>3730</v>
      </c>
      <c r="G111" s="747">
        <v>3692</v>
      </c>
      <c r="H111" s="747">
        <v>3715</v>
      </c>
      <c r="I111" s="747">
        <v>3827</v>
      </c>
      <c r="J111" s="747">
        <v>3974</v>
      </c>
      <c r="K111" s="747">
        <v>4047</v>
      </c>
      <c r="L111" s="747">
        <v>4144</v>
      </c>
      <c r="M111" s="747">
        <v>4216</v>
      </c>
      <c r="N111" s="747">
        <v>4267</v>
      </c>
      <c r="O111" s="747">
        <v>4251</v>
      </c>
      <c r="P111" s="747">
        <v>4275</v>
      </c>
      <c r="Q111" s="747">
        <v>4297</v>
      </c>
      <c r="R111" s="747">
        <v>4320</v>
      </c>
      <c r="S111" s="747">
        <v>4313</v>
      </c>
      <c r="T111" s="747">
        <v>4352</v>
      </c>
      <c r="U111" s="747">
        <v>4424</v>
      </c>
      <c r="V111" s="747">
        <v>4398</v>
      </c>
      <c r="W111" s="747">
        <v>4493</v>
      </c>
      <c r="X111" s="747">
        <v>4618</v>
      </c>
      <c r="Y111" s="747">
        <v>4453</v>
      </c>
      <c r="Z111" s="747">
        <v>4301</v>
      </c>
      <c r="AA111" s="747">
        <v>4020</v>
      </c>
      <c r="AC111" s="628">
        <f t="shared" si="12"/>
        <v>100</v>
      </c>
      <c r="AD111" s="627">
        <f t="shared" si="13"/>
        <v>223</v>
      </c>
      <c r="AE111" s="627">
        <f t="shared" si="17"/>
        <v>91</v>
      </c>
      <c r="AF111" s="627">
        <f t="shared" si="17"/>
        <v>101</v>
      </c>
      <c r="AG111" s="627">
        <f t="shared" si="17"/>
        <v>38</v>
      </c>
      <c r="AH111" s="627">
        <f t="shared" si="17"/>
        <v>23</v>
      </c>
      <c r="AI111" s="627">
        <f t="shared" si="17"/>
        <v>112</v>
      </c>
      <c r="AJ111" s="627">
        <f t="shared" si="17"/>
        <v>147</v>
      </c>
      <c r="AK111" s="627">
        <f t="shared" si="17"/>
        <v>73</v>
      </c>
      <c r="AL111" s="627">
        <f t="shared" si="17"/>
        <v>97</v>
      </c>
      <c r="AM111" s="627">
        <f t="shared" si="17"/>
        <v>72</v>
      </c>
      <c r="AN111" s="627">
        <f t="shared" si="17"/>
        <v>51</v>
      </c>
      <c r="AO111" s="627">
        <f t="shared" si="17"/>
        <v>16</v>
      </c>
      <c r="AP111" s="627">
        <f t="shared" si="17"/>
        <v>24</v>
      </c>
      <c r="AQ111" s="627">
        <f t="shared" si="17"/>
        <v>22</v>
      </c>
      <c r="AR111" s="627">
        <f t="shared" si="17"/>
        <v>23</v>
      </c>
      <c r="AS111" s="627">
        <f t="shared" si="17"/>
        <v>7</v>
      </c>
      <c r="AT111" s="627">
        <f t="shared" si="17"/>
        <v>39</v>
      </c>
      <c r="AU111" s="627">
        <f t="shared" si="16"/>
        <v>72</v>
      </c>
      <c r="AV111" s="627">
        <f t="shared" si="16"/>
        <v>26</v>
      </c>
      <c r="AW111" s="627">
        <f t="shared" si="16"/>
        <v>95</v>
      </c>
      <c r="AX111" s="627">
        <f t="shared" si="16"/>
        <v>125</v>
      </c>
      <c r="AY111" s="627">
        <f t="shared" si="16"/>
        <v>165</v>
      </c>
      <c r="AZ111" s="627">
        <f t="shared" si="16"/>
        <v>152</v>
      </c>
      <c r="BA111" s="627">
        <f t="shared" si="16"/>
        <v>281</v>
      </c>
    </row>
    <row r="112" spans="1:53">
      <c r="A112" s="105">
        <f t="shared" si="11"/>
        <v>101</v>
      </c>
      <c r="B112" s="745">
        <v>42470</v>
      </c>
      <c r="C112" s="746" t="s">
        <v>1772</v>
      </c>
      <c r="D112" s="747">
        <v>3817</v>
      </c>
      <c r="E112" s="747">
        <v>3725</v>
      </c>
      <c r="F112" s="747">
        <v>3658</v>
      </c>
      <c r="G112" s="747">
        <v>3626</v>
      </c>
      <c r="H112" s="747">
        <v>3631</v>
      </c>
      <c r="I112" s="747">
        <v>3713</v>
      </c>
      <c r="J112" s="747">
        <v>3792</v>
      </c>
      <c r="K112" s="747">
        <v>3921</v>
      </c>
      <c r="L112" s="747">
        <v>4162</v>
      </c>
      <c r="M112" s="747">
        <v>4217</v>
      </c>
      <c r="N112" s="747">
        <v>4256</v>
      </c>
      <c r="O112" s="747">
        <v>4279</v>
      </c>
      <c r="P112" s="747">
        <v>4270</v>
      </c>
      <c r="Q112" s="747">
        <v>4236</v>
      </c>
      <c r="R112" s="747">
        <v>4212</v>
      </c>
      <c r="S112" s="747">
        <v>4226</v>
      </c>
      <c r="T112" s="747">
        <v>4351</v>
      </c>
      <c r="U112" s="747">
        <v>4521</v>
      </c>
      <c r="V112" s="747">
        <v>4600</v>
      </c>
      <c r="W112" s="747">
        <v>4743</v>
      </c>
      <c r="X112" s="747">
        <v>4760</v>
      </c>
      <c r="Y112" s="747">
        <v>4510</v>
      </c>
      <c r="Z112" s="747">
        <v>4231</v>
      </c>
      <c r="AA112" s="747">
        <v>4020</v>
      </c>
      <c r="AC112" s="628">
        <f t="shared" si="12"/>
        <v>101</v>
      </c>
      <c r="AD112" s="627">
        <f t="shared" si="13"/>
        <v>203</v>
      </c>
      <c r="AE112" s="627">
        <f t="shared" si="17"/>
        <v>92</v>
      </c>
      <c r="AF112" s="627">
        <f t="shared" si="17"/>
        <v>67</v>
      </c>
      <c r="AG112" s="627">
        <f t="shared" si="17"/>
        <v>32</v>
      </c>
      <c r="AH112" s="627">
        <f t="shared" si="17"/>
        <v>5</v>
      </c>
      <c r="AI112" s="627">
        <f t="shared" si="17"/>
        <v>82</v>
      </c>
      <c r="AJ112" s="627">
        <f t="shared" si="17"/>
        <v>79</v>
      </c>
      <c r="AK112" s="627">
        <f t="shared" si="17"/>
        <v>129</v>
      </c>
      <c r="AL112" s="627">
        <f t="shared" si="17"/>
        <v>241</v>
      </c>
      <c r="AM112" s="627">
        <f t="shared" si="17"/>
        <v>55</v>
      </c>
      <c r="AN112" s="627">
        <f t="shared" si="17"/>
        <v>39</v>
      </c>
      <c r="AO112" s="627">
        <f t="shared" si="17"/>
        <v>23</v>
      </c>
      <c r="AP112" s="627">
        <f t="shared" si="17"/>
        <v>9</v>
      </c>
      <c r="AQ112" s="627">
        <f t="shared" si="17"/>
        <v>34</v>
      </c>
      <c r="AR112" s="627">
        <f t="shared" si="17"/>
        <v>24</v>
      </c>
      <c r="AS112" s="627">
        <f t="shared" si="17"/>
        <v>14</v>
      </c>
      <c r="AT112" s="627">
        <f t="shared" si="17"/>
        <v>125</v>
      </c>
      <c r="AU112" s="627">
        <f t="shared" si="16"/>
        <v>170</v>
      </c>
      <c r="AV112" s="627">
        <f t="shared" si="16"/>
        <v>79</v>
      </c>
      <c r="AW112" s="627">
        <f t="shared" si="16"/>
        <v>143</v>
      </c>
      <c r="AX112" s="627">
        <f t="shared" si="16"/>
        <v>17</v>
      </c>
      <c r="AY112" s="627">
        <f t="shared" si="16"/>
        <v>250</v>
      </c>
      <c r="AZ112" s="627">
        <f t="shared" si="16"/>
        <v>279</v>
      </c>
      <c r="BA112" s="627">
        <f t="shared" si="16"/>
        <v>211</v>
      </c>
    </row>
    <row r="113" spans="1:53">
      <c r="A113" s="105">
        <f t="shared" si="11"/>
        <v>102</v>
      </c>
      <c r="B113" s="745">
        <v>42471</v>
      </c>
      <c r="C113" s="746" t="s">
        <v>1772</v>
      </c>
      <c r="D113" s="1131">
        <v>3851</v>
      </c>
      <c r="E113" s="747">
        <v>3760</v>
      </c>
      <c r="F113" s="747">
        <v>3605</v>
      </c>
      <c r="G113" s="747">
        <v>3561</v>
      </c>
      <c r="H113" s="747">
        <v>3694</v>
      </c>
      <c r="I113" s="747">
        <v>4003</v>
      </c>
      <c r="J113" s="747">
        <v>4464</v>
      </c>
      <c r="K113" s="747">
        <v>4756</v>
      </c>
      <c r="L113" s="747">
        <v>4857</v>
      </c>
      <c r="M113" s="747">
        <v>4935</v>
      </c>
      <c r="N113" s="747">
        <v>4910</v>
      </c>
      <c r="O113" s="747">
        <v>4866</v>
      </c>
      <c r="P113" s="747">
        <v>4839</v>
      </c>
      <c r="Q113" s="747">
        <v>4789</v>
      </c>
      <c r="R113" s="747">
        <v>4720</v>
      </c>
      <c r="S113" s="747">
        <v>4662</v>
      </c>
      <c r="T113" s="747">
        <v>4640</v>
      </c>
      <c r="U113" s="747">
        <v>4705</v>
      </c>
      <c r="V113" s="747">
        <v>4743</v>
      </c>
      <c r="W113" s="747">
        <v>4875</v>
      </c>
      <c r="X113" s="747">
        <v>5003</v>
      </c>
      <c r="Y113" s="747">
        <v>4777</v>
      </c>
      <c r="Z113" s="747">
        <v>4377</v>
      </c>
      <c r="AA113" s="747">
        <v>4088</v>
      </c>
      <c r="AC113" s="628">
        <f t="shared" si="12"/>
        <v>102</v>
      </c>
      <c r="AD113" s="627">
        <f t="shared" si="13"/>
        <v>169</v>
      </c>
      <c r="AE113" s="627">
        <f t="shared" si="17"/>
        <v>91</v>
      </c>
      <c r="AF113" s="627">
        <f t="shared" si="17"/>
        <v>155</v>
      </c>
      <c r="AG113" s="627">
        <f t="shared" si="17"/>
        <v>44</v>
      </c>
      <c r="AH113" s="627">
        <f t="shared" si="17"/>
        <v>133</v>
      </c>
      <c r="AI113" s="627">
        <f t="shared" si="17"/>
        <v>309</v>
      </c>
      <c r="AJ113" s="627">
        <f t="shared" si="17"/>
        <v>461</v>
      </c>
      <c r="AK113" s="627">
        <f t="shared" si="17"/>
        <v>292</v>
      </c>
      <c r="AL113" s="627">
        <f t="shared" si="17"/>
        <v>101</v>
      </c>
      <c r="AM113" s="627">
        <f t="shared" si="17"/>
        <v>78</v>
      </c>
      <c r="AN113" s="627">
        <f t="shared" si="17"/>
        <v>25</v>
      </c>
      <c r="AO113" s="627">
        <f t="shared" si="17"/>
        <v>44</v>
      </c>
      <c r="AP113" s="627">
        <f t="shared" si="17"/>
        <v>27</v>
      </c>
      <c r="AQ113" s="627">
        <f t="shared" si="17"/>
        <v>50</v>
      </c>
      <c r="AR113" s="627">
        <f t="shared" si="17"/>
        <v>69</v>
      </c>
      <c r="AS113" s="627">
        <f t="shared" si="17"/>
        <v>58</v>
      </c>
      <c r="AT113" s="627">
        <f t="shared" si="17"/>
        <v>22</v>
      </c>
      <c r="AU113" s="627">
        <f t="shared" si="16"/>
        <v>65</v>
      </c>
      <c r="AV113" s="627">
        <f t="shared" si="16"/>
        <v>38</v>
      </c>
      <c r="AW113" s="627">
        <f t="shared" si="16"/>
        <v>132</v>
      </c>
      <c r="AX113" s="627">
        <f t="shared" si="16"/>
        <v>128</v>
      </c>
      <c r="AY113" s="627">
        <f t="shared" si="16"/>
        <v>226</v>
      </c>
      <c r="AZ113" s="627">
        <f t="shared" si="16"/>
        <v>400</v>
      </c>
      <c r="BA113" s="627">
        <f t="shared" si="16"/>
        <v>289</v>
      </c>
    </row>
    <row r="114" spans="1:53">
      <c r="A114" s="105">
        <f t="shared" si="11"/>
        <v>103</v>
      </c>
      <c r="B114" s="745">
        <v>42472</v>
      </c>
      <c r="C114" s="746" t="s">
        <v>1772</v>
      </c>
      <c r="D114" s="747">
        <v>3950</v>
      </c>
      <c r="E114" s="747">
        <v>3873</v>
      </c>
      <c r="F114" s="747">
        <v>3815</v>
      </c>
      <c r="G114" s="747">
        <v>3867</v>
      </c>
      <c r="H114" s="747">
        <v>3944</v>
      </c>
      <c r="I114" s="747">
        <v>4176</v>
      </c>
      <c r="J114" s="747">
        <v>4560</v>
      </c>
      <c r="K114" s="747">
        <v>4695</v>
      </c>
      <c r="L114" s="747">
        <v>4746</v>
      </c>
      <c r="M114" s="747">
        <v>4744</v>
      </c>
      <c r="N114" s="747">
        <v>4761</v>
      </c>
      <c r="O114" s="747">
        <v>4762</v>
      </c>
      <c r="P114" s="747">
        <v>4721</v>
      </c>
      <c r="Q114" s="747">
        <v>4816</v>
      </c>
      <c r="R114" s="747">
        <v>4829</v>
      </c>
      <c r="S114" s="747">
        <v>4817</v>
      </c>
      <c r="T114" s="747">
        <v>4822</v>
      </c>
      <c r="U114" s="747">
        <v>4873</v>
      </c>
      <c r="V114" s="747">
        <v>4868</v>
      </c>
      <c r="W114" s="747">
        <v>4974</v>
      </c>
      <c r="X114" s="747">
        <v>4982</v>
      </c>
      <c r="Y114" s="747">
        <v>4732</v>
      </c>
      <c r="Z114" s="747">
        <v>4333</v>
      </c>
      <c r="AA114" s="747">
        <v>4074</v>
      </c>
      <c r="AC114" s="628">
        <f t="shared" si="12"/>
        <v>103</v>
      </c>
      <c r="AD114" s="627">
        <f t="shared" si="13"/>
        <v>138</v>
      </c>
      <c r="AE114" s="627">
        <f t="shared" si="17"/>
        <v>77</v>
      </c>
      <c r="AF114" s="627">
        <f t="shared" si="17"/>
        <v>58</v>
      </c>
      <c r="AG114" s="627">
        <f t="shared" si="17"/>
        <v>52</v>
      </c>
      <c r="AH114" s="627">
        <f t="shared" si="17"/>
        <v>77</v>
      </c>
      <c r="AI114" s="627">
        <f t="shared" si="17"/>
        <v>232</v>
      </c>
      <c r="AJ114" s="627">
        <f t="shared" si="17"/>
        <v>384</v>
      </c>
      <c r="AK114" s="627">
        <f t="shared" si="17"/>
        <v>135</v>
      </c>
      <c r="AL114" s="627">
        <f t="shared" si="17"/>
        <v>51</v>
      </c>
      <c r="AM114" s="627">
        <f t="shared" si="17"/>
        <v>2</v>
      </c>
      <c r="AN114" s="627">
        <f t="shared" si="17"/>
        <v>17</v>
      </c>
      <c r="AO114" s="627">
        <f t="shared" si="17"/>
        <v>1</v>
      </c>
      <c r="AP114" s="627">
        <f t="shared" si="17"/>
        <v>41</v>
      </c>
      <c r="AQ114" s="627">
        <f t="shared" si="17"/>
        <v>95</v>
      </c>
      <c r="AR114" s="627">
        <f t="shared" si="17"/>
        <v>13</v>
      </c>
      <c r="AS114" s="627">
        <f t="shared" si="17"/>
        <v>12</v>
      </c>
      <c r="AT114" s="627">
        <f t="shared" si="17"/>
        <v>5</v>
      </c>
      <c r="AU114" s="627">
        <f t="shared" si="16"/>
        <v>51</v>
      </c>
      <c r="AV114" s="627">
        <f t="shared" si="16"/>
        <v>5</v>
      </c>
      <c r="AW114" s="627">
        <f t="shared" si="16"/>
        <v>106</v>
      </c>
      <c r="AX114" s="627">
        <f t="shared" si="16"/>
        <v>8</v>
      </c>
      <c r="AY114" s="627">
        <f t="shared" si="16"/>
        <v>250</v>
      </c>
      <c r="AZ114" s="627">
        <f t="shared" si="16"/>
        <v>399</v>
      </c>
      <c r="BA114" s="627">
        <f t="shared" si="16"/>
        <v>259</v>
      </c>
    </row>
    <row r="115" spans="1:53">
      <c r="A115" s="105">
        <f t="shared" si="11"/>
        <v>104</v>
      </c>
      <c r="B115" s="745">
        <v>42473</v>
      </c>
      <c r="C115" s="746" t="s">
        <v>1772</v>
      </c>
      <c r="D115" s="747">
        <v>3906</v>
      </c>
      <c r="E115" s="747">
        <v>3818</v>
      </c>
      <c r="F115" s="747">
        <v>3772</v>
      </c>
      <c r="G115" s="747">
        <v>3774</v>
      </c>
      <c r="H115" s="747">
        <v>3899</v>
      </c>
      <c r="I115" s="747">
        <v>4127</v>
      </c>
      <c r="J115" s="747">
        <v>4496</v>
      </c>
      <c r="K115" s="747">
        <v>4677</v>
      </c>
      <c r="L115" s="747">
        <v>4621</v>
      </c>
      <c r="M115" s="747">
        <v>4698</v>
      </c>
      <c r="N115" s="747">
        <v>4771</v>
      </c>
      <c r="O115" s="747">
        <v>4784</v>
      </c>
      <c r="P115" s="747">
        <v>4812</v>
      </c>
      <c r="Q115" s="747">
        <v>4844</v>
      </c>
      <c r="R115" s="747">
        <v>4829</v>
      </c>
      <c r="S115" s="747">
        <v>4898</v>
      </c>
      <c r="T115" s="747">
        <v>4915</v>
      </c>
      <c r="U115" s="747">
        <v>4891</v>
      </c>
      <c r="V115" s="747">
        <v>4868</v>
      </c>
      <c r="W115" s="747">
        <v>4946</v>
      </c>
      <c r="X115" s="747">
        <v>5061</v>
      </c>
      <c r="Y115" s="747">
        <v>4825</v>
      </c>
      <c r="Z115" s="747">
        <v>4505</v>
      </c>
      <c r="AA115" s="747">
        <v>4134</v>
      </c>
      <c r="AC115" s="628">
        <f t="shared" si="12"/>
        <v>104</v>
      </c>
      <c r="AD115" s="627">
        <f t="shared" si="13"/>
        <v>168</v>
      </c>
      <c r="AE115" s="627">
        <f t="shared" si="17"/>
        <v>88</v>
      </c>
      <c r="AF115" s="627">
        <f t="shared" si="17"/>
        <v>46</v>
      </c>
      <c r="AG115" s="627">
        <f t="shared" si="17"/>
        <v>2</v>
      </c>
      <c r="AH115" s="627">
        <f t="shared" si="17"/>
        <v>125</v>
      </c>
      <c r="AI115" s="627">
        <f t="shared" si="17"/>
        <v>228</v>
      </c>
      <c r="AJ115" s="627">
        <f t="shared" si="17"/>
        <v>369</v>
      </c>
      <c r="AK115" s="627">
        <f t="shared" si="17"/>
        <v>181</v>
      </c>
      <c r="AL115" s="627">
        <f t="shared" si="17"/>
        <v>56</v>
      </c>
      <c r="AM115" s="627">
        <f t="shared" si="17"/>
        <v>77</v>
      </c>
      <c r="AN115" s="627">
        <f t="shared" si="17"/>
        <v>73</v>
      </c>
      <c r="AO115" s="627">
        <f t="shared" si="17"/>
        <v>13</v>
      </c>
      <c r="AP115" s="627">
        <f t="shared" si="17"/>
        <v>28</v>
      </c>
      <c r="AQ115" s="627">
        <f t="shared" si="17"/>
        <v>32</v>
      </c>
      <c r="AR115" s="627">
        <f t="shared" si="17"/>
        <v>15</v>
      </c>
      <c r="AS115" s="627">
        <f t="shared" si="17"/>
        <v>69</v>
      </c>
      <c r="AT115" s="627">
        <f t="shared" si="17"/>
        <v>17</v>
      </c>
      <c r="AU115" s="627">
        <f t="shared" si="16"/>
        <v>24</v>
      </c>
      <c r="AV115" s="627">
        <f t="shared" si="16"/>
        <v>23</v>
      </c>
      <c r="AW115" s="627">
        <f t="shared" si="16"/>
        <v>78</v>
      </c>
      <c r="AX115" s="627">
        <f t="shared" si="16"/>
        <v>115</v>
      </c>
      <c r="AY115" s="627">
        <f t="shared" si="16"/>
        <v>236</v>
      </c>
      <c r="AZ115" s="627">
        <f t="shared" si="16"/>
        <v>320</v>
      </c>
      <c r="BA115" s="627">
        <f t="shared" si="16"/>
        <v>371</v>
      </c>
    </row>
    <row r="116" spans="1:53">
      <c r="A116" s="105">
        <f t="shared" si="11"/>
        <v>105</v>
      </c>
      <c r="B116" s="745">
        <v>42474</v>
      </c>
      <c r="C116" s="746" t="s">
        <v>1772</v>
      </c>
      <c r="D116" s="747">
        <v>3898</v>
      </c>
      <c r="E116" s="747">
        <v>3783</v>
      </c>
      <c r="F116" s="747">
        <v>3720</v>
      </c>
      <c r="G116" s="747">
        <v>3795</v>
      </c>
      <c r="H116" s="747">
        <v>3889</v>
      </c>
      <c r="I116" s="747">
        <v>4089</v>
      </c>
      <c r="J116" s="747">
        <v>4426</v>
      </c>
      <c r="K116" s="747">
        <v>4640</v>
      </c>
      <c r="L116" s="747">
        <v>4702</v>
      </c>
      <c r="M116" s="747">
        <v>4781</v>
      </c>
      <c r="N116" s="747">
        <v>4796</v>
      </c>
      <c r="O116" s="747">
        <v>4810</v>
      </c>
      <c r="P116" s="747">
        <v>4850</v>
      </c>
      <c r="Q116" s="747">
        <v>4922</v>
      </c>
      <c r="R116" s="747">
        <v>4951</v>
      </c>
      <c r="S116" s="747">
        <v>4945</v>
      </c>
      <c r="T116" s="747">
        <v>4929</v>
      </c>
      <c r="U116" s="747">
        <v>4957</v>
      </c>
      <c r="V116" s="747">
        <v>4924</v>
      </c>
      <c r="W116" s="747">
        <v>4991</v>
      </c>
      <c r="X116" s="747">
        <v>5034</v>
      </c>
      <c r="Y116" s="747">
        <v>4788</v>
      </c>
      <c r="Z116" s="747">
        <v>4497</v>
      </c>
      <c r="AA116" s="747">
        <v>4103</v>
      </c>
      <c r="AC116" s="628">
        <f t="shared" si="12"/>
        <v>105</v>
      </c>
      <c r="AD116" s="627">
        <f t="shared" si="13"/>
        <v>236</v>
      </c>
      <c r="AE116" s="627">
        <f t="shared" si="17"/>
        <v>115</v>
      </c>
      <c r="AF116" s="627">
        <f t="shared" si="17"/>
        <v>63</v>
      </c>
      <c r="AG116" s="627">
        <f t="shared" si="17"/>
        <v>75</v>
      </c>
      <c r="AH116" s="627">
        <f t="shared" si="17"/>
        <v>94</v>
      </c>
      <c r="AI116" s="627">
        <f t="shared" si="17"/>
        <v>200</v>
      </c>
      <c r="AJ116" s="627">
        <f t="shared" si="17"/>
        <v>337</v>
      </c>
      <c r="AK116" s="627">
        <f t="shared" si="17"/>
        <v>214</v>
      </c>
      <c r="AL116" s="627">
        <f t="shared" si="17"/>
        <v>62</v>
      </c>
      <c r="AM116" s="627">
        <f t="shared" si="17"/>
        <v>79</v>
      </c>
      <c r="AN116" s="627">
        <f t="shared" si="17"/>
        <v>15</v>
      </c>
      <c r="AO116" s="627">
        <f t="shared" si="17"/>
        <v>14</v>
      </c>
      <c r="AP116" s="627">
        <f t="shared" si="17"/>
        <v>40</v>
      </c>
      <c r="AQ116" s="627">
        <f t="shared" si="17"/>
        <v>72</v>
      </c>
      <c r="AR116" s="627">
        <f t="shared" si="17"/>
        <v>29</v>
      </c>
      <c r="AS116" s="627">
        <f t="shared" si="17"/>
        <v>6</v>
      </c>
      <c r="AT116" s="627">
        <f t="shared" si="17"/>
        <v>16</v>
      </c>
      <c r="AU116" s="627">
        <f t="shared" si="16"/>
        <v>28</v>
      </c>
      <c r="AV116" s="627">
        <f t="shared" si="16"/>
        <v>33</v>
      </c>
      <c r="AW116" s="627">
        <f t="shared" si="16"/>
        <v>67</v>
      </c>
      <c r="AX116" s="627">
        <f t="shared" si="16"/>
        <v>43</v>
      </c>
      <c r="AY116" s="627">
        <f t="shared" si="16"/>
        <v>246</v>
      </c>
      <c r="AZ116" s="627">
        <f t="shared" si="16"/>
        <v>291</v>
      </c>
      <c r="BA116" s="627">
        <f t="shared" si="16"/>
        <v>394</v>
      </c>
    </row>
    <row r="117" spans="1:53">
      <c r="A117" s="105">
        <f t="shared" si="11"/>
        <v>106</v>
      </c>
      <c r="B117" s="745">
        <v>42475</v>
      </c>
      <c r="C117" s="746" t="s">
        <v>1772</v>
      </c>
      <c r="D117" s="747">
        <v>3871</v>
      </c>
      <c r="E117" s="747">
        <v>3757</v>
      </c>
      <c r="F117" s="747">
        <v>3718</v>
      </c>
      <c r="G117" s="747">
        <v>3724</v>
      </c>
      <c r="H117" s="747">
        <v>3804</v>
      </c>
      <c r="I117" s="747">
        <v>4067</v>
      </c>
      <c r="J117" s="747">
        <v>4360</v>
      </c>
      <c r="K117" s="747">
        <v>4609</v>
      </c>
      <c r="L117" s="747">
        <v>4676</v>
      </c>
      <c r="M117" s="747">
        <v>4728</v>
      </c>
      <c r="N117" s="747">
        <v>4720</v>
      </c>
      <c r="O117" s="747">
        <v>4802</v>
      </c>
      <c r="P117" s="747">
        <v>4807</v>
      </c>
      <c r="Q117" s="747">
        <v>4832</v>
      </c>
      <c r="R117" s="747">
        <v>4827</v>
      </c>
      <c r="S117" s="747">
        <v>4834</v>
      </c>
      <c r="T117" s="747">
        <v>4871</v>
      </c>
      <c r="U117" s="747">
        <v>4914</v>
      </c>
      <c r="V117" s="747">
        <v>4917</v>
      </c>
      <c r="W117" s="747">
        <v>4964</v>
      </c>
      <c r="X117" s="747">
        <v>4991</v>
      </c>
      <c r="Y117" s="747">
        <v>4795</v>
      </c>
      <c r="Z117" s="747">
        <v>4508</v>
      </c>
      <c r="AA117" s="747">
        <v>4259</v>
      </c>
      <c r="AC117" s="628">
        <f t="shared" si="12"/>
        <v>106</v>
      </c>
      <c r="AD117" s="627">
        <f t="shared" si="13"/>
        <v>232</v>
      </c>
      <c r="AE117" s="627">
        <f t="shared" si="17"/>
        <v>114</v>
      </c>
      <c r="AF117" s="627">
        <f t="shared" si="17"/>
        <v>39</v>
      </c>
      <c r="AG117" s="627">
        <f t="shared" si="17"/>
        <v>6</v>
      </c>
      <c r="AH117" s="627">
        <f t="shared" si="17"/>
        <v>80</v>
      </c>
      <c r="AI117" s="627">
        <f t="shared" si="17"/>
        <v>263</v>
      </c>
      <c r="AJ117" s="627">
        <f t="shared" si="17"/>
        <v>293</v>
      </c>
      <c r="AK117" s="627">
        <f t="shared" si="17"/>
        <v>249</v>
      </c>
      <c r="AL117" s="627">
        <f t="shared" si="17"/>
        <v>67</v>
      </c>
      <c r="AM117" s="627">
        <f t="shared" si="17"/>
        <v>52</v>
      </c>
      <c r="AN117" s="627">
        <f t="shared" si="17"/>
        <v>8</v>
      </c>
      <c r="AO117" s="627">
        <f t="shared" si="17"/>
        <v>82</v>
      </c>
      <c r="AP117" s="627">
        <f t="shared" si="17"/>
        <v>5</v>
      </c>
      <c r="AQ117" s="627">
        <f t="shared" si="17"/>
        <v>25</v>
      </c>
      <c r="AR117" s="627">
        <f t="shared" si="17"/>
        <v>5</v>
      </c>
      <c r="AS117" s="627">
        <f t="shared" si="17"/>
        <v>7</v>
      </c>
      <c r="AT117" s="627">
        <f t="shared" si="17"/>
        <v>37</v>
      </c>
      <c r="AU117" s="627">
        <f t="shared" si="16"/>
        <v>43</v>
      </c>
      <c r="AV117" s="627">
        <f t="shared" si="16"/>
        <v>3</v>
      </c>
      <c r="AW117" s="627">
        <f t="shared" si="16"/>
        <v>47</v>
      </c>
      <c r="AX117" s="627">
        <f t="shared" si="16"/>
        <v>27</v>
      </c>
      <c r="AY117" s="627">
        <f t="shared" si="16"/>
        <v>196</v>
      </c>
      <c r="AZ117" s="627">
        <f t="shared" si="16"/>
        <v>287</v>
      </c>
      <c r="BA117" s="627">
        <f t="shared" si="16"/>
        <v>249</v>
      </c>
    </row>
    <row r="118" spans="1:53">
      <c r="A118" s="105">
        <f t="shared" si="11"/>
        <v>107</v>
      </c>
      <c r="B118" s="745">
        <v>42476</v>
      </c>
      <c r="C118" s="746" t="s">
        <v>1772</v>
      </c>
      <c r="D118" s="747">
        <v>4171</v>
      </c>
      <c r="E118" s="747">
        <v>4077</v>
      </c>
      <c r="F118" s="747">
        <v>4021</v>
      </c>
      <c r="G118" s="747">
        <v>3992</v>
      </c>
      <c r="H118" s="747">
        <v>4030</v>
      </c>
      <c r="I118" s="747">
        <v>4168</v>
      </c>
      <c r="J118" s="747">
        <v>4273</v>
      </c>
      <c r="K118" s="747">
        <v>4458</v>
      </c>
      <c r="L118" s="747">
        <v>4696</v>
      </c>
      <c r="M118" s="747">
        <v>4809</v>
      </c>
      <c r="N118" s="747">
        <v>4976</v>
      </c>
      <c r="O118" s="747">
        <v>5040</v>
      </c>
      <c r="P118" s="747">
        <v>5045</v>
      </c>
      <c r="Q118" s="747">
        <v>5003</v>
      </c>
      <c r="R118" s="747">
        <v>4961</v>
      </c>
      <c r="S118" s="747">
        <v>4978</v>
      </c>
      <c r="T118" s="747">
        <v>5031</v>
      </c>
      <c r="U118" s="747">
        <v>5080</v>
      </c>
      <c r="V118" s="747">
        <v>5058</v>
      </c>
      <c r="W118" s="747">
        <v>5148</v>
      </c>
      <c r="X118" s="747">
        <v>5208</v>
      </c>
      <c r="Y118" s="747">
        <v>4982</v>
      </c>
      <c r="Z118" s="747">
        <v>4643</v>
      </c>
      <c r="AA118" s="747">
        <v>4484</v>
      </c>
      <c r="AC118" s="628">
        <f t="shared" si="12"/>
        <v>107</v>
      </c>
      <c r="AD118" s="627">
        <f t="shared" si="13"/>
        <v>88</v>
      </c>
      <c r="AE118" s="627">
        <f t="shared" si="17"/>
        <v>94</v>
      </c>
      <c r="AF118" s="627">
        <f t="shared" si="17"/>
        <v>56</v>
      </c>
      <c r="AG118" s="627">
        <f t="shared" si="17"/>
        <v>29</v>
      </c>
      <c r="AH118" s="627">
        <f t="shared" si="17"/>
        <v>38</v>
      </c>
      <c r="AI118" s="627">
        <f t="shared" si="17"/>
        <v>138</v>
      </c>
      <c r="AJ118" s="627">
        <f t="shared" si="17"/>
        <v>105</v>
      </c>
      <c r="AK118" s="627">
        <f t="shared" si="17"/>
        <v>185</v>
      </c>
      <c r="AL118" s="627">
        <f t="shared" si="17"/>
        <v>238</v>
      </c>
      <c r="AM118" s="627">
        <f t="shared" si="17"/>
        <v>113</v>
      </c>
      <c r="AN118" s="627">
        <f t="shared" si="17"/>
        <v>167</v>
      </c>
      <c r="AO118" s="627">
        <f t="shared" si="17"/>
        <v>64</v>
      </c>
      <c r="AP118" s="627">
        <f t="shared" si="17"/>
        <v>5</v>
      </c>
      <c r="AQ118" s="627">
        <f t="shared" si="17"/>
        <v>42</v>
      </c>
      <c r="AR118" s="627">
        <f t="shared" si="17"/>
        <v>42</v>
      </c>
      <c r="AS118" s="627">
        <f t="shared" si="17"/>
        <v>17</v>
      </c>
      <c r="AT118" s="627">
        <f t="shared" si="17"/>
        <v>53</v>
      </c>
      <c r="AU118" s="627">
        <f t="shared" si="16"/>
        <v>49</v>
      </c>
      <c r="AV118" s="627">
        <f t="shared" si="16"/>
        <v>22</v>
      </c>
      <c r="AW118" s="627">
        <f t="shared" si="16"/>
        <v>90</v>
      </c>
      <c r="AX118" s="627">
        <f t="shared" si="16"/>
        <v>60</v>
      </c>
      <c r="AY118" s="627">
        <f t="shared" si="16"/>
        <v>226</v>
      </c>
      <c r="AZ118" s="627">
        <f t="shared" si="16"/>
        <v>339</v>
      </c>
      <c r="BA118" s="627">
        <f t="shared" si="16"/>
        <v>159</v>
      </c>
    </row>
    <row r="119" spans="1:53">
      <c r="A119" s="105">
        <f t="shared" si="11"/>
        <v>108</v>
      </c>
      <c r="B119" s="745">
        <v>42477</v>
      </c>
      <c r="C119" s="746" t="s">
        <v>1772</v>
      </c>
      <c r="D119" s="747">
        <v>4311</v>
      </c>
      <c r="E119" s="747">
        <v>4205</v>
      </c>
      <c r="F119" s="747">
        <v>4046</v>
      </c>
      <c r="G119" s="747">
        <v>4018</v>
      </c>
      <c r="H119" s="747">
        <v>4029</v>
      </c>
      <c r="I119" s="747">
        <v>4025</v>
      </c>
      <c r="J119" s="747">
        <v>4112</v>
      </c>
      <c r="K119" s="747">
        <v>4235</v>
      </c>
      <c r="L119" s="747">
        <v>4443</v>
      </c>
      <c r="M119" s="747">
        <v>4537</v>
      </c>
      <c r="N119" s="747">
        <v>4597</v>
      </c>
      <c r="O119" s="747">
        <v>4618</v>
      </c>
      <c r="P119" s="747">
        <v>4606</v>
      </c>
      <c r="Q119" s="747">
        <v>4572</v>
      </c>
      <c r="R119" s="747">
        <v>4530</v>
      </c>
      <c r="S119" s="747">
        <v>4543</v>
      </c>
      <c r="T119" s="747">
        <v>4628</v>
      </c>
      <c r="U119" s="747">
        <v>4759</v>
      </c>
      <c r="V119" s="747">
        <v>4842</v>
      </c>
      <c r="W119" s="747">
        <v>4952</v>
      </c>
      <c r="X119" s="747">
        <v>5022</v>
      </c>
      <c r="Y119" s="747">
        <v>4801</v>
      </c>
      <c r="Z119" s="747">
        <v>4413</v>
      </c>
      <c r="AA119" s="747">
        <v>4223</v>
      </c>
      <c r="AC119" s="628">
        <f t="shared" si="12"/>
        <v>108</v>
      </c>
      <c r="AD119" s="627">
        <f t="shared" si="13"/>
        <v>173</v>
      </c>
      <c r="AE119" s="627">
        <f t="shared" si="17"/>
        <v>106</v>
      </c>
      <c r="AF119" s="627">
        <f t="shared" si="17"/>
        <v>159</v>
      </c>
      <c r="AG119" s="627">
        <f t="shared" si="17"/>
        <v>28</v>
      </c>
      <c r="AH119" s="627">
        <f t="shared" si="17"/>
        <v>11</v>
      </c>
      <c r="AI119" s="627">
        <f t="shared" si="17"/>
        <v>4</v>
      </c>
      <c r="AJ119" s="627">
        <f t="shared" si="17"/>
        <v>87</v>
      </c>
      <c r="AK119" s="627">
        <f t="shared" si="17"/>
        <v>123</v>
      </c>
      <c r="AL119" s="627">
        <f t="shared" si="17"/>
        <v>208</v>
      </c>
      <c r="AM119" s="627">
        <f t="shared" si="17"/>
        <v>94</v>
      </c>
      <c r="AN119" s="627">
        <f t="shared" si="17"/>
        <v>60</v>
      </c>
      <c r="AO119" s="627">
        <f t="shared" si="17"/>
        <v>21</v>
      </c>
      <c r="AP119" s="627">
        <f t="shared" si="17"/>
        <v>12</v>
      </c>
      <c r="AQ119" s="627">
        <f t="shared" si="17"/>
        <v>34</v>
      </c>
      <c r="AR119" s="627">
        <f t="shared" si="17"/>
        <v>42</v>
      </c>
      <c r="AS119" s="627">
        <f t="shared" si="17"/>
        <v>13</v>
      </c>
      <c r="AT119" s="627">
        <f t="shared" si="17"/>
        <v>85</v>
      </c>
      <c r="AU119" s="627">
        <f t="shared" si="16"/>
        <v>131</v>
      </c>
      <c r="AV119" s="627">
        <f t="shared" si="16"/>
        <v>83</v>
      </c>
      <c r="AW119" s="627">
        <f t="shared" si="16"/>
        <v>110</v>
      </c>
      <c r="AX119" s="627">
        <f t="shared" si="16"/>
        <v>70</v>
      </c>
      <c r="AY119" s="627">
        <f t="shared" si="16"/>
        <v>221</v>
      </c>
      <c r="AZ119" s="627">
        <f t="shared" si="16"/>
        <v>388</v>
      </c>
      <c r="BA119" s="627">
        <f t="shared" si="16"/>
        <v>190</v>
      </c>
    </row>
    <row r="120" spans="1:53">
      <c r="A120" s="105">
        <f t="shared" si="11"/>
        <v>109</v>
      </c>
      <c r="B120" s="745">
        <v>42478</v>
      </c>
      <c r="C120" s="746" t="s">
        <v>1772</v>
      </c>
      <c r="D120" s="747">
        <v>4047</v>
      </c>
      <c r="E120" s="747">
        <v>3958</v>
      </c>
      <c r="F120" s="747">
        <v>3947</v>
      </c>
      <c r="G120" s="747">
        <v>3960</v>
      </c>
      <c r="H120" s="747">
        <v>4093</v>
      </c>
      <c r="I120" s="747">
        <v>4402</v>
      </c>
      <c r="J120" s="747">
        <v>4827</v>
      </c>
      <c r="K120" s="747">
        <v>4963</v>
      </c>
      <c r="L120" s="747">
        <v>5129</v>
      </c>
      <c r="M120" s="747">
        <v>5180</v>
      </c>
      <c r="N120" s="747">
        <v>5182</v>
      </c>
      <c r="O120" s="747">
        <v>5104</v>
      </c>
      <c r="P120" s="747">
        <v>5027</v>
      </c>
      <c r="Q120" s="747">
        <v>4971</v>
      </c>
      <c r="R120" s="747">
        <v>4902</v>
      </c>
      <c r="S120" s="747">
        <v>4844</v>
      </c>
      <c r="T120" s="747">
        <v>4857</v>
      </c>
      <c r="U120" s="747">
        <v>4919</v>
      </c>
      <c r="V120" s="747">
        <v>4930</v>
      </c>
      <c r="W120" s="747">
        <v>5103</v>
      </c>
      <c r="X120" s="747">
        <v>5273</v>
      </c>
      <c r="Y120" s="747">
        <v>4997</v>
      </c>
      <c r="Z120" s="747">
        <v>4621</v>
      </c>
      <c r="AA120" s="747">
        <v>4245</v>
      </c>
      <c r="AC120" s="628">
        <f t="shared" si="12"/>
        <v>109</v>
      </c>
      <c r="AD120" s="627">
        <f t="shared" si="13"/>
        <v>176</v>
      </c>
      <c r="AE120" s="627">
        <f t="shared" si="17"/>
        <v>89</v>
      </c>
      <c r="AF120" s="627">
        <f t="shared" si="17"/>
        <v>11</v>
      </c>
      <c r="AG120" s="627">
        <f t="shared" si="17"/>
        <v>13</v>
      </c>
      <c r="AH120" s="627">
        <f t="shared" si="17"/>
        <v>133</v>
      </c>
      <c r="AI120" s="627">
        <f t="shared" si="17"/>
        <v>309</v>
      </c>
      <c r="AJ120" s="627">
        <f t="shared" si="17"/>
        <v>425</v>
      </c>
      <c r="AK120" s="627">
        <f t="shared" si="17"/>
        <v>136</v>
      </c>
      <c r="AL120" s="627">
        <f t="shared" si="17"/>
        <v>166</v>
      </c>
      <c r="AM120" s="627">
        <f t="shared" si="17"/>
        <v>51</v>
      </c>
      <c r="AN120" s="627">
        <f t="shared" si="17"/>
        <v>2</v>
      </c>
      <c r="AO120" s="627">
        <f t="shared" si="17"/>
        <v>78</v>
      </c>
      <c r="AP120" s="627">
        <f t="shared" si="17"/>
        <v>77</v>
      </c>
      <c r="AQ120" s="627">
        <f t="shared" si="17"/>
        <v>56</v>
      </c>
      <c r="AR120" s="627">
        <f t="shared" si="17"/>
        <v>69</v>
      </c>
      <c r="AS120" s="627">
        <f t="shared" si="17"/>
        <v>58</v>
      </c>
      <c r="AT120" s="627">
        <f t="shared" si="17"/>
        <v>13</v>
      </c>
      <c r="AU120" s="627">
        <f t="shared" si="16"/>
        <v>62</v>
      </c>
      <c r="AV120" s="627">
        <f t="shared" si="16"/>
        <v>11</v>
      </c>
      <c r="AW120" s="627">
        <f t="shared" si="16"/>
        <v>173</v>
      </c>
      <c r="AX120" s="627">
        <f t="shared" si="16"/>
        <v>170</v>
      </c>
      <c r="AY120" s="627">
        <f t="shared" si="16"/>
        <v>276</v>
      </c>
      <c r="AZ120" s="627">
        <f t="shared" si="16"/>
        <v>376</v>
      </c>
      <c r="BA120" s="627">
        <f t="shared" si="16"/>
        <v>376</v>
      </c>
    </row>
    <row r="121" spans="1:53">
      <c r="A121" s="105">
        <f t="shared" si="11"/>
        <v>110</v>
      </c>
      <c r="B121" s="745">
        <v>42479</v>
      </c>
      <c r="C121" s="746" t="s">
        <v>1772</v>
      </c>
      <c r="D121" s="747">
        <v>4236</v>
      </c>
      <c r="E121" s="747">
        <v>4127</v>
      </c>
      <c r="F121" s="747">
        <v>4075</v>
      </c>
      <c r="G121" s="747">
        <v>4108</v>
      </c>
      <c r="H121" s="747">
        <v>4233</v>
      </c>
      <c r="I121" s="747">
        <v>4459</v>
      </c>
      <c r="J121" s="747">
        <v>4872</v>
      </c>
      <c r="K121" s="747">
        <v>5070</v>
      </c>
      <c r="L121" s="747">
        <v>5128</v>
      </c>
      <c r="M121" s="747">
        <v>5027</v>
      </c>
      <c r="N121" s="747">
        <v>4952</v>
      </c>
      <c r="O121" s="747">
        <v>4878</v>
      </c>
      <c r="P121" s="747">
        <v>4809</v>
      </c>
      <c r="Q121" s="747">
        <v>4781</v>
      </c>
      <c r="R121" s="747">
        <v>4760</v>
      </c>
      <c r="S121" s="747">
        <v>4717</v>
      </c>
      <c r="T121" s="747">
        <v>4746</v>
      </c>
      <c r="U121" s="747">
        <v>4821</v>
      </c>
      <c r="V121" s="747">
        <v>4842</v>
      </c>
      <c r="W121" s="747">
        <v>4960</v>
      </c>
      <c r="X121" s="747">
        <v>5120</v>
      </c>
      <c r="Y121" s="747">
        <v>4914</v>
      </c>
      <c r="Z121" s="747">
        <v>4528</v>
      </c>
      <c r="AA121" s="747">
        <v>4272</v>
      </c>
      <c r="AC121" s="628">
        <f t="shared" si="12"/>
        <v>110</v>
      </c>
      <c r="AD121" s="627">
        <f t="shared" si="13"/>
        <v>9</v>
      </c>
      <c r="AE121" s="627">
        <f t="shared" si="17"/>
        <v>109</v>
      </c>
      <c r="AF121" s="627">
        <f t="shared" si="17"/>
        <v>52</v>
      </c>
      <c r="AG121" s="627">
        <f t="shared" si="17"/>
        <v>33</v>
      </c>
      <c r="AH121" s="627">
        <f t="shared" si="17"/>
        <v>125</v>
      </c>
      <c r="AI121" s="627">
        <f t="shared" si="17"/>
        <v>226</v>
      </c>
      <c r="AJ121" s="627">
        <f t="shared" si="17"/>
        <v>413</v>
      </c>
      <c r="AK121" s="627">
        <f t="shared" si="17"/>
        <v>198</v>
      </c>
      <c r="AL121" s="627">
        <f t="shared" si="17"/>
        <v>58</v>
      </c>
      <c r="AM121" s="627">
        <f t="shared" si="17"/>
        <v>101</v>
      </c>
      <c r="AN121" s="627">
        <f t="shared" si="17"/>
        <v>75</v>
      </c>
      <c r="AO121" s="627">
        <f t="shared" si="17"/>
        <v>74</v>
      </c>
      <c r="AP121" s="627">
        <f t="shared" si="17"/>
        <v>69</v>
      </c>
      <c r="AQ121" s="627">
        <f t="shared" si="17"/>
        <v>28</v>
      </c>
      <c r="AR121" s="627">
        <f t="shared" si="17"/>
        <v>21</v>
      </c>
      <c r="AS121" s="627">
        <f t="shared" si="17"/>
        <v>43</v>
      </c>
      <c r="AT121" s="627">
        <f t="shared" si="17"/>
        <v>29</v>
      </c>
      <c r="AU121" s="627">
        <f t="shared" si="16"/>
        <v>75</v>
      </c>
      <c r="AV121" s="627">
        <f t="shared" si="16"/>
        <v>21</v>
      </c>
      <c r="AW121" s="627">
        <f t="shared" si="16"/>
        <v>118</v>
      </c>
      <c r="AX121" s="627">
        <f t="shared" si="16"/>
        <v>160</v>
      </c>
      <c r="AY121" s="627">
        <f t="shared" si="16"/>
        <v>206</v>
      </c>
      <c r="AZ121" s="627">
        <f t="shared" si="16"/>
        <v>386</v>
      </c>
      <c r="BA121" s="627">
        <f t="shared" si="16"/>
        <v>256</v>
      </c>
    </row>
    <row r="122" spans="1:53">
      <c r="A122" s="105">
        <f t="shared" si="11"/>
        <v>111</v>
      </c>
      <c r="B122" s="745">
        <v>42480</v>
      </c>
      <c r="C122" s="746" t="s">
        <v>1772</v>
      </c>
      <c r="D122" s="747">
        <v>4138</v>
      </c>
      <c r="E122" s="747">
        <v>4019</v>
      </c>
      <c r="F122" s="747">
        <v>3965</v>
      </c>
      <c r="G122" s="747">
        <v>4005</v>
      </c>
      <c r="H122" s="747">
        <v>4116</v>
      </c>
      <c r="I122" s="747">
        <v>4305</v>
      </c>
      <c r="J122" s="747">
        <v>4678</v>
      </c>
      <c r="K122" s="747">
        <v>4850</v>
      </c>
      <c r="L122" s="747">
        <v>4842</v>
      </c>
      <c r="M122" s="747">
        <v>4834</v>
      </c>
      <c r="N122" s="747">
        <v>4840</v>
      </c>
      <c r="O122" s="747">
        <v>4807</v>
      </c>
      <c r="P122" s="747">
        <v>4773</v>
      </c>
      <c r="Q122" s="747">
        <v>4735</v>
      </c>
      <c r="R122" s="747">
        <v>4686</v>
      </c>
      <c r="S122" s="747">
        <v>4685</v>
      </c>
      <c r="T122" s="747">
        <v>4689</v>
      </c>
      <c r="U122" s="747">
        <v>4682</v>
      </c>
      <c r="V122" s="747">
        <v>4701</v>
      </c>
      <c r="W122" s="747">
        <v>4801</v>
      </c>
      <c r="X122" s="747">
        <v>5006</v>
      </c>
      <c r="Y122" s="747">
        <v>4811</v>
      </c>
      <c r="Z122" s="747">
        <v>4421</v>
      </c>
      <c r="AA122" s="747">
        <v>4106</v>
      </c>
      <c r="AC122" s="628">
        <f t="shared" si="12"/>
        <v>111</v>
      </c>
      <c r="AD122" s="627">
        <f t="shared" si="13"/>
        <v>134</v>
      </c>
      <c r="AE122" s="627">
        <f t="shared" si="17"/>
        <v>119</v>
      </c>
      <c r="AF122" s="627">
        <f t="shared" si="17"/>
        <v>54</v>
      </c>
      <c r="AG122" s="627">
        <f t="shared" si="17"/>
        <v>40</v>
      </c>
      <c r="AH122" s="627">
        <f t="shared" si="17"/>
        <v>111</v>
      </c>
      <c r="AI122" s="627">
        <f t="shared" si="17"/>
        <v>189</v>
      </c>
      <c r="AJ122" s="627">
        <f t="shared" si="17"/>
        <v>373</v>
      </c>
      <c r="AK122" s="627">
        <f t="shared" si="17"/>
        <v>172</v>
      </c>
      <c r="AL122" s="627">
        <f t="shared" si="17"/>
        <v>8</v>
      </c>
      <c r="AM122" s="627">
        <f t="shared" si="17"/>
        <v>8</v>
      </c>
      <c r="AN122" s="627">
        <f t="shared" si="17"/>
        <v>6</v>
      </c>
      <c r="AO122" s="627">
        <f t="shared" si="17"/>
        <v>33</v>
      </c>
      <c r="AP122" s="627">
        <f t="shared" si="17"/>
        <v>34</v>
      </c>
      <c r="AQ122" s="627">
        <f t="shared" si="17"/>
        <v>38</v>
      </c>
      <c r="AR122" s="627">
        <f t="shared" si="17"/>
        <v>49</v>
      </c>
      <c r="AS122" s="627">
        <f t="shared" si="17"/>
        <v>1</v>
      </c>
      <c r="AT122" s="627">
        <f t="shared" si="17"/>
        <v>4</v>
      </c>
      <c r="AU122" s="627">
        <f t="shared" si="16"/>
        <v>7</v>
      </c>
      <c r="AV122" s="627">
        <f t="shared" si="16"/>
        <v>19</v>
      </c>
      <c r="AW122" s="627">
        <f t="shared" si="16"/>
        <v>100</v>
      </c>
      <c r="AX122" s="627">
        <f t="shared" si="16"/>
        <v>205</v>
      </c>
      <c r="AY122" s="627">
        <f t="shared" si="16"/>
        <v>195</v>
      </c>
      <c r="AZ122" s="627">
        <f t="shared" si="16"/>
        <v>390</v>
      </c>
      <c r="BA122" s="627">
        <f t="shared" si="16"/>
        <v>315</v>
      </c>
    </row>
    <row r="123" spans="1:53">
      <c r="A123" s="105">
        <f t="shared" si="11"/>
        <v>112</v>
      </c>
      <c r="B123" s="745">
        <v>42481</v>
      </c>
      <c r="C123" s="746" t="s">
        <v>1772</v>
      </c>
      <c r="D123" s="747">
        <v>3963</v>
      </c>
      <c r="E123" s="747">
        <v>3896</v>
      </c>
      <c r="F123" s="747">
        <v>3916</v>
      </c>
      <c r="G123" s="747">
        <v>3938</v>
      </c>
      <c r="H123" s="747">
        <v>4008</v>
      </c>
      <c r="I123" s="747">
        <v>4360</v>
      </c>
      <c r="J123" s="747">
        <v>4608</v>
      </c>
      <c r="K123" s="747">
        <v>4711</v>
      </c>
      <c r="L123" s="747">
        <v>4664</v>
      </c>
      <c r="M123" s="747">
        <v>4662</v>
      </c>
      <c r="N123" s="747">
        <v>4673</v>
      </c>
      <c r="O123" s="747">
        <v>4721</v>
      </c>
      <c r="P123" s="747">
        <v>4704</v>
      </c>
      <c r="Q123" s="747">
        <v>4716</v>
      </c>
      <c r="R123" s="747">
        <v>4723</v>
      </c>
      <c r="S123" s="747">
        <v>4663</v>
      </c>
      <c r="T123" s="747">
        <v>4702</v>
      </c>
      <c r="U123" s="747">
        <v>4746</v>
      </c>
      <c r="V123" s="747">
        <v>4762</v>
      </c>
      <c r="W123" s="747">
        <v>4783</v>
      </c>
      <c r="X123" s="747">
        <v>4961</v>
      </c>
      <c r="Y123" s="747">
        <v>4753</v>
      </c>
      <c r="Z123" s="747">
        <v>4295</v>
      </c>
      <c r="AA123" s="747">
        <v>3941</v>
      </c>
      <c r="AC123" s="628">
        <f t="shared" si="12"/>
        <v>112</v>
      </c>
      <c r="AD123" s="627">
        <f t="shared" si="13"/>
        <v>143</v>
      </c>
      <c r="AE123" s="627">
        <f t="shared" si="17"/>
        <v>67</v>
      </c>
      <c r="AF123" s="627">
        <f t="shared" si="17"/>
        <v>20</v>
      </c>
      <c r="AG123" s="627">
        <f t="shared" si="17"/>
        <v>22</v>
      </c>
      <c r="AH123" s="627">
        <f t="shared" si="17"/>
        <v>70</v>
      </c>
      <c r="AI123" s="627">
        <f t="shared" si="17"/>
        <v>352</v>
      </c>
      <c r="AJ123" s="627">
        <f t="shared" si="17"/>
        <v>248</v>
      </c>
      <c r="AK123" s="627">
        <f t="shared" si="17"/>
        <v>103</v>
      </c>
      <c r="AL123" s="627">
        <f t="shared" si="17"/>
        <v>47</v>
      </c>
      <c r="AM123" s="627">
        <f t="shared" si="17"/>
        <v>2</v>
      </c>
      <c r="AN123" s="627">
        <f t="shared" si="17"/>
        <v>11</v>
      </c>
      <c r="AO123" s="627">
        <f t="shared" si="17"/>
        <v>48</v>
      </c>
      <c r="AP123" s="627">
        <f t="shared" si="17"/>
        <v>17</v>
      </c>
      <c r="AQ123" s="627">
        <f t="shared" si="17"/>
        <v>12</v>
      </c>
      <c r="AR123" s="627">
        <f t="shared" si="17"/>
        <v>7</v>
      </c>
      <c r="AS123" s="627">
        <f t="shared" si="17"/>
        <v>60</v>
      </c>
      <c r="AT123" s="627">
        <f t="shared" ref="AT123:AT132" si="18">ABS(T123-S123)</f>
        <v>39</v>
      </c>
      <c r="AU123" s="627">
        <f t="shared" si="16"/>
        <v>44</v>
      </c>
      <c r="AV123" s="627">
        <f t="shared" si="16"/>
        <v>16</v>
      </c>
      <c r="AW123" s="627">
        <f t="shared" si="16"/>
        <v>21</v>
      </c>
      <c r="AX123" s="627">
        <f t="shared" si="16"/>
        <v>178</v>
      </c>
      <c r="AY123" s="627">
        <f t="shared" si="16"/>
        <v>208</v>
      </c>
      <c r="AZ123" s="627">
        <f t="shared" si="16"/>
        <v>458</v>
      </c>
      <c r="BA123" s="627">
        <f t="shared" si="16"/>
        <v>354</v>
      </c>
    </row>
    <row r="124" spans="1:53">
      <c r="A124" s="105">
        <f t="shared" si="11"/>
        <v>113</v>
      </c>
      <c r="B124" s="745">
        <v>42482</v>
      </c>
      <c r="C124" s="746" t="s">
        <v>1772</v>
      </c>
      <c r="D124" s="747">
        <v>3857</v>
      </c>
      <c r="E124" s="747">
        <v>3947</v>
      </c>
      <c r="F124" s="747">
        <v>3859</v>
      </c>
      <c r="G124" s="747">
        <v>3910</v>
      </c>
      <c r="H124" s="747">
        <v>4026</v>
      </c>
      <c r="I124" s="747">
        <v>4245</v>
      </c>
      <c r="J124" s="747">
        <v>4552</v>
      </c>
      <c r="K124" s="747">
        <v>4669</v>
      </c>
      <c r="L124" s="747">
        <v>4674</v>
      </c>
      <c r="M124" s="747">
        <v>4672</v>
      </c>
      <c r="N124" s="747">
        <v>4704</v>
      </c>
      <c r="O124" s="747">
        <v>4793</v>
      </c>
      <c r="P124" s="747">
        <v>4797</v>
      </c>
      <c r="Q124" s="747">
        <v>4849</v>
      </c>
      <c r="R124" s="747">
        <v>4751</v>
      </c>
      <c r="S124" s="747">
        <v>4726</v>
      </c>
      <c r="T124" s="747">
        <v>4859</v>
      </c>
      <c r="U124" s="747">
        <v>4885</v>
      </c>
      <c r="V124" s="747">
        <v>4819</v>
      </c>
      <c r="W124" s="747">
        <v>4838</v>
      </c>
      <c r="X124" s="747">
        <v>4944</v>
      </c>
      <c r="Y124" s="747">
        <v>4759</v>
      </c>
      <c r="Z124" s="747">
        <v>4422</v>
      </c>
      <c r="AA124" s="747">
        <v>4085</v>
      </c>
      <c r="AC124" s="628">
        <f t="shared" si="12"/>
        <v>113</v>
      </c>
      <c r="AD124" s="627">
        <f t="shared" si="13"/>
        <v>84</v>
      </c>
      <c r="AE124" s="627">
        <f t="shared" ref="AE124:AT140" si="19">ABS(E124-D124)</f>
        <v>90</v>
      </c>
      <c r="AF124" s="627">
        <f t="shared" si="19"/>
        <v>88</v>
      </c>
      <c r="AG124" s="627">
        <f t="shared" si="19"/>
        <v>51</v>
      </c>
      <c r="AH124" s="627">
        <f t="shared" si="19"/>
        <v>116</v>
      </c>
      <c r="AI124" s="627">
        <f t="shared" si="19"/>
        <v>219</v>
      </c>
      <c r="AJ124" s="627">
        <f t="shared" si="19"/>
        <v>307</v>
      </c>
      <c r="AK124" s="627">
        <f t="shared" si="19"/>
        <v>117</v>
      </c>
      <c r="AL124" s="627">
        <f t="shared" si="19"/>
        <v>5</v>
      </c>
      <c r="AM124" s="627">
        <f t="shared" si="19"/>
        <v>2</v>
      </c>
      <c r="AN124" s="627">
        <f t="shared" si="19"/>
        <v>32</v>
      </c>
      <c r="AO124" s="627">
        <f t="shared" si="19"/>
        <v>89</v>
      </c>
      <c r="AP124" s="627">
        <f t="shared" si="19"/>
        <v>4</v>
      </c>
      <c r="AQ124" s="627">
        <f t="shared" si="19"/>
        <v>52</v>
      </c>
      <c r="AR124" s="627">
        <f t="shared" si="19"/>
        <v>98</v>
      </c>
      <c r="AS124" s="627">
        <f t="shared" si="19"/>
        <v>25</v>
      </c>
      <c r="AT124" s="627">
        <f t="shared" si="18"/>
        <v>133</v>
      </c>
      <c r="AU124" s="627">
        <f t="shared" si="16"/>
        <v>26</v>
      </c>
      <c r="AV124" s="627">
        <f t="shared" si="16"/>
        <v>66</v>
      </c>
      <c r="AW124" s="627">
        <f t="shared" si="16"/>
        <v>19</v>
      </c>
      <c r="AX124" s="627">
        <f t="shared" si="16"/>
        <v>106</v>
      </c>
      <c r="AY124" s="627">
        <f t="shared" si="16"/>
        <v>185</v>
      </c>
      <c r="AZ124" s="627">
        <f t="shared" si="16"/>
        <v>337</v>
      </c>
      <c r="BA124" s="627">
        <f t="shared" si="16"/>
        <v>337</v>
      </c>
    </row>
    <row r="125" spans="1:53">
      <c r="A125" s="105">
        <f t="shared" si="11"/>
        <v>114</v>
      </c>
      <c r="B125" s="745">
        <v>42483</v>
      </c>
      <c r="C125" s="746" t="s">
        <v>1772</v>
      </c>
      <c r="D125" s="747">
        <v>3930</v>
      </c>
      <c r="E125" s="747">
        <v>3776</v>
      </c>
      <c r="F125" s="747">
        <v>3731</v>
      </c>
      <c r="G125" s="747">
        <v>3676</v>
      </c>
      <c r="H125" s="747">
        <v>3642</v>
      </c>
      <c r="I125" s="747">
        <v>3677</v>
      </c>
      <c r="J125" s="747">
        <v>3752</v>
      </c>
      <c r="K125" s="747">
        <v>3982</v>
      </c>
      <c r="L125" s="747">
        <v>4225</v>
      </c>
      <c r="M125" s="747">
        <v>4346</v>
      </c>
      <c r="N125" s="747">
        <v>4396</v>
      </c>
      <c r="O125" s="747">
        <v>4376</v>
      </c>
      <c r="P125" s="747">
        <v>4291</v>
      </c>
      <c r="Q125" s="747">
        <v>4237</v>
      </c>
      <c r="R125" s="747">
        <v>4220</v>
      </c>
      <c r="S125" s="747">
        <v>4346</v>
      </c>
      <c r="T125" s="747">
        <v>4447</v>
      </c>
      <c r="U125" s="747">
        <v>4523</v>
      </c>
      <c r="V125" s="747">
        <v>4527</v>
      </c>
      <c r="W125" s="747">
        <v>4566</v>
      </c>
      <c r="X125" s="747">
        <v>4681</v>
      </c>
      <c r="Y125" s="747">
        <v>4553</v>
      </c>
      <c r="Z125" s="747">
        <v>4409</v>
      </c>
      <c r="AA125" s="747">
        <v>4226</v>
      </c>
      <c r="AC125" s="628">
        <f t="shared" si="12"/>
        <v>114</v>
      </c>
      <c r="AD125" s="627">
        <f t="shared" si="13"/>
        <v>155</v>
      </c>
      <c r="AE125" s="627">
        <f t="shared" si="19"/>
        <v>154</v>
      </c>
      <c r="AF125" s="627">
        <f t="shared" si="19"/>
        <v>45</v>
      </c>
      <c r="AG125" s="627">
        <f t="shared" si="19"/>
        <v>55</v>
      </c>
      <c r="AH125" s="627">
        <f t="shared" si="19"/>
        <v>34</v>
      </c>
      <c r="AI125" s="627">
        <f t="shared" si="19"/>
        <v>35</v>
      </c>
      <c r="AJ125" s="627">
        <f t="shared" si="19"/>
        <v>75</v>
      </c>
      <c r="AK125" s="627">
        <f t="shared" si="19"/>
        <v>230</v>
      </c>
      <c r="AL125" s="627">
        <f t="shared" si="19"/>
        <v>243</v>
      </c>
      <c r="AM125" s="627">
        <f t="shared" si="19"/>
        <v>121</v>
      </c>
      <c r="AN125" s="627">
        <f t="shared" si="19"/>
        <v>50</v>
      </c>
      <c r="AO125" s="627">
        <f t="shared" si="19"/>
        <v>20</v>
      </c>
      <c r="AP125" s="627">
        <f t="shared" si="19"/>
        <v>85</v>
      </c>
      <c r="AQ125" s="627">
        <f t="shared" si="19"/>
        <v>54</v>
      </c>
      <c r="AR125" s="627">
        <f t="shared" si="19"/>
        <v>17</v>
      </c>
      <c r="AS125" s="627">
        <f t="shared" si="19"/>
        <v>126</v>
      </c>
      <c r="AT125" s="627">
        <f t="shared" si="18"/>
        <v>101</v>
      </c>
      <c r="AU125" s="627">
        <f t="shared" si="16"/>
        <v>76</v>
      </c>
      <c r="AV125" s="627">
        <f t="shared" si="16"/>
        <v>4</v>
      </c>
      <c r="AW125" s="627">
        <f t="shared" si="16"/>
        <v>39</v>
      </c>
      <c r="AX125" s="627">
        <f t="shared" si="16"/>
        <v>115</v>
      </c>
      <c r="AY125" s="627">
        <f t="shared" si="16"/>
        <v>128</v>
      </c>
      <c r="AZ125" s="627">
        <f t="shared" si="16"/>
        <v>144</v>
      </c>
      <c r="BA125" s="627">
        <f t="shared" si="16"/>
        <v>183</v>
      </c>
    </row>
    <row r="126" spans="1:53">
      <c r="A126" s="105">
        <f t="shared" si="11"/>
        <v>115</v>
      </c>
      <c r="B126" s="745">
        <v>42484</v>
      </c>
      <c r="C126" s="746" t="s">
        <v>1772</v>
      </c>
      <c r="D126" s="747">
        <v>3961</v>
      </c>
      <c r="E126" s="747">
        <v>3881</v>
      </c>
      <c r="F126" s="747">
        <v>3674</v>
      </c>
      <c r="G126" s="747">
        <v>3582</v>
      </c>
      <c r="H126" s="747">
        <v>3506</v>
      </c>
      <c r="I126" s="747">
        <v>3578</v>
      </c>
      <c r="J126" s="747">
        <v>3624</v>
      </c>
      <c r="K126" s="747">
        <v>3715</v>
      </c>
      <c r="L126" s="747">
        <v>3851</v>
      </c>
      <c r="M126" s="747">
        <v>4042</v>
      </c>
      <c r="N126" s="747">
        <v>4107</v>
      </c>
      <c r="O126" s="747">
        <v>4142</v>
      </c>
      <c r="P126" s="747">
        <v>4126</v>
      </c>
      <c r="Q126" s="747">
        <v>4094</v>
      </c>
      <c r="R126" s="747">
        <v>4050</v>
      </c>
      <c r="S126" s="747">
        <v>4063</v>
      </c>
      <c r="T126" s="747">
        <v>4185</v>
      </c>
      <c r="U126" s="747">
        <v>4415</v>
      </c>
      <c r="V126" s="747">
        <v>4423</v>
      </c>
      <c r="W126" s="747">
        <v>4492</v>
      </c>
      <c r="X126" s="747">
        <v>4678</v>
      </c>
      <c r="Y126" s="747">
        <v>4484</v>
      </c>
      <c r="Z126" s="747">
        <v>4146</v>
      </c>
      <c r="AA126" s="747">
        <v>3894</v>
      </c>
      <c r="AC126" s="628">
        <f t="shared" si="12"/>
        <v>115</v>
      </c>
      <c r="AD126" s="627">
        <f t="shared" si="13"/>
        <v>265</v>
      </c>
      <c r="AE126" s="627">
        <f t="shared" si="19"/>
        <v>80</v>
      </c>
      <c r="AF126" s="627">
        <f t="shared" si="19"/>
        <v>207</v>
      </c>
      <c r="AG126" s="627">
        <f t="shared" si="19"/>
        <v>92</v>
      </c>
      <c r="AH126" s="627">
        <f t="shared" si="19"/>
        <v>76</v>
      </c>
      <c r="AI126" s="627">
        <f t="shared" si="19"/>
        <v>72</v>
      </c>
      <c r="AJ126" s="627">
        <f t="shared" si="19"/>
        <v>46</v>
      </c>
      <c r="AK126" s="627">
        <f t="shared" si="19"/>
        <v>91</v>
      </c>
      <c r="AL126" s="627">
        <f t="shared" si="19"/>
        <v>136</v>
      </c>
      <c r="AM126" s="627">
        <f t="shared" si="19"/>
        <v>191</v>
      </c>
      <c r="AN126" s="627">
        <f t="shared" si="19"/>
        <v>65</v>
      </c>
      <c r="AO126" s="627">
        <f t="shared" si="19"/>
        <v>35</v>
      </c>
      <c r="AP126" s="627">
        <f t="shared" si="19"/>
        <v>16</v>
      </c>
      <c r="AQ126" s="627">
        <f t="shared" si="19"/>
        <v>32</v>
      </c>
      <c r="AR126" s="627">
        <f t="shared" si="19"/>
        <v>44</v>
      </c>
      <c r="AS126" s="627">
        <f t="shared" si="19"/>
        <v>13</v>
      </c>
      <c r="AT126" s="627">
        <f t="shared" si="18"/>
        <v>122</v>
      </c>
      <c r="AU126" s="627">
        <f t="shared" si="16"/>
        <v>230</v>
      </c>
      <c r="AV126" s="627">
        <f t="shared" si="16"/>
        <v>8</v>
      </c>
      <c r="AW126" s="627">
        <f t="shared" si="16"/>
        <v>69</v>
      </c>
      <c r="AX126" s="627">
        <f t="shared" si="16"/>
        <v>186</v>
      </c>
      <c r="AY126" s="627">
        <f t="shared" si="16"/>
        <v>194</v>
      </c>
      <c r="AZ126" s="627">
        <f t="shared" si="16"/>
        <v>338</v>
      </c>
      <c r="BA126" s="627">
        <f t="shared" si="16"/>
        <v>252</v>
      </c>
    </row>
    <row r="127" spans="1:53">
      <c r="A127" s="105">
        <f t="shared" si="11"/>
        <v>116</v>
      </c>
      <c r="B127" s="745">
        <v>42485</v>
      </c>
      <c r="C127" s="746" t="s">
        <v>1772</v>
      </c>
      <c r="D127" s="747">
        <v>3708</v>
      </c>
      <c r="E127" s="747">
        <v>3614</v>
      </c>
      <c r="F127" s="747">
        <v>3578</v>
      </c>
      <c r="G127" s="747">
        <v>3585</v>
      </c>
      <c r="H127" s="747">
        <v>3594</v>
      </c>
      <c r="I127" s="747">
        <v>3890</v>
      </c>
      <c r="J127" s="747">
        <v>4260</v>
      </c>
      <c r="K127" s="747">
        <v>4457</v>
      </c>
      <c r="L127" s="747">
        <v>4563</v>
      </c>
      <c r="M127" s="747">
        <v>4643</v>
      </c>
      <c r="N127" s="747">
        <v>4710</v>
      </c>
      <c r="O127" s="747">
        <v>4689</v>
      </c>
      <c r="P127" s="747">
        <v>4757</v>
      </c>
      <c r="Q127" s="747">
        <v>4780</v>
      </c>
      <c r="R127" s="747">
        <v>4841</v>
      </c>
      <c r="S127" s="747">
        <v>4874</v>
      </c>
      <c r="T127" s="747">
        <v>4912</v>
      </c>
      <c r="U127" s="747">
        <v>4967</v>
      </c>
      <c r="V127" s="747">
        <v>4973</v>
      </c>
      <c r="W127" s="747">
        <v>5032</v>
      </c>
      <c r="X127" s="747">
        <v>5045</v>
      </c>
      <c r="Y127" s="747">
        <v>4800</v>
      </c>
      <c r="Z127" s="747">
        <v>4404</v>
      </c>
      <c r="AA127" s="747">
        <v>4211</v>
      </c>
      <c r="AC127" s="628">
        <f t="shared" si="12"/>
        <v>116</v>
      </c>
      <c r="AD127" s="627">
        <f t="shared" si="13"/>
        <v>186</v>
      </c>
      <c r="AE127" s="627">
        <f t="shared" si="19"/>
        <v>94</v>
      </c>
      <c r="AF127" s="627">
        <f t="shared" si="19"/>
        <v>36</v>
      </c>
      <c r="AG127" s="627">
        <f t="shared" si="19"/>
        <v>7</v>
      </c>
      <c r="AH127" s="627">
        <f t="shared" si="19"/>
        <v>9</v>
      </c>
      <c r="AI127" s="627">
        <f t="shared" si="19"/>
        <v>296</v>
      </c>
      <c r="AJ127" s="627">
        <f t="shared" si="19"/>
        <v>370</v>
      </c>
      <c r="AK127" s="627">
        <f t="shared" si="19"/>
        <v>197</v>
      </c>
      <c r="AL127" s="627">
        <f t="shared" si="19"/>
        <v>106</v>
      </c>
      <c r="AM127" s="627">
        <f t="shared" si="19"/>
        <v>80</v>
      </c>
      <c r="AN127" s="627">
        <f t="shared" si="19"/>
        <v>67</v>
      </c>
      <c r="AO127" s="627">
        <f t="shared" si="19"/>
        <v>21</v>
      </c>
      <c r="AP127" s="627">
        <f t="shared" si="19"/>
        <v>68</v>
      </c>
      <c r="AQ127" s="627">
        <f t="shared" si="19"/>
        <v>23</v>
      </c>
      <c r="AR127" s="627">
        <f t="shared" si="19"/>
        <v>61</v>
      </c>
      <c r="AS127" s="627">
        <f t="shared" si="19"/>
        <v>33</v>
      </c>
      <c r="AT127" s="627">
        <f t="shared" si="18"/>
        <v>38</v>
      </c>
      <c r="AU127" s="627">
        <f t="shared" si="16"/>
        <v>55</v>
      </c>
      <c r="AV127" s="627">
        <f t="shared" si="16"/>
        <v>6</v>
      </c>
      <c r="AW127" s="627">
        <f t="shared" si="16"/>
        <v>59</v>
      </c>
      <c r="AX127" s="627">
        <f t="shared" si="16"/>
        <v>13</v>
      </c>
      <c r="AY127" s="627">
        <f t="shared" si="16"/>
        <v>245</v>
      </c>
      <c r="AZ127" s="627">
        <f t="shared" si="16"/>
        <v>396</v>
      </c>
      <c r="BA127" s="627">
        <f t="shared" si="16"/>
        <v>193</v>
      </c>
    </row>
    <row r="128" spans="1:53">
      <c r="A128" s="105">
        <f t="shared" si="11"/>
        <v>117</v>
      </c>
      <c r="B128" s="745">
        <v>42486</v>
      </c>
      <c r="C128" s="746" t="s">
        <v>1772</v>
      </c>
      <c r="D128" s="747">
        <v>4055</v>
      </c>
      <c r="E128" s="747">
        <v>3929</v>
      </c>
      <c r="F128" s="747">
        <v>3890</v>
      </c>
      <c r="G128" s="747">
        <v>3880</v>
      </c>
      <c r="H128" s="747">
        <v>3894</v>
      </c>
      <c r="I128" s="747">
        <v>4168</v>
      </c>
      <c r="J128" s="747">
        <v>4543</v>
      </c>
      <c r="K128" s="747">
        <v>4656</v>
      </c>
      <c r="L128" s="747">
        <v>4685</v>
      </c>
      <c r="M128" s="747">
        <v>4707</v>
      </c>
      <c r="N128" s="747">
        <v>4759</v>
      </c>
      <c r="O128" s="747">
        <v>4789</v>
      </c>
      <c r="P128" s="747">
        <v>4810</v>
      </c>
      <c r="Q128" s="747">
        <v>4875</v>
      </c>
      <c r="R128" s="747">
        <v>4895</v>
      </c>
      <c r="S128" s="747">
        <v>4923</v>
      </c>
      <c r="T128" s="747">
        <v>4933</v>
      </c>
      <c r="U128" s="747">
        <v>4979</v>
      </c>
      <c r="V128" s="747">
        <v>4969</v>
      </c>
      <c r="W128" s="747">
        <v>5024</v>
      </c>
      <c r="X128" s="747">
        <v>5172</v>
      </c>
      <c r="Y128" s="747">
        <v>4919</v>
      </c>
      <c r="Z128" s="747">
        <v>4646</v>
      </c>
      <c r="AA128" s="747">
        <v>4418</v>
      </c>
      <c r="AC128" s="628">
        <f t="shared" si="12"/>
        <v>117</v>
      </c>
      <c r="AD128" s="627">
        <f t="shared" si="13"/>
        <v>156</v>
      </c>
      <c r="AE128" s="627">
        <f t="shared" si="19"/>
        <v>126</v>
      </c>
      <c r="AF128" s="627">
        <f t="shared" si="19"/>
        <v>39</v>
      </c>
      <c r="AG128" s="627">
        <f t="shared" si="19"/>
        <v>10</v>
      </c>
      <c r="AH128" s="627">
        <f t="shared" si="19"/>
        <v>14</v>
      </c>
      <c r="AI128" s="627">
        <f t="shared" si="19"/>
        <v>274</v>
      </c>
      <c r="AJ128" s="627">
        <f t="shared" si="19"/>
        <v>375</v>
      </c>
      <c r="AK128" s="627">
        <f t="shared" si="19"/>
        <v>113</v>
      </c>
      <c r="AL128" s="627">
        <f t="shared" si="19"/>
        <v>29</v>
      </c>
      <c r="AM128" s="627">
        <f t="shared" si="19"/>
        <v>22</v>
      </c>
      <c r="AN128" s="627">
        <f t="shared" si="19"/>
        <v>52</v>
      </c>
      <c r="AO128" s="627">
        <f t="shared" si="19"/>
        <v>30</v>
      </c>
      <c r="AP128" s="627">
        <f t="shared" si="19"/>
        <v>21</v>
      </c>
      <c r="AQ128" s="627">
        <f t="shared" si="19"/>
        <v>65</v>
      </c>
      <c r="AR128" s="627">
        <f t="shared" si="19"/>
        <v>20</v>
      </c>
      <c r="AS128" s="627">
        <f t="shared" si="19"/>
        <v>28</v>
      </c>
      <c r="AT128" s="627">
        <f t="shared" si="18"/>
        <v>10</v>
      </c>
      <c r="AU128" s="627">
        <f t="shared" si="16"/>
        <v>46</v>
      </c>
      <c r="AV128" s="627">
        <f t="shared" si="16"/>
        <v>10</v>
      </c>
      <c r="AW128" s="627">
        <f t="shared" si="16"/>
        <v>55</v>
      </c>
      <c r="AX128" s="627">
        <f t="shared" si="16"/>
        <v>148</v>
      </c>
      <c r="AY128" s="627">
        <f t="shared" si="16"/>
        <v>253</v>
      </c>
      <c r="AZ128" s="627">
        <f t="shared" si="16"/>
        <v>273</v>
      </c>
      <c r="BA128" s="627">
        <f t="shared" si="16"/>
        <v>228</v>
      </c>
    </row>
    <row r="129" spans="1:53">
      <c r="A129" s="105">
        <f t="shared" si="11"/>
        <v>118</v>
      </c>
      <c r="B129" s="745">
        <v>42487</v>
      </c>
      <c r="C129" s="746" t="s">
        <v>1772</v>
      </c>
      <c r="D129" s="747">
        <v>4251</v>
      </c>
      <c r="E129" s="747">
        <v>4150</v>
      </c>
      <c r="F129" s="747">
        <v>4066</v>
      </c>
      <c r="G129" s="747">
        <v>4052</v>
      </c>
      <c r="H129" s="747">
        <v>4133</v>
      </c>
      <c r="I129" s="747">
        <v>4414</v>
      </c>
      <c r="J129" s="747">
        <v>4684</v>
      </c>
      <c r="K129" s="747">
        <v>4774</v>
      </c>
      <c r="L129" s="747">
        <v>4754</v>
      </c>
      <c r="M129" s="747">
        <v>4801</v>
      </c>
      <c r="N129" s="747">
        <v>4799</v>
      </c>
      <c r="O129" s="747">
        <v>4680</v>
      </c>
      <c r="P129" s="747">
        <v>4699</v>
      </c>
      <c r="Q129" s="747">
        <v>4642</v>
      </c>
      <c r="R129" s="747">
        <v>4694</v>
      </c>
      <c r="S129" s="747">
        <v>4667</v>
      </c>
      <c r="T129" s="747">
        <v>4664</v>
      </c>
      <c r="U129" s="747">
        <v>4750</v>
      </c>
      <c r="V129" s="747">
        <v>4759</v>
      </c>
      <c r="W129" s="747">
        <v>4893</v>
      </c>
      <c r="X129" s="747">
        <v>5051</v>
      </c>
      <c r="Y129" s="747">
        <v>4848</v>
      </c>
      <c r="Z129" s="747">
        <v>4448</v>
      </c>
      <c r="AA129" s="747">
        <v>4094</v>
      </c>
      <c r="AC129" s="628">
        <f t="shared" si="12"/>
        <v>118</v>
      </c>
      <c r="AD129" s="627">
        <f t="shared" si="13"/>
        <v>167</v>
      </c>
      <c r="AE129" s="627">
        <f t="shared" si="19"/>
        <v>101</v>
      </c>
      <c r="AF129" s="627">
        <f t="shared" si="19"/>
        <v>84</v>
      </c>
      <c r="AG129" s="627">
        <f t="shared" si="19"/>
        <v>14</v>
      </c>
      <c r="AH129" s="627">
        <f t="shared" si="19"/>
        <v>81</v>
      </c>
      <c r="AI129" s="627">
        <f t="shared" si="19"/>
        <v>281</v>
      </c>
      <c r="AJ129" s="627">
        <f t="shared" si="19"/>
        <v>270</v>
      </c>
      <c r="AK129" s="627">
        <f t="shared" si="19"/>
        <v>90</v>
      </c>
      <c r="AL129" s="627">
        <f t="shared" si="19"/>
        <v>20</v>
      </c>
      <c r="AM129" s="627">
        <f t="shared" si="19"/>
        <v>47</v>
      </c>
      <c r="AN129" s="627">
        <f t="shared" si="19"/>
        <v>2</v>
      </c>
      <c r="AO129" s="627">
        <f t="shared" si="19"/>
        <v>119</v>
      </c>
      <c r="AP129" s="627">
        <f t="shared" si="19"/>
        <v>19</v>
      </c>
      <c r="AQ129" s="627">
        <f t="shared" si="19"/>
        <v>57</v>
      </c>
      <c r="AR129" s="627">
        <f t="shared" si="19"/>
        <v>52</v>
      </c>
      <c r="AS129" s="627">
        <f t="shared" si="19"/>
        <v>27</v>
      </c>
      <c r="AT129" s="627">
        <f t="shared" si="18"/>
        <v>3</v>
      </c>
      <c r="AU129" s="627">
        <f t="shared" si="16"/>
        <v>86</v>
      </c>
      <c r="AV129" s="627">
        <f t="shared" si="16"/>
        <v>9</v>
      </c>
      <c r="AW129" s="627">
        <f t="shared" si="16"/>
        <v>134</v>
      </c>
      <c r="AX129" s="627">
        <f t="shared" si="16"/>
        <v>158</v>
      </c>
      <c r="AY129" s="627">
        <f t="shared" si="16"/>
        <v>203</v>
      </c>
      <c r="AZ129" s="627">
        <f t="shared" si="16"/>
        <v>400</v>
      </c>
      <c r="BA129" s="627">
        <f t="shared" si="16"/>
        <v>354</v>
      </c>
    </row>
    <row r="130" spans="1:53">
      <c r="A130" s="105">
        <f t="shared" si="11"/>
        <v>119</v>
      </c>
      <c r="B130" s="745">
        <v>42488</v>
      </c>
      <c r="C130" s="746" t="s">
        <v>1772</v>
      </c>
      <c r="D130" s="747">
        <v>4029</v>
      </c>
      <c r="E130" s="747">
        <v>3899</v>
      </c>
      <c r="F130" s="747">
        <v>3916</v>
      </c>
      <c r="G130" s="747">
        <v>3915</v>
      </c>
      <c r="H130" s="747">
        <v>4034</v>
      </c>
      <c r="I130" s="747">
        <v>4212</v>
      </c>
      <c r="J130" s="747">
        <v>4645</v>
      </c>
      <c r="K130" s="747">
        <v>4925</v>
      </c>
      <c r="L130" s="747">
        <v>5068</v>
      </c>
      <c r="M130" s="747">
        <v>5095</v>
      </c>
      <c r="N130" s="747">
        <v>5111</v>
      </c>
      <c r="O130" s="747">
        <v>5186</v>
      </c>
      <c r="P130" s="747">
        <v>5163</v>
      </c>
      <c r="Q130" s="747">
        <v>5185</v>
      </c>
      <c r="R130" s="747">
        <v>5149</v>
      </c>
      <c r="S130" s="747">
        <v>5096</v>
      </c>
      <c r="T130" s="747">
        <v>5134</v>
      </c>
      <c r="U130" s="747">
        <v>5210</v>
      </c>
      <c r="V130" s="747">
        <v>5189</v>
      </c>
      <c r="W130" s="747">
        <v>5239</v>
      </c>
      <c r="X130" s="747">
        <v>5226</v>
      </c>
      <c r="Y130" s="747">
        <v>5001</v>
      </c>
      <c r="Z130" s="747">
        <v>4660</v>
      </c>
      <c r="AA130" s="747">
        <v>4454</v>
      </c>
      <c r="AC130" s="628">
        <f t="shared" si="12"/>
        <v>119</v>
      </c>
      <c r="AD130" s="627">
        <f t="shared" si="13"/>
        <v>65</v>
      </c>
      <c r="AE130" s="627">
        <f t="shared" si="19"/>
        <v>130</v>
      </c>
      <c r="AF130" s="627">
        <f t="shared" si="19"/>
        <v>17</v>
      </c>
      <c r="AG130" s="627">
        <f t="shared" si="19"/>
        <v>1</v>
      </c>
      <c r="AH130" s="627">
        <f t="shared" si="19"/>
        <v>119</v>
      </c>
      <c r="AI130" s="627">
        <f t="shared" si="19"/>
        <v>178</v>
      </c>
      <c r="AJ130" s="627">
        <f t="shared" si="19"/>
        <v>433</v>
      </c>
      <c r="AK130" s="627">
        <f t="shared" si="19"/>
        <v>280</v>
      </c>
      <c r="AL130" s="627">
        <f t="shared" si="19"/>
        <v>143</v>
      </c>
      <c r="AM130" s="627">
        <f t="shared" si="19"/>
        <v>27</v>
      </c>
      <c r="AN130" s="627">
        <f t="shared" si="19"/>
        <v>16</v>
      </c>
      <c r="AO130" s="627">
        <f t="shared" si="19"/>
        <v>75</v>
      </c>
      <c r="AP130" s="627">
        <f t="shared" si="19"/>
        <v>23</v>
      </c>
      <c r="AQ130" s="627">
        <f t="shared" si="19"/>
        <v>22</v>
      </c>
      <c r="AR130" s="627">
        <f t="shared" si="19"/>
        <v>36</v>
      </c>
      <c r="AS130" s="627">
        <f t="shared" si="19"/>
        <v>53</v>
      </c>
      <c r="AT130" s="627">
        <f t="shared" si="18"/>
        <v>38</v>
      </c>
      <c r="AU130" s="627">
        <f t="shared" si="16"/>
        <v>76</v>
      </c>
      <c r="AV130" s="627">
        <f t="shared" si="16"/>
        <v>21</v>
      </c>
      <c r="AW130" s="627">
        <f t="shared" si="16"/>
        <v>50</v>
      </c>
      <c r="AX130" s="627">
        <f t="shared" si="16"/>
        <v>13</v>
      </c>
      <c r="AY130" s="627">
        <f t="shared" si="16"/>
        <v>225</v>
      </c>
      <c r="AZ130" s="627">
        <f t="shared" si="16"/>
        <v>341</v>
      </c>
      <c r="BA130" s="627">
        <f t="shared" si="16"/>
        <v>206</v>
      </c>
    </row>
    <row r="131" spans="1:53">
      <c r="A131" s="105">
        <f t="shared" si="11"/>
        <v>120</v>
      </c>
      <c r="B131" s="745">
        <v>42489</v>
      </c>
      <c r="C131" s="746" t="s">
        <v>1772</v>
      </c>
      <c r="D131" s="747">
        <v>4267</v>
      </c>
      <c r="E131" s="747">
        <v>4232</v>
      </c>
      <c r="F131" s="747">
        <v>4174</v>
      </c>
      <c r="G131" s="747">
        <v>4190</v>
      </c>
      <c r="H131" s="747">
        <v>4248</v>
      </c>
      <c r="I131" s="747">
        <v>4439</v>
      </c>
      <c r="J131" s="747">
        <v>4841</v>
      </c>
      <c r="K131" s="747">
        <v>5048</v>
      </c>
      <c r="L131" s="747">
        <v>5170</v>
      </c>
      <c r="M131" s="747">
        <v>5268</v>
      </c>
      <c r="N131" s="747">
        <v>5247</v>
      </c>
      <c r="O131" s="747">
        <v>5274</v>
      </c>
      <c r="P131" s="747">
        <v>5256</v>
      </c>
      <c r="Q131" s="747">
        <v>5252</v>
      </c>
      <c r="R131" s="747">
        <v>5176</v>
      </c>
      <c r="S131" s="747">
        <v>5084</v>
      </c>
      <c r="T131" s="747">
        <v>5115</v>
      </c>
      <c r="U131" s="747">
        <v>5136</v>
      </c>
      <c r="V131" s="747">
        <v>5100</v>
      </c>
      <c r="W131" s="747">
        <v>5122</v>
      </c>
      <c r="X131" s="747">
        <v>5170</v>
      </c>
      <c r="Y131" s="747">
        <v>5015</v>
      </c>
      <c r="Z131" s="747">
        <v>4716</v>
      </c>
      <c r="AA131" s="747">
        <v>4401</v>
      </c>
      <c r="AC131" s="628">
        <f t="shared" si="12"/>
        <v>120</v>
      </c>
      <c r="AD131" s="627">
        <f t="shared" si="13"/>
        <v>187</v>
      </c>
      <c r="AE131" s="627">
        <f t="shared" si="19"/>
        <v>35</v>
      </c>
      <c r="AF131" s="627">
        <f t="shared" si="19"/>
        <v>58</v>
      </c>
      <c r="AG131" s="627">
        <f t="shared" si="19"/>
        <v>16</v>
      </c>
      <c r="AH131" s="627">
        <f t="shared" si="19"/>
        <v>58</v>
      </c>
      <c r="AI131" s="627">
        <f t="shared" si="19"/>
        <v>191</v>
      </c>
      <c r="AJ131" s="627">
        <f t="shared" si="19"/>
        <v>402</v>
      </c>
      <c r="AK131" s="627">
        <f t="shared" si="19"/>
        <v>207</v>
      </c>
      <c r="AL131" s="627">
        <f t="shared" si="19"/>
        <v>122</v>
      </c>
      <c r="AM131" s="627">
        <f t="shared" si="19"/>
        <v>98</v>
      </c>
      <c r="AN131" s="627">
        <f t="shared" si="19"/>
        <v>21</v>
      </c>
      <c r="AO131" s="627">
        <f t="shared" si="19"/>
        <v>27</v>
      </c>
      <c r="AP131" s="627">
        <f t="shared" si="19"/>
        <v>18</v>
      </c>
      <c r="AQ131" s="627">
        <f t="shared" si="19"/>
        <v>4</v>
      </c>
      <c r="AR131" s="627">
        <f t="shared" si="19"/>
        <v>76</v>
      </c>
      <c r="AS131" s="627">
        <f t="shared" si="19"/>
        <v>92</v>
      </c>
      <c r="AT131" s="627">
        <f t="shared" si="18"/>
        <v>31</v>
      </c>
      <c r="AU131" s="627">
        <f t="shared" si="16"/>
        <v>21</v>
      </c>
      <c r="AV131" s="627">
        <f t="shared" si="16"/>
        <v>36</v>
      </c>
      <c r="AW131" s="627">
        <f t="shared" si="16"/>
        <v>22</v>
      </c>
      <c r="AX131" s="627">
        <f t="shared" si="16"/>
        <v>48</v>
      </c>
      <c r="AY131" s="627">
        <f t="shared" si="16"/>
        <v>155</v>
      </c>
      <c r="AZ131" s="627">
        <f t="shared" si="16"/>
        <v>299</v>
      </c>
      <c r="BA131" s="627">
        <f t="shared" si="16"/>
        <v>315</v>
      </c>
    </row>
    <row r="132" spans="1:53">
      <c r="A132" s="105">
        <f t="shared" si="11"/>
        <v>121</v>
      </c>
      <c r="B132" s="745">
        <v>42490</v>
      </c>
      <c r="C132" s="746" t="s">
        <v>1772</v>
      </c>
      <c r="D132" s="747">
        <v>4194</v>
      </c>
      <c r="E132" s="747">
        <v>4181</v>
      </c>
      <c r="F132" s="747">
        <v>4184</v>
      </c>
      <c r="G132" s="747">
        <v>4146</v>
      </c>
      <c r="H132" s="747">
        <v>4193</v>
      </c>
      <c r="I132" s="747">
        <v>4294</v>
      </c>
      <c r="J132" s="747">
        <v>4375</v>
      </c>
      <c r="K132" s="747">
        <v>4500</v>
      </c>
      <c r="L132" s="747">
        <v>4703</v>
      </c>
      <c r="M132" s="747">
        <v>4761</v>
      </c>
      <c r="N132" s="747">
        <v>4840</v>
      </c>
      <c r="O132" s="747">
        <v>4837</v>
      </c>
      <c r="P132" s="747">
        <v>4791</v>
      </c>
      <c r="Q132" s="747">
        <v>4710</v>
      </c>
      <c r="R132" s="747">
        <v>4653</v>
      </c>
      <c r="S132" s="747">
        <v>4634</v>
      </c>
      <c r="T132" s="747">
        <v>4688</v>
      </c>
      <c r="U132" s="747">
        <v>4798</v>
      </c>
      <c r="V132" s="747">
        <v>4841</v>
      </c>
      <c r="W132" s="747">
        <v>4892</v>
      </c>
      <c r="X132" s="747">
        <v>5004</v>
      </c>
      <c r="Y132" s="747">
        <v>4842</v>
      </c>
      <c r="Z132" s="747">
        <v>4574</v>
      </c>
      <c r="AA132" s="747">
        <v>4328</v>
      </c>
      <c r="AC132" s="628">
        <f t="shared" si="12"/>
        <v>121</v>
      </c>
      <c r="AD132" s="627">
        <f t="shared" si="13"/>
        <v>207</v>
      </c>
      <c r="AE132" s="627">
        <f t="shared" si="19"/>
        <v>13</v>
      </c>
      <c r="AF132" s="627">
        <f t="shared" si="19"/>
        <v>3</v>
      </c>
      <c r="AG132" s="627">
        <f t="shared" si="19"/>
        <v>38</v>
      </c>
      <c r="AH132" s="627">
        <f t="shared" si="19"/>
        <v>47</v>
      </c>
      <c r="AI132" s="627">
        <f t="shared" si="19"/>
        <v>101</v>
      </c>
      <c r="AJ132" s="627">
        <f t="shared" si="19"/>
        <v>81</v>
      </c>
      <c r="AK132" s="627">
        <f t="shared" si="19"/>
        <v>125</v>
      </c>
      <c r="AL132" s="627">
        <f t="shared" si="19"/>
        <v>203</v>
      </c>
      <c r="AM132" s="627">
        <f t="shared" si="19"/>
        <v>58</v>
      </c>
      <c r="AN132" s="627">
        <f t="shared" si="19"/>
        <v>79</v>
      </c>
      <c r="AO132" s="627">
        <f t="shared" si="19"/>
        <v>3</v>
      </c>
      <c r="AP132" s="627">
        <f t="shared" si="19"/>
        <v>46</v>
      </c>
      <c r="AQ132" s="627">
        <f t="shared" si="19"/>
        <v>81</v>
      </c>
      <c r="AR132" s="627">
        <f t="shared" si="19"/>
        <v>57</v>
      </c>
      <c r="AS132" s="627">
        <f t="shared" si="19"/>
        <v>19</v>
      </c>
      <c r="AT132" s="627">
        <f t="shared" si="18"/>
        <v>54</v>
      </c>
      <c r="AU132" s="627">
        <f t="shared" si="16"/>
        <v>110</v>
      </c>
      <c r="AV132" s="627">
        <f t="shared" si="16"/>
        <v>43</v>
      </c>
      <c r="AW132" s="627">
        <f t="shared" si="16"/>
        <v>51</v>
      </c>
      <c r="AX132" s="627">
        <f t="shared" si="16"/>
        <v>112</v>
      </c>
      <c r="AY132" s="627">
        <f t="shared" si="16"/>
        <v>162</v>
      </c>
      <c r="AZ132" s="627">
        <f t="shared" si="16"/>
        <v>268</v>
      </c>
      <c r="BA132" s="627">
        <f t="shared" si="16"/>
        <v>246</v>
      </c>
    </row>
    <row r="133" spans="1:53">
      <c r="A133" s="105">
        <f t="shared" si="11"/>
        <v>122</v>
      </c>
      <c r="B133" s="745">
        <v>42491</v>
      </c>
      <c r="C133" s="746" t="s">
        <v>1772</v>
      </c>
      <c r="D133" s="747">
        <v>4200</v>
      </c>
      <c r="E133" s="747">
        <v>4071</v>
      </c>
      <c r="F133" s="747">
        <v>4025</v>
      </c>
      <c r="G133" s="747">
        <v>3886</v>
      </c>
      <c r="H133" s="747">
        <v>3917</v>
      </c>
      <c r="I133" s="747">
        <v>3989</v>
      </c>
      <c r="J133" s="747">
        <v>4091</v>
      </c>
      <c r="K133" s="747">
        <v>4262</v>
      </c>
      <c r="L133" s="747">
        <v>4481</v>
      </c>
      <c r="M133" s="747">
        <v>4632</v>
      </c>
      <c r="N133" s="747">
        <v>4736</v>
      </c>
      <c r="O133" s="747">
        <v>4781</v>
      </c>
      <c r="P133" s="747">
        <v>4768</v>
      </c>
      <c r="Q133" s="747">
        <v>4716</v>
      </c>
      <c r="R133" s="747">
        <v>4692</v>
      </c>
      <c r="S133" s="747">
        <v>4665</v>
      </c>
      <c r="T133" s="747">
        <v>4656</v>
      </c>
      <c r="U133" s="747">
        <v>4727</v>
      </c>
      <c r="V133" s="747">
        <v>4761</v>
      </c>
      <c r="W133" s="747">
        <v>4818</v>
      </c>
      <c r="X133" s="747">
        <v>5006</v>
      </c>
      <c r="Y133" s="747">
        <v>4809</v>
      </c>
      <c r="Z133" s="747">
        <v>4429</v>
      </c>
      <c r="AA133" s="747">
        <v>4127</v>
      </c>
      <c r="AB133" s="627">
        <f>MAX(D133:AA163)</f>
        <v>5297</v>
      </c>
      <c r="AC133" s="628">
        <f t="shared" si="12"/>
        <v>122</v>
      </c>
      <c r="AD133" s="627">
        <f t="shared" si="13"/>
        <v>128</v>
      </c>
      <c r="AE133" s="627">
        <f t="shared" si="19"/>
        <v>129</v>
      </c>
      <c r="AF133" s="627">
        <f t="shared" si="19"/>
        <v>46</v>
      </c>
      <c r="AG133" s="627">
        <f t="shared" si="19"/>
        <v>139</v>
      </c>
      <c r="AH133" s="627">
        <f t="shared" si="19"/>
        <v>31</v>
      </c>
      <c r="AI133" s="627">
        <f t="shared" si="19"/>
        <v>72</v>
      </c>
      <c r="AJ133" s="627">
        <f t="shared" si="19"/>
        <v>102</v>
      </c>
      <c r="AK133" s="627">
        <f t="shared" si="19"/>
        <v>171</v>
      </c>
      <c r="AL133" s="627">
        <f t="shared" si="19"/>
        <v>219</v>
      </c>
      <c r="AM133" s="627">
        <f t="shared" si="19"/>
        <v>151</v>
      </c>
      <c r="AN133" s="627">
        <f t="shared" si="19"/>
        <v>104</v>
      </c>
      <c r="AO133" s="627">
        <f t="shared" si="19"/>
        <v>45</v>
      </c>
      <c r="AP133" s="627">
        <f t="shared" si="19"/>
        <v>13</v>
      </c>
      <c r="AQ133" s="627">
        <f t="shared" si="19"/>
        <v>52</v>
      </c>
      <c r="AR133" s="627">
        <f t="shared" si="19"/>
        <v>24</v>
      </c>
      <c r="AS133" s="627">
        <f t="shared" si="19"/>
        <v>27</v>
      </c>
      <c r="AT133" s="627">
        <f>ABS(T133-S133)</f>
        <v>9</v>
      </c>
      <c r="AU133" s="627">
        <f t="shared" si="16"/>
        <v>71</v>
      </c>
      <c r="AV133" s="627">
        <f t="shared" si="16"/>
        <v>34</v>
      </c>
      <c r="AW133" s="627">
        <f t="shared" si="16"/>
        <v>57</v>
      </c>
      <c r="AX133" s="627">
        <f t="shared" si="16"/>
        <v>188</v>
      </c>
      <c r="AY133" s="627">
        <f t="shared" si="16"/>
        <v>197</v>
      </c>
      <c r="AZ133" s="627">
        <f t="shared" si="16"/>
        <v>380</v>
      </c>
      <c r="BA133" s="627">
        <f t="shared" si="16"/>
        <v>302</v>
      </c>
    </row>
    <row r="134" spans="1:53">
      <c r="A134" s="105">
        <f t="shared" si="11"/>
        <v>123</v>
      </c>
      <c r="B134" s="745">
        <v>42492</v>
      </c>
      <c r="C134" s="746" t="s">
        <v>1772</v>
      </c>
      <c r="D134" s="747">
        <v>3954</v>
      </c>
      <c r="E134" s="747">
        <v>3870</v>
      </c>
      <c r="F134" s="747">
        <v>3966</v>
      </c>
      <c r="G134" s="747">
        <v>4129</v>
      </c>
      <c r="H134" s="747">
        <v>4266</v>
      </c>
      <c r="I134" s="747">
        <v>4523</v>
      </c>
      <c r="J134" s="747">
        <v>4810</v>
      </c>
      <c r="K134" s="747">
        <v>4866</v>
      </c>
      <c r="L134" s="747">
        <v>4804</v>
      </c>
      <c r="M134" s="747">
        <v>4824</v>
      </c>
      <c r="N134" s="747">
        <v>4742</v>
      </c>
      <c r="O134" s="747">
        <v>4642</v>
      </c>
      <c r="P134" s="747">
        <v>4588</v>
      </c>
      <c r="Q134" s="747">
        <v>4638</v>
      </c>
      <c r="R134" s="747">
        <v>4607</v>
      </c>
      <c r="S134" s="747">
        <v>4555</v>
      </c>
      <c r="T134" s="747">
        <v>4614</v>
      </c>
      <c r="U134" s="747">
        <v>4684</v>
      </c>
      <c r="V134" s="747">
        <v>4689</v>
      </c>
      <c r="W134" s="747">
        <v>4734</v>
      </c>
      <c r="X134" s="747">
        <v>4931</v>
      </c>
      <c r="Y134" s="747">
        <v>4773</v>
      </c>
      <c r="Z134" s="747">
        <v>4372</v>
      </c>
      <c r="AA134" s="747">
        <v>4014</v>
      </c>
      <c r="AC134" s="628">
        <f t="shared" si="12"/>
        <v>123</v>
      </c>
      <c r="AD134" s="627">
        <f t="shared" si="13"/>
        <v>173</v>
      </c>
      <c r="AE134" s="627">
        <f t="shared" si="19"/>
        <v>84</v>
      </c>
      <c r="AF134" s="627">
        <f t="shared" si="19"/>
        <v>96</v>
      </c>
      <c r="AG134" s="627">
        <f t="shared" si="19"/>
        <v>163</v>
      </c>
      <c r="AH134" s="627">
        <f t="shared" si="19"/>
        <v>137</v>
      </c>
      <c r="AI134" s="627">
        <f t="shared" si="19"/>
        <v>257</v>
      </c>
      <c r="AJ134" s="627">
        <f t="shared" si="19"/>
        <v>287</v>
      </c>
      <c r="AK134" s="627">
        <f t="shared" si="19"/>
        <v>56</v>
      </c>
      <c r="AL134" s="627">
        <f t="shared" si="19"/>
        <v>62</v>
      </c>
      <c r="AM134" s="627">
        <f t="shared" si="19"/>
        <v>20</v>
      </c>
      <c r="AN134" s="627">
        <f t="shared" si="19"/>
        <v>82</v>
      </c>
      <c r="AO134" s="627">
        <f t="shared" si="19"/>
        <v>100</v>
      </c>
      <c r="AP134" s="627">
        <f t="shared" si="19"/>
        <v>54</v>
      </c>
      <c r="AQ134" s="627">
        <f t="shared" si="19"/>
        <v>50</v>
      </c>
      <c r="AR134" s="627">
        <f t="shared" si="19"/>
        <v>31</v>
      </c>
      <c r="AS134" s="627">
        <f t="shared" si="19"/>
        <v>52</v>
      </c>
      <c r="AT134" s="627">
        <f t="shared" si="19"/>
        <v>59</v>
      </c>
      <c r="AU134" s="627">
        <f t="shared" ref="AU134:BA170" si="20">ABS(U134-T134)</f>
        <v>70</v>
      </c>
      <c r="AV134" s="627">
        <f t="shared" si="20"/>
        <v>5</v>
      </c>
      <c r="AW134" s="627">
        <f t="shared" si="20"/>
        <v>45</v>
      </c>
      <c r="AX134" s="627">
        <f t="shared" si="20"/>
        <v>197</v>
      </c>
      <c r="AY134" s="627">
        <f t="shared" si="20"/>
        <v>158</v>
      </c>
      <c r="AZ134" s="627">
        <f t="shared" si="20"/>
        <v>401</v>
      </c>
      <c r="BA134" s="627">
        <f t="shared" si="20"/>
        <v>358</v>
      </c>
    </row>
    <row r="135" spans="1:53">
      <c r="A135" s="105">
        <f t="shared" si="11"/>
        <v>124</v>
      </c>
      <c r="B135" s="745">
        <v>42493</v>
      </c>
      <c r="C135" s="746" t="s">
        <v>1772</v>
      </c>
      <c r="D135" s="747">
        <v>3826</v>
      </c>
      <c r="E135" s="747">
        <v>3742</v>
      </c>
      <c r="F135" s="747">
        <v>3700</v>
      </c>
      <c r="G135" s="747">
        <v>3732</v>
      </c>
      <c r="H135" s="747">
        <v>3869</v>
      </c>
      <c r="I135" s="747">
        <v>4198</v>
      </c>
      <c r="J135" s="747">
        <v>4557</v>
      </c>
      <c r="K135" s="747">
        <v>4712</v>
      </c>
      <c r="L135" s="747">
        <v>4710</v>
      </c>
      <c r="M135" s="747">
        <v>4735</v>
      </c>
      <c r="N135" s="747">
        <v>4732</v>
      </c>
      <c r="O135" s="747">
        <v>4728</v>
      </c>
      <c r="P135" s="747">
        <v>4836</v>
      </c>
      <c r="Q135" s="747">
        <v>4968</v>
      </c>
      <c r="R135" s="747">
        <v>4949</v>
      </c>
      <c r="S135" s="747">
        <v>4964</v>
      </c>
      <c r="T135" s="747">
        <v>5009</v>
      </c>
      <c r="U135" s="747">
        <v>4993</v>
      </c>
      <c r="V135" s="747">
        <v>4810</v>
      </c>
      <c r="W135" s="747">
        <v>4797</v>
      </c>
      <c r="X135" s="747">
        <v>4975</v>
      </c>
      <c r="Y135" s="747">
        <v>4780</v>
      </c>
      <c r="Z135" s="747">
        <v>4386</v>
      </c>
      <c r="AA135" s="747">
        <v>4197</v>
      </c>
      <c r="AC135" s="628">
        <f t="shared" si="12"/>
        <v>124</v>
      </c>
      <c r="AD135" s="627">
        <f t="shared" si="13"/>
        <v>188</v>
      </c>
      <c r="AE135" s="627">
        <f t="shared" si="19"/>
        <v>84</v>
      </c>
      <c r="AF135" s="627">
        <f t="shared" si="19"/>
        <v>42</v>
      </c>
      <c r="AG135" s="627">
        <f t="shared" si="19"/>
        <v>32</v>
      </c>
      <c r="AH135" s="627">
        <f t="shared" si="19"/>
        <v>137</v>
      </c>
      <c r="AI135" s="627">
        <f t="shared" si="19"/>
        <v>329</v>
      </c>
      <c r="AJ135" s="627">
        <f t="shared" si="19"/>
        <v>359</v>
      </c>
      <c r="AK135" s="627">
        <f t="shared" si="19"/>
        <v>155</v>
      </c>
      <c r="AL135" s="627">
        <f t="shared" si="19"/>
        <v>2</v>
      </c>
      <c r="AM135" s="627">
        <f t="shared" si="19"/>
        <v>25</v>
      </c>
      <c r="AN135" s="627">
        <f t="shared" si="19"/>
        <v>3</v>
      </c>
      <c r="AO135" s="627">
        <f t="shared" si="19"/>
        <v>4</v>
      </c>
      <c r="AP135" s="627">
        <f t="shared" si="19"/>
        <v>108</v>
      </c>
      <c r="AQ135" s="627">
        <f t="shared" si="19"/>
        <v>132</v>
      </c>
      <c r="AR135" s="627">
        <f t="shared" si="19"/>
        <v>19</v>
      </c>
      <c r="AS135" s="627">
        <f t="shared" si="19"/>
        <v>15</v>
      </c>
      <c r="AT135" s="627">
        <f t="shared" si="19"/>
        <v>45</v>
      </c>
      <c r="AU135" s="627">
        <f t="shared" si="20"/>
        <v>16</v>
      </c>
      <c r="AV135" s="627">
        <f t="shared" si="20"/>
        <v>183</v>
      </c>
      <c r="AW135" s="627">
        <f t="shared" si="20"/>
        <v>13</v>
      </c>
      <c r="AX135" s="627">
        <f t="shared" si="20"/>
        <v>178</v>
      </c>
      <c r="AY135" s="627">
        <f t="shared" si="20"/>
        <v>195</v>
      </c>
      <c r="AZ135" s="627">
        <f t="shared" si="20"/>
        <v>394</v>
      </c>
      <c r="BA135" s="627">
        <f t="shared" si="20"/>
        <v>189</v>
      </c>
    </row>
    <row r="136" spans="1:53">
      <c r="A136" s="105">
        <f t="shared" si="11"/>
        <v>125</v>
      </c>
      <c r="B136" s="745">
        <v>42494</v>
      </c>
      <c r="C136" s="746" t="s">
        <v>1772</v>
      </c>
      <c r="D136" s="747">
        <v>4105</v>
      </c>
      <c r="E136" s="747">
        <v>4002</v>
      </c>
      <c r="F136" s="747">
        <v>3934</v>
      </c>
      <c r="G136" s="747">
        <v>3955</v>
      </c>
      <c r="H136" s="747">
        <v>4044</v>
      </c>
      <c r="I136" s="747">
        <v>4225</v>
      </c>
      <c r="J136" s="747">
        <v>4539</v>
      </c>
      <c r="K136" s="747">
        <v>4647</v>
      </c>
      <c r="L136" s="747">
        <v>4627</v>
      </c>
      <c r="M136" s="747">
        <v>4652</v>
      </c>
      <c r="N136" s="747">
        <v>4749</v>
      </c>
      <c r="O136" s="747">
        <v>4753</v>
      </c>
      <c r="P136" s="747">
        <v>4753</v>
      </c>
      <c r="Q136" s="747">
        <v>4831</v>
      </c>
      <c r="R136" s="747">
        <v>4887</v>
      </c>
      <c r="S136" s="747">
        <v>4936</v>
      </c>
      <c r="T136" s="747">
        <v>5001</v>
      </c>
      <c r="U136" s="747">
        <v>5048</v>
      </c>
      <c r="V136" s="747">
        <v>5012</v>
      </c>
      <c r="W136" s="747">
        <v>4949</v>
      </c>
      <c r="X136" s="747">
        <v>5110</v>
      </c>
      <c r="Y136" s="747">
        <v>4914</v>
      </c>
      <c r="Z136" s="747">
        <v>4603</v>
      </c>
      <c r="AA136" s="747">
        <v>4321</v>
      </c>
      <c r="AC136" s="628">
        <f t="shared" si="12"/>
        <v>125</v>
      </c>
      <c r="AD136" s="627">
        <f t="shared" si="13"/>
        <v>92</v>
      </c>
      <c r="AE136" s="627">
        <f t="shared" si="19"/>
        <v>103</v>
      </c>
      <c r="AF136" s="627">
        <f t="shared" si="19"/>
        <v>68</v>
      </c>
      <c r="AG136" s="627">
        <f t="shared" si="19"/>
        <v>21</v>
      </c>
      <c r="AH136" s="627">
        <f t="shared" si="19"/>
        <v>89</v>
      </c>
      <c r="AI136" s="627">
        <f t="shared" si="19"/>
        <v>181</v>
      </c>
      <c r="AJ136" s="627">
        <f t="shared" si="19"/>
        <v>314</v>
      </c>
      <c r="AK136" s="627">
        <f t="shared" si="19"/>
        <v>108</v>
      </c>
      <c r="AL136" s="627">
        <f t="shared" si="19"/>
        <v>20</v>
      </c>
      <c r="AM136" s="627">
        <f t="shared" si="19"/>
        <v>25</v>
      </c>
      <c r="AN136" s="627">
        <f t="shared" si="19"/>
        <v>97</v>
      </c>
      <c r="AO136" s="627">
        <f t="shared" si="19"/>
        <v>4</v>
      </c>
      <c r="AP136" s="627">
        <f t="shared" si="19"/>
        <v>0</v>
      </c>
      <c r="AQ136" s="627">
        <f t="shared" si="19"/>
        <v>78</v>
      </c>
      <c r="AR136" s="627">
        <f t="shared" si="19"/>
        <v>56</v>
      </c>
      <c r="AS136" s="627">
        <f t="shared" si="19"/>
        <v>49</v>
      </c>
      <c r="AT136" s="627">
        <f t="shared" si="19"/>
        <v>65</v>
      </c>
      <c r="AU136" s="627">
        <f t="shared" si="20"/>
        <v>47</v>
      </c>
      <c r="AV136" s="627">
        <f t="shared" si="20"/>
        <v>36</v>
      </c>
      <c r="AW136" s="627">
        <f t="shared" si="20"/>
        <v>63</v>
      </c>
      <c r="AX136" s="627">
        <f t="shared" si="20"/>
        <v>161</v>
      </c>
      <c r="AY136" s="627">
        <f t="shared" si="20"/>
        <v>196</v>
      </c>
      <c r="AZ136" s="627">
        <f t="shared" si="20"/>
        <v>311</v>
      </c>
      <c r="BA136" s="627">
        <f t="shared" si="20"/>
        <v>282</v>
      </c>
    </row>
    <row r="137" spans="1:53">
      <c r="A137" s="105">
        <f t="shared" si="11"/>
        <v>126</v>
      </c>
      <c r="B137" s="745">
        <v>42495</v>
      </c>
      <c r="C137" s="746" t="s">
        <v>1772</v>
      </c>
      <c r="D137" s="747">
        <v>4062</v>
      </c>
      <c r="E137" s="747">
        <v>3922</v>
      </c>
      <c r="F137" s="747">
        <v>3884</v>
      </c>
      <c r="G137" s="747">
        <v>3817</v>
      </c>
      <c r="H137" s="747">
        <v>3839</v>
      </c>
      <c r="I137" s="747">
        <v>4076</v>
      </c>
      <c r="J137" s="747">
        <v>4273</v>
      </c>
      <c r="K137" s="747">
        <v>4562</v>
      </c>
      <c r="L137" s="747">
        <v>4654</v>
      </c>
      <c r="M137" s="747">
        <v>4782</v>
      </c>
      <c r="N137" s="747">
        <v>4878</v>
      </c>
      <c r="O137" s="747">
        <v>4945</v>
      </c>
      <c r="P137" s="747">
        <v>5001</v>
      </c>
      <c r="Q137" s="747">
        <v>5036</v>
      </c>
      <c r="R137" s="747">
        <v>5147</v>
      </c>
      <c r="S137" s="747">
        <v>5271</v>
      </c>
      <c r="T137" s="747">
        <v>5297</v>
      </c>
      <c r="U137" s="747">
        <v>5265</v>
      </c>
      <c r="V137" s="747">
        <v>5159</v>
      </c>
      <c r="W137" s="747">
        <v>5129</v>
      </c>
      <c r="X137" s="747">
        <v>5280</v>
      </c>
      <c r="Y137" s="747">
        <v>5063</v>
      </c>
      <c r="Z137" s="747">
        <v>4819</v>
      </c>
      <c r="AA137" s="747">
        <v>4446</v>
      </c>
      <c r="AC137" s="628">
        <f t="shared" si="12"/>
        <v>126</v>
      </c>
      <c r="AD137" s="627">
        <f t="shared" si="13"/>
        <v>259</v>
      </c>
      <c r="AE137" s="627">
        <f t="shared" si="19"/>
        <v>140</v>
      </c>
      <c r="AF137" s="627">
        <f t="shared" si="19"/>
        <v>38</v>
      </c>
      <c r="AG137" s="627">
        <f t="shared" si="19"/>
        <v>67</v>
      </c>
      <c r="AH137" s="627">
        <f t="shared" si="19"/>
        <v>22</v>
      </c>
      <c r="AI137" s="627">
        <f t="shared" si="19"/>
        <v>237</v>
      </c>
      <c r="AJ137" s="627">
        <f t="shared" si="19"/>
        <v>197</v>
      </c>
      <c r="AK137" s="627">
        <f t="shared" si="19"/>
        <v>289</v>
      </c>
      <c r="AL137" s="627">
        <f t="shared" si="19"/>
        <v>92</v>
      </c>
      <c r="AM137" s="627">
        <f t="shared" si="19"/>
        <v>128</v>
      </c>
      <c r="AN137" s="627">
        <f t="shared" si="19"/>
        <v>96</v>
      </c>
      <c r="AO137" s="627">
        <f t="shared" si="19"/>
        <v>67</v>
      </c>
      <c r="AP137" s="627">
        <f t="shared" si="19"/>
        <v>56</v>
      </c>
      <c r="AQ137" s="627">
        <f t="shared" si="19"/>
        <v>35</v>
      </c>
      <c r="AR137" s="627">
        <f t="shared" si="19"/>
        <v>111</v>
      </c>
      <c r="AS137" s="627">
        <f t="shared" si="19"/>
        <v>124</v>
      </c>
      <c r="AT137" s="627">
        <f t="shared" si="19"/>
        <v>26</v>
      </c>
      <c r="AU137" s="627">
        <f t="shared" si="20"/>
        <v>32</v>
      </c>
      <c r="AV137" s="627">
        <f t="shared" si="20"/>
        <v>106</v>
      </c>
      <c r="AW137" s="627">
        <f t="shared" si="20"/>
        <v>30</v>
      </c>
      <c r="AX137" s="627">
        <f t="shared" si="20"/>
        <v>151</v>
      </c>
      <c r="AY137" s="627">
        <f t="shared" si="20"/>
        <v>217</v>
      </c>
      <c r="AZ137" s="627">
        <f t="shared" si="20"/>
        <v>244</v>
      </c>
      <c r="BA137" s="627">
        <f t="shared" si="20"/>
        <v>373</v>
      </c>
    </row>
    <row r="138" spans="1:53">
      <c r="A138" s="105">
        <f t="shared" si="11"/>
        <v>127</v>
      </c>
      <c r="B138" s="745">
        <v>42496</v>
      </c>
      <c r="C138" s="746" t="s">
        <v>1772</v>
      </c>
      <c r="D138" s="747">
        <v>4110</v>
      </c>
      <c r="E138" s="747">
        <v>4000</v>
      </c>
      <c r="F138" s="747">
        <v>3938</v>
      </c>
      <c r="G138" s="747">
        <v>3921</v>
      </c>
      <c r="H138" s="747">
        <v>3863</v>
      </c>
      <c r="I138" s="747">
        <v>4036</v>
      </c>
      <c r="J138" s="747">
        <v>4287</v>
      </c>
      <c r="K138" s="747">
        <v>4550</v>
      </c>
      <c r="L138" s="747">
        <v>4694</v>
      </c>
      <c r="M138" s="747">
        <v>4845</v>
      </c>
      <c r="N138" s="747">
        <v>4967</v>
      </c>
      <c r="O138" s="747">
        <v>5084</v>
      </c>
      <c r="P138" s="747">
        <v>5101</v>
      </c>
      <c r="Q138" s="747">
        <v>5183</v>
      </c>
      <c r="R138" s="747">
        <v>5267</v>
      </c>
      <c r="S138" s="747">
        <v>5188</v>
      </c>
      <c r="T138" s="747">
        <v>5144</v>
      </c>
      <c r="U138" s="747">
        <v>5082</v>
      </c>
      <c r="V138" s="747">
        <v>4992</v>
      </c>
      <c r="W138" s="747">
        <v>4980</v>
      </c>
      <c r="X138" s="747">
        <v>5029</v>
      </c>
      <c r="Y138" s="747">
        <v>4855</v>
      </c>
      <c r="Z138" s="747">
        <v>4536</v>
      </c>
      <c r="AA138" s="747">
        <v>4315</v>
      </c>
      <c r="AC138" s="628">
        <f t="shared" si="12"/>
        <v>127</v>
      </c>
      <c r="AD138" s="627">
        <f t="shared" si="13"/>
        <v>336</v>
      </c>
      <c r="AE138" s="627">
        <f t="shared" si="19"/>
        <v>110</v>
      </c>
      <c r="AF138" s="627">
        <f t="shared" si="19"/>
        <v>62</v>
      </c>
      <c r="AG138" s="627">
        <f t="shared" si="19"/>
        <v>17</v>
      </c>
      <c r="AH138" s="627">
        <f t="shared" si="19"/>
        <v>58</v>
      </c>
      <c r="AI138" s="627">
        <f t="shared" si="19"/>
        <v>173</v>
      </c>
      <c r="AJ138" s="627">
        <f t="shared" si="19"/>
        <v>251</v>
      </c>
      <c r="AK138" s="627">
        <f t="shared" si="19"/>
        <v>263</v>
      </c>
      <c r="AL138" s="627">
        <f t="shared" si="19"/>
        <v>144</v>
      </c>
      <c r="AM138" s="627">
        <f t="shared" si="19"/>
        <v>151</v>
      </c>
      <c r="AN138" s="627">
        <f t="shared" si="19"/>
        <v>122</v>
      </c>
      <c r="AO138" s="627">
        <f t="shared" si="19"/>
        <v>117</v>
      </c>
      <c r="AP138" s="627">
        <f t="shared" si="19"/>
        <v>17</v>
      </c>
      <c r="AQ138" s="627">
        <f t="shared" si="19"/>
        <v>82</v>
      </c>
      <c r="AR138" s="627">
        <f t="shared" si="19"/>
        <v>84</v>
      </c>
      <c r="AS138" s="627">
        <f t="shared" si="19"/>
        <v>79</v>
      </c>
      <c r="AT138" s="627">
        <f t="shared" si="19"/>
        <v>44</v>
      </c>
      <c r="AU138" s="627">
        <f t="shared" si="20"/>
        <v>62</v>
      </c>
      <c r="AV138" s="627">
        <f t="shared" si="20"/>
        <v>90</v>
      </c>
      <c r="AW138" s="627">
        <f t="shared" si="20"/>
        <v>12</v>
      </c>
      <c r="AX138" s="627">
        <f t="shared" si="20"/>
        <v>49</v>
      </c>
      <c r="AY138" s="627">
        <f t="shared" si="20"/>
        <v>174</v>
      </c>
      <c r="AZ138" s="627">
        <f t="shared" si="20"/>
        <v>319</v>
      </c>
      <c r="BA138" s="627">
        <f t="shared" si="20"/>
        <v>221</v>
      </c>
    </row>
    <row r="139" spans="1:53">
      <c r="A139" s="105">
        <f t="shared" si="11"/>
        <v>128</v>
      </c>
      <c r="B139" s="745">
        <v>42497</v>
      </c>
      <c r="C139" s="746" t="s">
        <v>1772</v>
      </c>
      <c r="D139" s="747">
        <v>4132</v>
      </c>
      <c r="E139" s="747">
        <v>3977</v>
      </c>
      <c r="F139" s="747">
        <v>3841</v>
      </c>
      <c r="G139" s="747">
        <v>3757</v>
      </c>
      <c r="H139" s="747">
        <v>3681</v>
      </c>
      <c r="I139" s="747">
        <v>3734</v>
      </c>
      <c r="J139" s="747">
        <v>3772</v>
      </c>
      <c r="K139" s="747">
        <v>3950</v>
      </c>
      <c r="L139" s="747">
        <v>4205</v>
      </c>
      <c r="M139" s="747">
        <v>4375</v>
      </c>
      <c r="N139" s="747">
        <v>4483</v>
      </c>
      <c r="O139" s="747">
        <v>4555</v>
      </c>
      <c r="P139" s="747">
        <v>4595</v>
      </c>
      <c r="Q139" s="747">
        <v>4621</v>
      </c>
      <c r="R139" s="747">
        <v>4551</v>
      </c>
      <c r="S139" s="747">
        <v>4578</v>
      </c>
      <c r="T139" s="747">
        <v>4480</v>
      </c>
      <c r="U139" s="747">
        <v>4416</v>
      </c>
      <c r="V139" s="747">
        <v>4460</v>
      </c>
      <c r="W139" s="747">
        <v>4482</v>
      </c>
      <c r="X139" s="747">
        <v>4637</v>
      </c>
      <c r="Y139" s="747">
        <v>4530</v>
      </c>
      <c r="Z139" s="747">
        <v>4270</v>
      </c>
      <c r="AA139" s="747">
        <v>4045</v>
      </c>
      <c r="AC139" s="628">
        <f t="shared" si="12"/>
        <v>128</v>
      </c>
      <c r="AD139" s="627">
        <f t="shared" si="13"/>
        <v>183</v>
      </c>
      <c r="AE139" s="627">
        <f t="shared" si="19"/>
        <v>155</v>
      </c>
      <c r="AF139" s="627">
        <f t="shared" si="19"/>
        <v>136</v>
      </c>
      <c r="AG139" s="627">
        <f t="shared" si="19"/>
        <v>84</v>
      </c>
      <c r="AH139" s="627">
        <f t="shared" si="19"/>
        <v>76</v>
      </c>
      <c r="AI139" s="627">
        <f t="shared" si="19"/>
        <v>53</v>
      </c>
      <c r="AJ139" s="627">
        <f t="shared" si="19"/>
        <v>38</v>
      </c>
      <c r="AK139" s="627">
        <f t="shared" si="19"/>
        <v>178</v>
      </c>
      <c r="AL139" s="627">
        <f t="shared" si="19"/>
        <v>255</v>
      </c>
      <c r="AM139" s="627">
        <f t="shared" si="19"/>
        <v>170</v>
      </c>
      <c r="AN139" s="627">
        <f t="shared" si="19"/>
        <v>108</v>
      </c>
      <c r="AO139" s="627">
        <f t="shared" si="19"/>
        <v>72</v>
      </c>
      <c r="AP139" s="627">
        <f t="shared" si="19"/>
        <v>40</v>
      </c>
      <c r="AQ139" s="627">
        <f t="shared" si="19"/>
        <v>26</v>
      </c>
      <c r="AR139" s="627">
        <f t="shared" si="19"/>
        <v>70</v>
      </c>
      <c r="AS139" s="627">
        <f t="shared" si="19"/>
        <v>27</v>
      </c>
      <c r="AT139" s="627">
        <f t="shared" si="19"/>
        <v>98</v>
      </c>
      <c r="AU139" s="627">
        <f t="shared" si="20"/>
        <v>64</v>
      </c>
      <c r="AV139" s="627">
        <f t="shared" si="20"/>
        <v>44</v>
      </c>
      <c r="AW139" s="627">
        <f t="shared" si="20"/>
        <v>22</v>
      </c>
      <c r="AX139" s="627">
        <f t="shared" si="20"/>
        <v>155</v>
      </c>
      <c r="AY139" s="627">
        <f t="shared" si="20"/>
        <v>107</v>
      </c>
      <c r="AZ139" s="627">
        <f t="shared" si="20"/>
        <v>260</v>
      </c>
      <c r="BA139" s="627">
        <f t="shared" si="20"/>
        <v>225</v>
      </c>
    </row>
    <row r="140" spans="1:53">
      <c r="A140" s="105">
        <f t="shared" si="11"/>
        <v>129</v>
      </c>
      <c r="B140" s="745">
        <v>42498</v>
      </c>
      <c r="C140" s="746" t="s">
        <v>1772</v>
      </c>
      <c r="D140" s="747">
        <v>3855</v>
      </c>
      <c r="E140" s="747">
        <v>3755</v>
      </c>
      <c r="F140" s="747">
        <v>3701</v>
      </c>
      <c r="G140" s="747">
        <v>3671</v>
      </c>
      <c r="H140" s="747">
        <v>3613</v>
      </c>
      <c r="I140" s="747">
        <v>3634</v>
      </c>
      <c r="J140" s="747">
        <v>3704</v>
      </c>
      <c r="K140" s="747">
        <v>3831</v>
      </c>
      <c r="L140" s="747">
        <v>3957</v>
      </c>
      <c r="M140" s="747">
        <v>4089</v>
      </c>
      <c r="N140" s="747">
        <v>4110</v>
      </c>
      <c r="O140" s="747">
        <v>4077</v>
      </c>
      <c r="P140" s="747">
        <v>4045</v>
      </c>
      <c r="Q140" s="747">
        <v>4069</v>
      </c>
      <c r="R140" s="747">
        <v>4091</v>
      </c>
      <c r="S140" s="747">
        <v>4219</v>
      </c>
      <c r="T140" s="747">
        <v>4328</v>
      </c>
      <c r="U140" s="747">
        <v>4403</v>
      </c>
      <c r="V140" s="747">
        <v>4406</v>
      </c>
      <c r="W140" s="747">
        <v>4456</v>
      </c>
      <c r="X140" s="747">
        <v>4620</v>
      </c>
      <c r="Y140" s="747">
        <v>4483</v>
      </c>
      <c r="Z140" s="747">
        <v>4164</v>
      </c>
      <c r="AA140" s="747">
        <v>3879</v>
      </c>
      <c r="AC140" s="628">
        <f t="shared" si="12"/>
        <v>129</v>
      </c>
      <c r="AD140" s="627">
        <f t="shared" si="13"/>
        <v>190</v>
      </c>
      <c r="AE140" s="627">
        <f t="shared" si="19"/>
        <v>100</v>
      </c>
      <c r="AF140" s="627">
        <f t="shared" si="19"/>
        <v>54</v>
      </c>
      <c r="AG140" s="627">
        <f t="shared" si="19"/>
        <v>30</v>
      </c>
      <c r="AH140" s="627">
        <f t="shared" si="19"/>
        <v>58</v>
      </c>
      <c r="AI140" s="627">
        <f t="shared" si="19"/>
        <v>21</v>
      </c>
      <c r="AJ140" s="627">
        <f t="shared" si="19"/>
        <v>70</v>
      </c>
      <c r="AK140" s="627">
        <f t="shared" si="19"/>
        <v>127</v>
      </c>
      <c r="AL140" s="627">
        <f t="shared" si="19"/>
        <v>126</v>
      </c>
      <c r="AM140" s="627">
        <f t="shared" si="19"/>
        <v>132</v>
      </c>
      <c r="AN140" s="627">
        <f t="shared" ref="AN140:AW171" si="21">ABS(N140-M140)</f>
        <v>21</v>
      </c>
      <c r="AO140" s="627">
        <f t="shared" si="21"/>
        <v>33</v>
      </c>
      <c r="AP140" s="627">
        <f t="shared" si="21"/>
        <v>32</v>
      </c>
      <c r="AQ140" s="627">
        <f t="shared" si="21"/>
        <v>24</v>
      </c>
      <c r="AR140" s="627">
        <f t="shared" si="21"/>
        <v>22</v>
      </c>
      <c r="AS140" s="627">
        <f t="shared" si="21"/>
        <v>128</v>
      </c>
      <c r="AT140" s="627">
        <f t="shared" si="21"/>
        <v>109</v>
      </c>
      <c r="AU140" s="627">
        <f t="shared" si="20"/>
        <v>75</v>
      </c>
      <c r="AV140" s="627">
        <f t="shared" si="20"/>
        <v>3</v>
      </c>
      <c r="AW140" s="627">
        <f t="shared" si="20"/>
        <v>50</v>
      </c>
      <c r="AX140" s="627">
        <f t="shared" si="20"/>
        <v>164</v>
      </c>
      <c r="AY140" s="627">
        <f t="shared" si="20"/>
        <v>137</v>
      </c>
      <c r="AZ140" s="627">
        <f t="shared" si="20"/>
        <v>319</v>
      </c>
      <c r="BA140" s="627">
        <f t="shared" si="20"/>
        <v>285</v>
      </c>
    </row>
    <row r="141" spans="1:53">
      <c r="A141" s="105">
        <f t="shared" si="11"/>
        <v>130</v>
      </c>
      <c r="B141" s="745">
        <v>42499</v>
      </c>
      <c r="C141" s="746" t="s">
        <v>1772</v>
      </c>
      <c r="D141" s="747">
        <v>3785</v>
      </c>
      <c r="E141" s="747">
        <v>3706</v>
      </c>
      <c r="F141" s="747">
        <v>3675</v>
      </c>
      <c r="G141" s="747">
        <v>3674</v>
      </c>
      <c r="H141" s="747">
        <v>3728</v>
      </c>
      <c r="I141" s="747">
        <v>3967</v>
      </c>
      <c r="J141" s="747">
        <v>4304</v>
      </c>
      <c r="K141" s="747">
        <v>4542</v>
      </c>
      <c r="L141" s="747">
        <v>4681</v>
      </c>
      <c r="M141" s="747">
        <v>4730</v>
      </c>
      <c r="N141" s="747">
        <v>4766</v>
      </c>
      <c r="O141" s="747">
        <v>4740</v>
      </c>
      <c r="P141" s="747">
        <v>4815</v>
      </c>
      <c r="Q141" s="747">
        <v>4842</v>
      </c>
      <c r="R141" s="747">
        <v>4829</v>
      </c>
      <c r="S141" s="747">
        <v>4850</v>
      </c>
      <c r="T141" s="747">
        <v>4804</v>
      </c>
      <c r="U141" s="747">
        <v>4818</v>
      </c>
      <c r="V141" s="747">
        <v>4879</v>
      </c>
      <c r="W141" s="747">
        <v>4869</v>
      </c>
      <c r="X141" s="747">
        <v>5037</v>
      </c>
      <c r="Y141" s="747">
        <v>4835</v>
      </c>
      <c r="Z141" s="747">
        <v>4411</v>
      </c>
      <c r="AA141" s="747">
        <v>4065</v>
      </c>
      <c r="AC141" s="628">
        <f t="shared" si="12"/>
        <v>130</v>
      </c>
      <c r="AD141" s="627">
        <f t="shared" si="13"/>
        <v>94</v>
      </c>
      <c r="AE141" s="627">
        <f t="shared" ref="AE141:AM169" si="22">ABS(E141-D141)</f>
        <v>79</v>
      </c>
      <c r="AF141" s="627">
        <f t="shared" si="22"/>
        <v>31</v>
      </c>
      <c r="AG141" s="627">
        <f t="shared" si="22"/>
        <v>1</v>
      </c>
      <c r="AH141" s="627">
        <f t="shared" si="22"/>
        <v>54</v>
      </c>
      <c r="AI141" s="627">
        <f t="shared" si="22"/>
        <v>239</v>
      </c>
      <c r="AJ141" s="627">
        <f t="shared" si="22"/>
        <v>337</v>
      </c>
      <c r="AK141" s="627">
        <f t="shared" si="22"/>
        <v>238</v>
      </c>
      <c r="AL141" s="627">
        <f t="shared" si="22"/>
        <v>139</v>
      </c>
      <c r="AM141" s="627">
        <f t="shared" si="22"/>
        <v>49</v>
      </c>
      <c r="AN141" s="627">
        <f t="shared" si="21"/>
        <v>36</v>
      </c>
      <c r="AO141" s="627">
        <f t="shared" si="21"/>
        <v>26</v>
      </c>
      <c r="AP141" s="627">
        <f t="shared" si="21"/>
        <v>75</v>
      </c>
      <c r="AQ141" s="627">
        <f t="shared" si="21"/>
        <v>27</v>
      </c>
      <c r="AR141" s="627">
        <f t="shared" si="21"/>
        <v>13</v>
      </c>
      <c r="AS141" s="627">
        <f t="shared" si="21"/>
        <v>21</v>
      </c>
      <c r="AT141" s="627">
        <f t="shared" si="21"/>
        <v>46</v>
      </c>
      <c r="AU141" s="627">
        <f t="shared" si="20"/>
        <v>14</v>
      </c>
      <c r="AV141" s="627">
        <f t="shared" si="20"/>
        <v>61</v>
      </c>
      <c r="AW141" s="627">
        <f t="shared" si="20"/>
        <v>10</v>
      </c>
      <c r="AX141" s="627">
        <f t="shared" si="20"/>
        <v>168</v>
      </c>
      <c r="AY141" s="627">
        <f t="shared" si="20"/>
        <v>202</v>
      </c>
      <c r="AZ141" s="627">
        <f t="shared" si="20"/>
        <v>424</v>
      </c>
      <c r="BA141" s="627">
        <f t="shared" si="20"/>
        <v>346</v>
      </c>
    </row>
    <row r="142" spans="1:53">
      <c r="A142" s="105">
        <f t="shared" ref="A142:A205" si="23">A141+1</f>
        <v>131</v>
      </c>
      <c r="B142" s="745">
        <v>42500</v>
      </c>
      <c r="C142" s="746" t="s">
        <v>1772</v>
      </c>
      <c r="D142" s="747">
        <v>3973</v>
      </c>
      <c r="E142" s="747">
        <v>3924</v>
      </c>
      <c r="F142" s="747">
        <v>3874</v>
      </c>
      <c r="G142" s="747">
        <v>3845</v>
      </c>
      <c r="H142" s="747">
        <v>3959</v>
      </c>
      <c r="I142" s="747">
        <v>4131</v>
      </c>
      <c r="J142" s="747">
        <v>4417</v>
      </c>
      <c r="K142" s="747">
        <v>4694</v>
      </c>
      <c r="L142" s="747">
        <v>4748</v>
      </c>
      <c r="M142" s="747">
        <v>4803</v>
      </c>
      <c r="N142" s="747">
        <v>4820</v>
      </c>
      <c r="O142" s="747">
        <v>4826</v>
      </c>
      <c r="P142" s="747">
        <v>4826</v>
      </c>
      <c r="Q142" s="747">
        <v>4827</v>
      </c>
      <c r="R142" s="747">
        <v>4877</v>
      </c>
      <c r="S142" s="747">
        <v>4842</v>
      </c>
      <c r="T142" s="747">
        <v>4794</v>
      </c>
      <c r="U142" s="747">
        <v>4784</v>
      </c>
      <c r="V142" s="747">
        <v>4792</v>
      </c>
      <c r="W142" s="747">
        <v>4826</v>
      </c>
      <c r="X142" s="747">
        <v>4972</v>
      </c>
      <c r="Y142" s="747">
        <v>4782</v>
      </c>
      <c r="Z142" s="747">
        <v>4378</v>
      </c>
      <c r="AA142" s="747">
        <v>4026</v>
      </c>
      <c r="AC142" s="628">
        <f t="shared" ref="AC142:AC205" si="24">AC141+1</f>
        <v>131</v>
      </c>
      <c r="AD142" s="627">
        <f t="shared" ref="AD142:AD205" si="25">ABS(D142-AA141)</f>
        <v>92</v>
      </c>
      <c r="AE142" s="627">
        <f t="shared" si="22"/>
        <v>49</v>
      </c>
      <c r="AF142" s="627">
        <f t="shared" si="22"/>
        <v>50</v>
      </c>
      <c r="AG142" s="627">
        <f t="shared" si="22"/>
        <v>29</v>
      </c>
      <c r="AH142" s="627">
        <f t="shared" si="22"/>
        <v>114</v>
      </c>
      <c r="AI142" s="627">
        <f t="shared" si="22"/>
        <v>172</v>
      </c>
      <c r="AJ142" s="627">
        <f t="shared" si="22"/>
        <v>286</v>
      </c>
      <c r="AK142" s="627">
        <f t="shared" si="22"/>
        <v>277</v>
      </c>
      <c r="AL142" s="627">
        <f t="shared" si="22"/>
        <v>54</v>
      </c>
      <c r="AM142" s="627">
        <f t="shared" si="22"/>
        <v>55</v>
      </c>
      <c r="AN142" s="627">
        <f t="shared" si="21"/>
        <v>17</v>
      </c>
      <c r="AO142" s="627">
        <f t="shared" si="21"/>
        <v>6</v>
      </c>
      <c r="AP142" s="627">
        <f t="shared" si="21"/>
        <v>0</v>
      </c>
      <c r="AQ142" s="627">
        <f t="shared" si="21"/>
        <v>1</v>
      </c>
      <c r="AR142" s="627">
        <f t="shared" si="21"/>
        <v>50</v>
      </c>
      <c r="AS142" s="627">
        <f t="shared" si="21"/>
        <v>35</v>
      </c>
      <c r="AT142" s="627">
        <f t="shared" si="21"/>
        <v>48</v>
      </c>
      <c r="AU142" s="627">
        <f t="shared" si="20"/>
        <v>10</v>
      </c>
      <c r="AV142" s="627">
        <f t="shared" si="20"/>
        <v>8</v>
      </c>
      <c r="AW142" s="627">
        <f t="shared" si="20"/>
        <v>34</v>
      </c>
      <c r="AX142" s="627">
        <f t="shared" si="20"/>
        <v>146</v>
      </c>
      <c r="AY142" s="627">
        <f t="shared" si="20"/>
        <v>190</v>
      </c>
      <c r="AZ142" s="627">
        <f t="shared" si="20"/>
        <v>404</v>
      </c>
      <c r="BA142" s="627">
        <f t="shared" si="20"/>
        <v>352</v>
      </c>
    </row>
    <row r="143" spans="1:53">
      <c r="A143" s="105">
        <f t="shared" si="23"/>
        <v>132</v>
      </c>
      <c r="B143" s="745">
        <v>42501</v>
      </c>
      <c r="C143" s="746" t="s">
        <v>1772</v>
      </c>
      <c r="D143" s="747">
        <v>3960</v>
      </c>
      <c r="E143" s="747">
        <v>3975</v>
      </c>
      <c r="F143" s="747">
        <v>3924</v>
      </c>
      <c r="G143" s="747">
        <v>3892</v>
      </c>
      <c r="H143" s="747">
        <v>3933</v>
      </c>
      <c r="I143" s="747">
        <v>4155</v>
      </c>
      <c r="J143" s="747">
        <v>4404</v>
      </c>
      <c r="K143" s="747">
        <v>4605</v>
      </c>
      <c r="L143" s="747">
        <v>4659</v>
      </c>
      <c r="M143" s="747">
        <v>4693</v>
      </c>
      <c r="N143" s="747">
        <v>4663</v>
      </c>
      <c r="O143" s="747">
        <v>4683</v>
      </c>
      <c r="P143" s="747">
        <v>4726</v>
      </c>
      <c r="Q143" s="747">
        <v>4751</v>
      </c>
      <c r="R143" s="747">
        <v>4733</v>
      </c>
      <c r="S143" s="747">
        <v>4730</v>
      </c>
      <c r="T143" s="747">
        <v>4725</v>
      </c>
      <c r="U143" s="747">
        <v>4729</v>
      </c>
      <c r="V143" s="747">
        <v>4704</v>
      </c>
      <c r="W143" s="747">
        <v>4723</v>
      </c>
      <c r="X143" s="747">
        <v>4899</v>
      </c>
      <c r="Y143" s="747">
        <v>4752</v>
      </c>
      <c r="Z143" s="747">
        <v>4341</v>
      </c>
      <c r="AA143" s="747">
        <v>4004</v>
      </c>
      <c r="AC143" s="628">
        <f t="shared" si="24"/>
        <v>132</v>
      </c>
      <c r="AD143" s="627">
        <f t="shared" si="25"/>
        <v>66</v>
      </c>
      <c r="AE143" s="627">
        <f t="shared" si="22"/>
        <v>15</v>
      </c>
      <c r="AF143" s="627">
        <f t="shared" si="22"/>
        <v>51</v>
      </c>
      <c r="AG143" s="627">
        <f t="shared" si="22"/>
        <v>32</v>
      </c>
      <c r="AH143" s="627">
        <f t="shared" si="22"/>
        <v>41</v>
      </c>
      <c r="AI143" s="627">
        <f t="shared" si="22"/>
        <v>222</v>
      </c>
      <c r="AJ143" s="627">
        <f t="shared" si="22"/>
        <v>249</v>
      </c>
      <c r="AK143" s="627">
        <f t="shared" si="22"/>
        <v>201</v>
      </c>
      <c r="AL143" s="627">
        <f t="shared" si="22"/>
        <v>54</v>
      </c>
      <c r="AM143" s="627">
        <f t="shared" si="22"/>
        <v>34</v>
      </c>
      <c r="AN143" s="627">
        <f t="shared" si="21"/>
        <v>30</v>
      </c>
      <c r="AO143" s="627">
        <f t="shared" si="21"/>
        <v>20</v>
      </c>
      <c r="AP143" s="627">
        <f t="shared" si="21"/>
        <v>43</v>
      </c>
      <c r="AQ143" s="627">
        <f t="shared" si="21"/>
        <v>25</v>
      </c>
      <c r="AR143" s="627">
        <f t="shared" si="21"/>
        <v>18</v>
      </c>
      <c r="AS143" s="627">
        <f t="shared" si="21"/>
        <v>3</v>
      </c>
      <c r="AT143" s="627">
        <f t="shared" si="21"/>
        <v>5</v>
      </c>
      <c r="AU143" s="627">
        <f t="shared" si="20"/>
        <v>4</v>
      </c>
      <c r="AV143" s="627">
        <f t="shared" si="20"/>
        <v>25</v>
      </c>
      <c r="AW143" s="627">
        <f t="shared" si="20"/>
        <v>19</v>
      </c>
      <c r="AX143" s="627">
        <f t="shared" si="20"/>
        <v>176</v>
      </c>
      <c r="AY143" s="627">
        <f t="shared" si="20"/>
        <v>147</v>
      </c>
      <c r="AZ143" s="627">
        <f t="shared" si="20"/>
        <v>411</v>
      </c>
      <c r="BA143" s="627">
        <f t="shared" si="20"/>
        <v>337</v>
      </c>
    </row>
    <row r="144" spans="1:53">
      <c r="A144" s="105">
        <f t="shared" si="23"/>
        <v>133</v>
      </c>
      <c r="B144" s="745">
        <v>42502</v>
      </c>
      <c r="C144" s="746" t="s">
        <v>1772</v>
      </c>
      <c r="D144" s="747">
        <v>3865</v>
      </c>
      <c r="E144" s="747">
        <v>3886</v>
      </c>
      <c r="F144" s="747">
        <v>3918</v>
      </c>
      <c r="G144" s="747">
        <v>3923</v>
      </c>
      <c r="H144" s="747">
        <v>3979</v>
      </c>
      <c r="I144" s="747">
        <v>4155</v>
      </c>
      <c r="J144" s="747">
        <v>4390</v>
      </c>
      <c r="K144" s="747">
        <v>4567</v>
      </c>
      <c r="L144" s="747">
        <v>4614</v>
      </c>
      <c r="M144" s="747">
        <v>4564</v>
      </c>
      <c r="N144" s="747">
        <v>4659</v>
      </c>
      <c r="O144" s="747">
        <v>4683</v>
      </c>
      <c r="P144" s="747">
        <v>4671</v>
      </c>
      <c r="Q144" s="747">
        <v>4681</v>
      </c>
      <c r="R144" s="747">
        <v>4684</v>
      </c>
      <c r="S144" s="747">
        <v>4724</v>
      </c>
      <c r="T144" s="747">
        <v>4788</v>
      </c>
      <c r="U144" s="747">
        <v>4823</v>
      </c>
      <c r="V144" s="747">
        <v>4841</v>
      </c>
      <c r="W144" s="747">
        <v>4821</v>
      </c>
      <c r="X144" s="747">
        <v>4978</v>
      </c>
      <c r="Y144" s="747">
        <v>4802</v>
      </c>
      <c r="Z144" s="747">
        <v>4385</v>
      </c>
      <c r="AA144" s="747">
        <v>4012</v>
      </c>
      <c r="AC144" s="628">
        <f t="shared" si="24"/>
        <v>133</v>
      </c>
      <c r="AD144" s="627">
        <f t="shared" si="25"/>
        <v>139</v>
      </c>
      <c r="AE144" s="627">
        <f t="shared" si="22"/>
        <v>21</v>
      </c>
      <c r="AF144" s="627">
        <f t="shared" si="22"/>
        <v>32</v>
      </c>
      <c r="AG144" s="627">
        <f t="shared" si="22"/>
        <v>5</v>
      </c>
      <c r="AH144" s="627">
        <f t="shared" si="22"/>
        <v>56</v>
      </c>
      <c r="AI144" s="627">
        <f t="shared" si="22"/>
        <v>176</v>
      </c>
      <c r="AJ144" s="627">
        <f t="shared" si="22"/>
        <v>235</v>
      </c>
      <c r="AK144" s="627">
        <f t="shared" si="22"/>
        <v>177</v>
      </c>
      <c r="AL144" s="627">
        <f t="shared" si="22"/>
        <v>47</v>
      </c>
      <c r="AM144" s="627">
        <f t="shared" si="22"/>
        <v>50</v>
      </c>
      <c r="AN144" s="627">
        <f t="shared" si="21"/>
        <v>95</v>
      </c>
      <c r="AO144" s="627">
        <f t="shared" si="21"/>
        <v>24</v>
      </c>
      <c r="AP144" s="627">
        <f t="shared" si="21"/>
        <v>12</v>
      </c>
      <c r="AQ144" s="627">
        <f t="shared" si="21"/>
        <v>10</v>
      </c>
      <c r="AR144" s="627">
        <f t="shared" si="21"/>
        <v>3</v>
      </c>
      <c r="AS144" s="627">
        <f t="shared" si="21"/>
        <v>40</v>
      </c>
      <c r="AT144" s="627">
        <f t="shared" si="21"/>
        <v>64</v>
      </c>
      <c r="AU144" s="627">
        <f t="shared" si="20"/>
        <v>35</v>
      </c>
      <c r="AV144" s="627">
        <f t="shared" si="20"/>
        <v>18</v>
      </c>
      <c r="AW144" s="627">
        <f t="shared" si="20"/>
        <v>20</v>
      </c>
      <c r="AX144" s="627">
        <f t="shared" si="20"/>
        <v>157</v>
      </c>
      <c r="AY144" s="627">
        <f t="shared" si="20"/>
        <v>176</v>
      </c>
      <c r="AZ144" s="627">
        <f t="shared" si="20"/>
        <v>417</v>
      </c>
      <c r="BA144" s="627">
        <f t="shared" si="20"/>
        <v>373</v>
      </c>
    </row>
    <row r="145" spans="1:53">
      <c r="A145" s="105">
        <f t="shared" si="23"/>
        <v>134</v>
      </c>
      <c r="B145" s="745">
        <v>42503</v>
      </c>
      <c r="C145" s="746" t="s">
        <v>1772</v>
      </c>
      <c r="D145" s="747">
        <v>3974</v>
      </c>
      <c r="E145" s="747">
        <v>3895</v>
      </c>
      <c r="F145" s="747">
        <v>3816</v>
      </c>
      <c r="G145" s="747">
        <v>3827</v>
      </c>
      <c r="H145" s="747">
        <v>3895</v>
      </c>
      <c r="I145" s="747">
        <v>3996</v>
      </c>
      <c r="J145" s="747">
        <v>4331</v>
      </c>
      <c r="K145" s="747">
        <v>4522</v>
      </c>
      <c r="L145" s="747">
        <v>4634</v>
      </c>
      <c r="M145" s="747">
        <v>4742</v>
      </c>
      <c r="N145" s="747">
        <v>4765</v>
      </c>
      <c r="O145" s="747">
        <v>4791</v>
      </c>
      <c r="P145" s="747">
        <v>4780</v>
      </c>
      <c r="Q145" s="747">
        <v>4778</v>
      </c>
      <c r="R145" s="747">
        <v>4762</v>
      </c>
      <c r="S145" s="747">
        <v>4767</v>
      </c>
      <c r="T145" s="747">
        <v>4737</v>
      </c>
      <c r="U145" s="747">
        <v>4704</v>
      </c>
      <c r="V145" s="747">
        <v>4675</v>
      </c>
      <c r="W145" s="747">
        <v>4678</v>
      </c>
      <c r="X145" s="747">
        <v>4776</v>
      </c>
      <c r="Y145" s="747">
        <v>4644</v>
      </c>
      <c r="Z145" s="747">
        <v>4308</v>
      </c>
      <c r="AA145" s="747">
        <v>4001</v>
      </c>
      <c r="AC145" s="628">
        <f t="shared" si="24"/>
        <v>134</v>
      </c>
      <c r="AD145" s="627">
        <f t="shared" si="25"/>
        <v>38</v>
      </c>
      <c r="AE145" s="627">
        <f t="shared" si="22"/>
        <v>79</v>
      </c>
      <c r="AF145" s="627">
        <f t="shared" si="22"/>
        <v>79</v>
      </c>
      <c r="AG145" s="627">
        <f t="shared" si="22"/>
        <v>11</v>
      </c>
      <c r="AH145" s="627">
        <f t="shared" si="22"/>
        <v>68</v>
      </c>
      <c r="AI145" s="627">
        <f t="shared" si="22"/>
        <v>101</v>
      </c>
      <c r="AJ145" s="627">
        <f t="shared" si="22"/>
        <v>335</v>
      </c>
      <c r="AK145" s="627">
        <f t="shared" si="22"/>
        <v>191</v>
      </c>
      <c r="AL145" s="627">
        <f t="shared" si="22"/>
        <v>112</v>
      </c>
      <c r="AM145" s="627">
        <f t="shared" si="22"/>
        <v>108</v>
      </c>
      <c r="AN145" s="627">
        <f t="shared" si="21"/>
        <v>23</v>
      </c>
      <c r="AO145" s="627">
        <f t="shared" si="21"/>
        <v>26</v>
      </c>
      <c r="AP145" s="627">
        <f t="shared" si="21"/>
        <v>11</v>
      </c>
      <c r="AQ145" s="627">
        <f t="shared" si="21"/>
        <v>2</v>
      </c>
      <c r="AR145" s="627">
        <f t="shared" si="21"/>
        <v>16</v>
      </c>
      <c r="AS145" s="627">
        <f t="shared" si="21"/>
        <v>5</v>
      </c>
      <c r="AT145" s="627">
        <f t="shared" si="21"/>
        <v>30</v>
      </c>
      <c r="AU145" s="627">
        <f t="shared" si="20"/>
        <v>33</v>
      </c>
      <c r="AV145" s="627">
        <f t="shared" si="20"/>
        <v>29</v>
      </c>
      <c r="AW145" s="627">
        <f t="shared" si="20"/>
        <v>3</v>
      </c>
      <c r="AX145" s="627">
        <f t="shared" si="20"/>
        <v>98</v>
      </c>
      <c r="AY145" s="627">
        <f t="shared" si="20"/>
        <v>132</v>
      </c>
      <c r="AZ145" s="627">
        <f t="shared" si="20"/>
        <v>336</v>
      </c>
      <c r="BA145" s="627">
        <f t="shared" si="20"/>
        <v>307</v>
      </c>
    </row>
    <row r="146" spans="1:53">
      <c r="A146" s="105">
        <f t="shared" si="23"/>
        <v>135</v>
      </c>
      <c r="B146" s="745">
        <v>42504</v>
      </c>
      <c r="C146" s="746" t="s">
        <v>1772</v>
      </c>
      <c r="D146" s="747">
        <v>3818</v>
      </c>
      <c r="E146" s="747">
        <v>3799</v>
      </c>
      <c r="F146" s="747">
        <v>3761</v>
      </c>
      <c r="G146" s="747">
        <v>3709</v>
      </c>
      <c r="H146" s="747">
        <v>3735</v>
      </c>
      <c r="I146" s="747">
        <v>3792</v>
      </c>
      <c r="J146" s="747">
        <v>3820</v>
      </c>
      <c r="K146" s="747">
        <v>4021</v>
      </c>
      <c r="L146" s="747">
        <v>4184</v>
      </c>
      <c r="M146" s="747">
        <v>4329</v>
      </c>
      <c r="N146" s="747">
        <v>4374</v>
      </c>
      <c r="O146" s="747">
        <v>4338</v>
      </c>
      <c r="P146" s="747">
        <v>4295</v>
      </c>
      <c r="Q146" s="747">
        <v>4261</v>
      </c>
      <c r="R146" s="747">
        <v>4232</v>
      </c>
      <c r="S146" s="747">
        <v>4219</v>
      </c>
      <c r="T146" s="747">
        <v>4266</v>
      </c>
      <c r="U146" s="747">
        <v>4364</v>
      </c>
      <c r="V146" s="747">
        <v>4363</v>
      </c>
      <c r="W146" s="747">
        <v>4421</v>
      </c>
      <c r="X146" s="747">
        <v>4595</v>
      </c>
      <c r="Y146" s="747">
        <v>4495</v>
      </c>
      <c r="Z146" s="747">
        <v>4200</v>
      </c>
      <c r="AA146" s="747">
        <v>3921</v>
      </c>
      <c r="AC146" s="628">
        <f t="shared" si="24"/>
        <v>135</v>
      </c>
      <c r="AD146" s="627">
        <f t="shared" si="25"/>
        <v>183</v>
      </c>
      <c r="AE146" s="627">
        <f t="shared" si="22"/>
        <v>19</v>
      </c>
      <c r="AF146" s="627">
        <f t="shared" si="22"/>
        <v>38</v>
      </c>
      <c r="AG146" s="627">
        <f t="shared" si="22"/>
        <v>52</v>
      </c>
      <c r="AH146" s="627">
        <f t="shared" si="22"/>
        <v>26</v>
      </c>
      <c r="AI146" s="627">
        <f t="shared" si="22"/>
        <v>57</v>
      </c>
      <c r="AJ146" s="627">
        <f t="shared" si="22"/>
        <v>28</v>
      </c>
      <c r="AK146" s="627">
        <f t="shared" si="22"/>
        <v>201</v>
      </c>
      <c r="AL146" s="627">
        <f t="shared" si="22"/>
        <v>163</v>
      </c>
      <c r="AM146" s="627">
        <f t="shared" si="22"/>
        <v>145</v>
      </c>
      <c r="AN146" s="627">
        <f t="shared" si="21"/>
        <v>45</v>
      </c>
      <c r="AO146" s="627">
        <f t="shared" si="21"/>
        <v>36</v>
      </c>
      <c r="AP146" s="627">
        <f t="shared" si="21"/>
        <v>43</v>
      </c>
      <c r="AQ146" s="627">
        <f t="shared" si="21"/>
        <v>34</v>
      </c>
      <c r="AR146" s="627">
        <f t="shared" si="21"/>
        <v>29</v>
      </c>
      <c r="AS146" s="627">
        <f t="shared" si="21"/>
        <v>13</v>
      </c>
      <c r="AT146" s="627">
        <f t="shared" si="21"/>
        <v>47</v>
      </c>
      <c r="AU146" s="627">
        <f t="shared" si="20"/>
        <v>98</v>
      </c>
      <c r="AV146" s="627">
        <f t="shared" si="20"/>
        <v>1</v>
      </c>
      <c r="AW146" s="627">
        <f t="shared" si="20"/>
        <v>58</v>
      </c>
      <c r="AX146" s="627">
        <f t="shared" si="20"/>
        <v>174</v>
      </c>
      <c r="AY146" s="627">
        <f t="shared" si="20"/>
        <v>100</v>
      </c>
      <c r="AZ146" s="627">
        <f t="shared" si="20"/>
        <v>295</v>
      </c>
      <c r="BA146" s="627">
        <f t="shared" si="20"/>
        <v>279</v>
      </c>
    </row>
    <row r="147" spans="1:53">
      <c r="A147" s="105">
        <f t="shared" si="23"/>
        <v>136</v>
      </c>
      <c r="B147" s="745">
        <v>42505</v>
      </c>
      <c r="C147" s="746" t="s">
        <v>1772</v>
      </c>
      <c r="D147" s="747">
        <v>3890</v>
      </c>
      <c r="E147" s="747">
        <v>3843</v>
      </c>
      <c r="F147" s="747">
        <v>3769</v>
      </c>
      <c r="G147" s="747">
        <v>3746</v>
      </c>
      <c r="H147" s="747">
        <v>3767</v>
      </c>
      <c r="I147" s="747">
        <v>3793</v>
      </c>
      <c r="J147" s="747">
        <v>3758</v>
      </c>
      <c r="K147" s="747">
        <v>3913</v>
      </c>
      <c r="L147" s="747">
        <v>3987</v>
      </c>
      <c r="M147" s="747">
        <v>4087</v>
      </c>
      <c r="N147" s="747">
        <v>4154</v>
      </c>
      <c r="O147" s="747">
        <v>4179</v>
      </c>
      <c r="P147" s="747">
        <v>4145</v>
      </c>
      <c r="Q147" s="747">
        <v>4193</v>
      </c>
      <c r="R147" s="747">
        <v>4207</v>
      </c>
      <c r="S147" s="747">
        <v>4208</v>
      </c>
      <c r="T147" s="747">
        <v>4301</v>
      </c>
      <c r="U147" s="747">
        <v>4414</v>
      </c>
      <c r="V147" s="747">
        <v>4542</v>
      </c>
      <c r="W147" s="747">
        <v>4545</v>
      </c>
      <c r="X147" s="747">
        <v>4621</v>
      </c>
      <c r="Y147" s="747">
        <v>4467</v>
      </c>
      <c r="Z147" s="747">
        <v>4279</v>
      </c>
      <c r="AA147" s="747">
        <v>4037</v>
      </c>
      <c r="AC147" s="628">
        <f t="shared" si="24"/>
        <v>136</v>
      </c>
      <c r="AD147" s="627">
        <f t="shared" si="25"/>
        <v>31</v>
      </c>
      <c r="AE147" s="627">
        <f t="shared" si="22"/>
        <v>47</v>
      </c>
      <c r="AF147" s="627">
        <f t="shared" si="22"/>
        <v>74</v>
      </c>
      <c r="AG147" s="627">
        <f t="shared" si="22"/>
        <v>23</v>
      </c>
      <c r="AH147" s="627">
        <f t="shared" si="22"/>
        <v>21</v>
      </c>
      <c r="AI147" s="627">
        <f t="shared" si="22"/>
        <v>26</v>
      </c>
      <c r="AJ147" s="627">
        <f t="shared" si="22"/>
        <v>35</v>
      </c>
      <c r="AK147" s="627">
        <f t="shared" si="22"/>
        <v>155</v>
      </c>
      <c r="AL147" s="627">
        <f t="shared" si="22"/>
        <v>74</v>
      </c>
      <c r="AM147" s="627">
        <f t="shared" si="22"/>
        <v>100</v>
      </c>
      <c r="AN147" s="627">
        <f t="shared" si="21"/>
        <v>67</v>
      </c>
      <c r="AO147" s="627">
        <f t="shared" si="21"/>
        <v>25</v>
      </c>
      <c r="AP147" s="627">
        <f t="shared" si="21"/>
        <v>34</v>
      </c>
      <c r="AQ147" s="627">
        <f t="shared" si="21"/>
        <v>48</v>
      </c>
      <c r="AR147" s="627">
        <f t="shared" si="21"/>
        <v>14</v>
      </c>
      <c r="AS147" s="627">
        <f t="shared" si="21"/>
        <v>1</v>
      </c>
      <c r="AT147" s="627">
        <f t="shared" si="21"/>
        <v>93</v>
      </c>
      <c r="AU147" s="627">
        <f t="shared" si="20"/>
        <v>113</v>
      </c>
      <c r="AV147" s="627">
        <f t="shared" si="20"/>
        <v>128</v>
      </c>
      <c r="AW147" s="627">
        <f t="shared" si="20"/>
        <v>3</v>
      </c>
      <c r="AX147" s="627">
        <f t="shared" si="20"/>
        <v>76</v>
      </c>
      <c r="AY147" s="627">
        <f t="shared" si="20"/>
        <v>154</v>
      </c>
      <c r="AZ147" s="627">
        <f t="shared" si="20"/>
        <v>188</v>
      </c>
      <c r="BA147" s="627">
        <f t="shared" si="20"/>
        <v>242</v>
      </c>
    </row>
    <row r="148" spans="1:53">
      <c r="A148" s="105">
        <f t="shared" si="23"/>
        <v>137</v>
      </c>
      <c r="B148" s="745">
        <v>42506</v>
      </c>
      <c r="C148" s="746" t="s">
        <v>1772</v>
      </c>
      <c r="D148" s="747">
        <v>3830</v>
      </c>
      <c r="E148" s="747">
        <v>3713</v>
      </c>
      <c r="F148" s="747">
        <v>3564</v>
      </c>
      <c r="G148" s="747">
        <v>3550</v>
      </c>
      <c r="H148" s="747">
        <v>3593</v>
      </c>
      <c r="I148" s="747">
        <v>3879</v>
      </c>
      <c r="J148" s="747">
        <v>4279</v>
      </c>
      <c r="K148" s="747">
        <v>4639</v>
      </c>
      <c r="L148" s="747">
        <v>4863</v>
      </c>
      <c r="M148" s="747">
        <v>4976</v>
      </c>
      <c r="N148" s="747">
        <v>5043</v>
      </c>
      <c r="O148" s="747">
        <v>5104</v>
      </c>
      <c r="P148" s="747">
        <v>5135</v>
      </c>
      <c r="Q148" s="747">
        <v>5118</v>
      </c>
      <c r="R148" s="747">
        <v>5102</v>
      </c>
      <c r="S148" s="747">
        <v>5046</v>
      </c>
      <c r="T148" s="747">
        <v>5091</v>
      </c>
      <c r="U148" s="747">
        <v>5117</v>
      </c>
      <c r="V148" s="747">
        <v>5073</v>
      </c>
      <c r="W148" s="747">
        <v>5024</v>
      </c>
      <c r="X148" s="747">
        <v>5086</v>
      </c>
      <c r="Y148" s="747">
        <v>4851</v>
      </c>
      <c r="Z148" s="747">
        <v>4428</v>
      </c>
      <c r="AA148" s="747">
        <v>4202</v>
      </c>
      <c r="AC148" s="628">
        <f t="shared" si="24"/>
        <v>137</v>
      </c>
      <c r="AD148" s="627">
        <f t="shared" si="25"/>
        <v>207</v>
      </c>
      <c r="AE148" s="627">
        <f t="shared" si="22"/>
        <v>117</v>
      </c>
      <c r="AF148" s="627">
        <f t="shared" si="22"/>
        <v>149</v>
      </c>
      <c r="AG148" s="627">
        <f t="shared" si="22"/>
        <v>14</v>
      </c>
      <c r="AH148" s="627">
        <f t="shared" si="22"/>
        <v>43</v>
      </c>
      <c r="AI148" s="627">
        <f t="shared" si="22"/>
        <v>286</v>
      </c>
      <c r="AJ148" s="627">
        <f t="shared" si="22"/>
        <v>400</v>
      </c>
      <c r="AK148" s="627">
        <f t="shared" si="22"/>
        <v>360</v>
      </c>
      <c r="AL148" s="627">
        <f t="shared" si="22"/>
        <v>224</v>
      </c>
      <c r="AM148" s="627">
        <f t="shared" si="22"/>
        <v>113</v>
      </c>
      <c r="AN148" s="627">
        <f t="shared" si="21"/>
        <v>67</v>
      </c>
      <c r="AO148" s="627">
        <f t="shared" si="21"/>
        <v>61</v>
      </c>
      <c r="AP148" s="627">
        <f t="shared" si="21"/>
        <v>31</v>
      </c>
      <c r="AQ148" s="627">
        <f t="shared" si="21"/>
        <v>17</v>
      </c>
      <c r="AR148" s="627">
        <f t="shared" si="21"/>
        <v>16</v>
      </c>
      <c r="AS148" s="627">
        <f t="shared" si="21"/>
        <v>56</v>
      </c>
      <c r="AT148" s="627">
        <f t="shared" si="21"/>
        <v>45</v>
      </c>
      <c r="AU148" s="627">
        <f t="shared" si="20"/>
        <v>26</v>
      </c>
      <c r="AV148" s="627">
        <f t="shared" si="20"/>
        <v>44</v>
      </c>
      <c r="AW148" s="627">
        <f t="shared" si="20"/>
        <v>49</v>
      </c>
      <c r="AX148" s="627">
        <f t="shared" si="20"/>
        <v>62</v>
      </c>
      <c r="AY148" s="627">
        <f t="shared" si="20"/>
        <v>235</v>
      </c>
      <c r="AZ148" s="627">
        <f t="shared" si="20"/>
        <v>423</v>
      </c>
      <c r="BA148" s="627">
        <f t="shared" si="20"/>
        <v>226</v>
      </c>
    </row>
    <row r="149" spans="1:53">
      <c r="A149" s="105">
        <f t="shared" si="23"/>
        <v>138</v>
      </c>
      <c r="B149" s="745">
        <v>42507</v>
      </c>
      <c r="C149" s="746" t="s">
        <v>1772</v>
      </c>
      <c r="D149" s="747">
        <v>4108</v>
      </c>
      <c r="E149" s="747">
        <v>3999</v>
      </c>
      <c r="F149" s="747">
        <v>3981</v>
      </c>
      <c r="G149" s="747">
        <v>3920</v>
      </c>
      <c r="H149" s="747">
        <v>3959</v>
      </c>
      <c r="I149" s="747">
        <v>4175</v>
      </c>
      <c r="J149" s="747">
        <v>4558</v>
      </c>
      <c r="K149" s="747">
        <v>4849</v>
      </c>
      <c r="L149" s="747">
        <v>4953</v>
      </c>
      <c r="M149" s="747">
        <v>5013</v>
      </c>
      <c r="N149" s="747">
        <v>5047</v>
      </c>
      <c r="O149" s="747">
        <v>5040</v>
      </c>
      <c r="P149" s="747">
        <v>5010</v>
      </c>
      <c r="Q149" s="747">
        <v>4962</v>
      </c>
      <c r="R149" s="747">
        <v>4917</v>
      </c>
      <c r="S149" s="747">
        <v>4908</v>
      </c>
      <c r="T149" s="747">
        <v>4938</v>
      </c>
      <c r="U149" s="747">
        <v>5006</v>
      </c>
      <c r="V149" s="747">
        <v>5005</v>
      </c>
      <c r="W149" s="747">
        <v>4974</v>
      </c>
      <c r="X149" s="747">
        <v>5110</v>
      </c>
      <c r="Y149" s="747">
        <v>4898</v>
      </c>
      <c r="Z149" s="747">
        <v>4528</v>
      </c>
      <c r="AA149" s="747">
        <v>4361</v>
      </c>
      <c r="AC149" s="628">
        <f t="shared" si="24"/>
        <v>138</v>
      </c>
      <c r="AD149" s="627">
        <f t="shared" si="25"/>
        <v>94</v>
      </c>
      <c r="AE149" s="627">
        <f t="shared" si="22"/>
        <v>109</v>
      </c>
      <c r="AF149" s="627">
        <f t="shared" si="22"/>
        <v>18</v>
      </c>
      <c r="AG149" s="627">
        <f t="shared" si="22"/>
        <v>61</v>
      </c>
      <c r="AH149" s="627">
        <f t="shared" si="22"/>
        <v>39</v>
      </c>
      <c r="AI149" s="627">
        <f t="shared" si="22"/>
        <v>216</v>
      </c>
      <c r="AJ149" s="627">
        <f t="shared" si="22"/>
        <v>383</v>
      </c>
      <c r="AK149" s="627">
        <f t="shared" si="22"/>
        <v>291</v>
      </c>
      <c r="AL149" s="627">
        <f t="shared" si="22"/>
        <v>104</v>
      </c>
      <c r="AM149" s="627">
        <f t="shared" si="22"/>
        <v>60</v>
      </c>
      <c r="AN149" s="627">
        <f t="shared" si="21"/>
        <v>34</v>
      </c>
      <c r="AO149" s="627">
        <f t="shared" si="21"/>
        <v>7</v>
      </c>
      <c r="AP149" s="627">
        <f t="shared" si="21"/>
        <v>30</v>
      </c>
      <c r="AQ149" s="627">
        <f t="shared" si="21"/>
        <v>48</v>
      </c>
      <c r="AR149" s="627">
        <f t="shared" si="21"/>
        <v>45</v>
      </c>
      <c r="AS149" s="627">
        <f t="shared" si="21"/>
        <v>9</v>
      </c>
      <c r="AT149" s="627">
        <f t="shared" si="21"/>
        <v>30</v>
      </c>
      <c r="AU149" s="627">
        <f t="shared" si="20"/>
        <v>68</v>
      </c>
      <c r="AV149" s="627">
        <f t="shared" si="20"/>
        <v>1</v>
      </c>
      <c r="AW149" s="627">
        <f t="shared" si="20"/>
        <v>31</v>
      </c>
      <c r="AX149" s="627">
        <f t="shared" si="20"/>
        <v>136</v>
      </c>
      <c r="AY149" s="627">
        <f t="shared" si="20"/>
        <v>212</v>
      </c>
      <c r="AZ149" s="627">
        <f t="shared" si="20"/>
        <v>370</v>
      </c>
      <c r="BA149" s="627">
        <f t="shared" si="20"/>
        <v>167</v>
      </c>
    </row>
    <row r="150" spans="1:53">
      <c r="A150" s="105">
        <f t="shared" si="23"/>
        <v>139</v>
      </c>
      <c r="B150" s="745">
        <v>42508</v>
      </c>
      <c r="C150" s="746" t="s">
        <v>1772</v>
      </c>
      <c r="D150" s="747">
        <v>4194</v>
      </c>
      <c r="E150" s="747">
        <v>4068</v>
      </c>
      <c r="F150" s="747">
        <v>4006</v>
      </c>
      <c r="G150" s="747">
        <v>3938</v>
      </c>
      <c r="H150" s="747">
        <v>4008</v>
      </c>
      <c r="I150" s="747">
        <v>4186</v>
      </c>
      <c r="J150" s="747">
        <v>4524</v>
      </c>
      <c r="K150" s="747">
        <v>4723</v>
      </c>
      <c r="L150" s="747">
        <v>4733</v>
      </c>
      <c r="M150" s="747">
        <v>4712</v>
      </c>
      <c r="N150" s="747">
        <v>4670</v>
      </c>
      <c r="O150" s="747">
        <v>4689</v>
      </c>
      <c r="P150" s="747">
        <v>4706</v>
      </c>
      <c r="Q150" s="747">
        <v>4657</v>
      </c>
      <c r="R150" s="747">
        <v>4758</v>
      </c>
      <c r="S150" s="747">
        <v>4749</v>
      </c>
      <c r="T150" s="747">
        <v>4826</v>
      </c>
      <c r="U150" s="747">
        <v>4841</v>
      </c>
      <c r="V150" s="747">
        <v>4845</v>
      </c>
      <c r="W150" s="747">
        <v>4839</v>
      </c>
      <c r="X150" s="747">
        <v>4954</v>
      </c>
      <c r="Y150" s="747">
        <v>4823</v>
      </c>
      <c r="Z150" s="747">
        <v>4538</v>
      </c>
      <c r="AA150" s="747">
        <v>4312</v>
      </c>
      <c r="AC150" s="628">
        <f t="shared" si="24"/>
        <v>139</v>
      </c>
      <c r="AD150" s="627">
        <f t="shared" si="25"/>
        <v>167</v>
      </c>
      <c r="AE150" s="627">
        <f t="shared" si="22"/>
        <v>126</v>
      </c>
      <c r="AF150" s="627">
        <f t="shared" si="22"/>
        <v>62</v>
      </c>
      <c r="AG150" s="627">
        <f t="shared" si="22"/>
        <v>68</v>
      </c>
      <c r="AH150" s="627">
        <f t="shared" si="22"/>
        <v>70</v>
      </c>
      <c r="AI150" s="627">
        <f t="shared" si="22"/>
        <v>178</v>
      </c>
      <c r="AJ150" s="627">
        <f t="shared" si="22"/>
        <v>338</v>
      </c>
      <c r="AK150" s="627">
        <f t="shared" si="22"/>
        <v>199</v>
      </c>
      <c r="AL150" s="627">
        <f t="shared" si="22"/>
        <v>10</v>
      </c>
      <c r="AM150" s="627">
        <f t="shared" si="22"/>
        <v>21</v>
      </c>
      <c r="AN150" s="627">
        <f t="shared" si="21"/>
        <v>42</v>
      </c>
      <c r="AO150" s="627">
        <f t="shared" si="21"/>
        <v>19</v>
      </c>
      <c r="AP150" s="627">
        <f t="shared" si="21"/>
        <v>17</v>
      </c>
      <c r="AQ150" s="627">
        <f t="shared" si="21"/>
        <v>49</v>
      </c>
      <c r="AR150" s="627">
        <f t="shared" si="21"/>
        <v>101</v>
      </c>
      <c r="AS150" s="627">
        <f t="shared" si="21"/>
        <v>9</v>
      </c>
      <c r="AT150" s="627">
        <f t="shared" si="21"/>
        <v>77</v>
      </c>
      <c r="AU150" s="627">
        <f t="shared" si="20"/>
        <v>15</v>
      </c>
      <c r="AV150" s="627">
        <f t="shared" si="20"/>
        <v>4</v>
      </c>
      <c r="AW150" s="627">
        <f t="shared" si="20"/>
        <v>6</v>
      </c>
      <c r="AX150" s="627">
        <f t="shared" si="20"/>
        <v>115</v>
      </c>
      <c r="AY150" s="627">
        <f t="shared" si="20"/>
        <v>131</v>
      </c>
      <c r="AZ150" s="627">
        <f t="shared" si="20"/>
        <v>285</v>
      </c>
      <c r="BA150" s="627">
        <f t="shared" si="20"/>
        <v>226</v>
      </c>
    </row>
    <row r="151" spans="1:53">
      <c r="A151" s="105">
        <f t="shared" si="23"/>
        <v>140</v>
      </c>
      <c r="B151" s="745">
        <v>42509</v>
      </c>
      <c r="C151" s="746" t="s">
        <v>1772</v>
      </c>
      <c r="D151" s="747">
        <v>4107</v>
      </c>
      <c r="E151" s="747">
        <v>3984</v>
      </c>
      <c r="F151" s="747">
        <v>3931</v>
      </c>
      <c r="G151" s="747">
        <v>3940</v>
      </c>
      <c r="H151" s="747">
        <v>3912</v>
      </c>
      <c r="I151" s="747">
        <v>4071</v>
      </c>
      <c r="J151" s="747">
        <v>4314</v>
      </c>
      <c r="K151" s="747">
        <v>4579</v>
      </c>
      <c r="L151" s="747">
        <v>4657</v>
      </c>
      <c r="M151" s="747">
        <v>4736</v>
      </c>
      <c r="N151" s="747">
        <v>4823</v>
      </c>
      <c r="O151" s="747">
        <v>4867</v>
      </c>
      <c r="P151" s="747">
        <v>4873</v>
      </c>
      <c r="Q151" s="747">
        <v>4947</v>
      </c>
      <c r="R151" s="747">
        <v>4943</v>
      </c>
      <c r="S151" s="747">
        <v>4979</v>
      </c>
      <c r="T151" s="747">
        <v>5049</v>
      </c>
      <c r="U151" s="747">
        <v>5048</v>
      </c>
      <c r="V151" s="747">
        <v>5006</v>
      </c>
      <c r="W151" s="747">
        <v>4938</v>
      </c>
      <c r="X151" s="747">
        <v>5056</v>
      </c>
      <c r="Y151" s="747">
        <v>4996</v>
      </c>
      <c r="Z151" s="747">
        <v>4682</v>
      </c>
      <c r="AA151" s="747">
        <v>4352</v>
      </c>
      <c r="AC151" s="628">
        <f t="shared" si="24"/>
        <v>140</v>
      </c>
      <c r="AD151" s="627">
        <f t="shared" si="25"/>
        <v>205</v>
      </c>
      <c r="AE151" s="627">
        <f t="shared" si="22"/>
        <v>123</v>
      </c>
      <c r="AF151" s="627">
        <f t="shared" si="22"/>
        <v>53</v>
      </c>
      <c r="AG151" s="627">
        <f t="shared" si="22"/>
        <v>9</v>
      </c>
      <c r="AH151" s="627">
        <f t="shared" si="22"/>
        <v>28</v>
      </c>
      <c r="AI151" s="627">
        <f t="shared" si="22"/>
        <v>159</v>
      </c>
      <c r="AJ151" s="627">
        <f t="shared" si="22"/>
        <v>243</v>
      </c>
      <c r="AK151" s="627">
        <f t="shared" si="22"/>
        <v>265</v>
      </c>
      <c r="AL151" s="627">
        <f t="shared" si="22"/>
        <v>78</v>
      </c>
      <c r="AM151" s="627">
        <f t="shared" si="22"/>
        <v>79</v>
      </c>
      <c r="AN151" s="627">
        <f t="shared" si="21"/>
        <v>87</v>
      </c>
      <c r="AO151" s="627">
        <f t="shared" si="21"/>
        <v>44</v>
      </c>
      <c r="AP151" s="627">
        <f t="shared" si="21"/>
        <v>6</v>
      </c>
      <c r="AQ151" s="627">
        <f t="shared" si="21"/>
        <v>74</v>
      </c>
      <c r="AR151" s="627">
        <f t="shared" si="21"/>
        <v>4</v>
      </c>
      <c r="AS151" s="627">
        <f t="shared" si="21"/>
        <v>36</v>
      </c>
      <c r="AT151" s="627">
        <f t="shared" si="21"/>
        <v>70</v>
      </c>
      <c r="AU151" s="627">
        <f t="shared" si="20"/>
        <v>1</v>
      </c>
      <c r="AV151" s="627">
        <f t="shared" si="20"/>
        <v>42</v>
      </c>
      <c r="AW151" s="627">
        <f t="shared" si="20"/>
        <v>68</v>
      </c>
      <c r="AX151" s="627">
        <f t="shared" si="20"/>
        <v>118</v>
      </c>
      <c r="AY151" s="627">
        <f t="shared" si="20"/>
        <v>60</v>
      </c>
      <c r="AZ151" s="627">
        <f t="shared" si="20"/>
        <v>314</v>
      </c>
      <c r="BA151" s="627">
        <f t="shared" si="20"/>
        <v>330</v>
      </c>
    </row>
    <row r="152" spans="1:53">
      <c r="A152" s="105">
        <f t="shared" si="23"/>
        <v>141</v>
      </c>
      <c r="B152" s="745">
        <v>42510</v>
      </c>
      <c r="C152" s="746" t="s">
        <v>1772</v>
      </c>
      <c r="D152" s="747">
        <v>4096</v>
      </c>
      <c r="E152" s="747">
        <v>3949</v>
      </c>
      <c r="F152" s="747">
        <v>3811</v>
      </c>
      <c r="G152" s="747">
        <v>3750</v>
      </c>
      <c r="H152" s="747">
        <v>3730</v>
      </c>
      <c r="I152" s="747">
        <v>3879</v>
      </c>
      <c r="J152" s="747">
        <v>4227</v>
      </c>
      <c r="K152" s="747">
        <v>4517</v>
      </c>
      <c r="L152" s="747">
        <v>4669</v>
      </c>
      <c r="M152" s="747">
        <v>4782</v>
      </c>
      <c r="N152" s="747">
        <v>4897</v>
      </c>
      <c r="O152" s="747">
        <v>4960</v>
      </c>
      <c r="P152" s="747">
        <v>5017</v>
      </c>
      <c r="Q152" s="747">
        <v>5092</v>
      </c>
      <c r="R152" s="747">
        <v>5142</v>
      </c>
      <c r="S152" s="747">
        <v>5181</v>
      </c>
      <c r="T152" s="747">
        <v>5254</v>
      </c>
      <c r="U152" s="747">
        <v>5243</v>
      </c>
      <c r="V152" s="747">
        <v>5120</v>
      </c>
      <c r="W152" s="747">
        <v>5026</v>
      </c>
      <c r="X152" s="747">
        <v>5079</v>
      </c>
      <c r="Y152" s="747">
        <v>4981</v>
      </c>
      <c r="Z152" s="747">
        <v>4693</v>
      </c>
      <c r="AA152" s="747">
        <v>4494</v>
      </c>
      <c r="AC152" s="628">
        <f t="shared" si="24"/>
        <v>141</v>
      </c>
      <c r="AD152" s="627">
        <f t="shared" si="25"/>
        <v>256</v>
      </c>
      <c r="AE152" s="627">
        <f t="shared" si="22"/>
        <v>147</v>
      </c>
      <c r="AF152" s="627">
        <f t="shared" si="22"/>
        <v>138</v>
      </c>
      <c r="AG152" s="627">
        <f t="shared" si="22"/>
        <v>61</v>
      </c>
      <c r="AH152" s="627">
        <f t="shared" si="22"/>
        <v>20</v>
      </c>
      <c r="AI152" s="627">
        <f t="shared" si="22"/>
        <v>149</v>
      </c>
      <c r="AJ152" s="627">
        <f t="shared" si="22"/>
        <v>348</v>
      </c>
      <c r="AK152" s="627">
        <f t="shared" si="22"/>
        <v>290</v>
      </c>
      <c r="AL152" s="627">
        <f t="shared" si="22"/>
        <v>152</v>
      </c>
      <c r="AM152" s="627">
        <f t="shared" si="22"/>
        <v>113</v>
      </c>
      <c r="AN152" s="627">
        <f t="shared" si="21"/>
        <v>115</v>
      </c>
      <c r="AO152" s="627">
        <f t="shared" si="21"/>
        <v>63</v>
      </c>
      <c r="AP152" s="627">
        <f t="shared" si="21"/>
        <v>57</v>
      </c>
      <c r="AQ152" s="627">
        <f t="shared" si="21"/>
        <v>75</v>
      </c>
      <c r="AR152" s="627">
        <f t="shared" si="21"/>
        <v>50</v>
      </c>
      <c r="AS152" s="627">
        <f t="shared" si="21"/>
        <v>39</v>
      </c>
      <c r="AT152" s="627">
        <f t="shared" si="21"/>
        <v>73</v>
      </c>
      <c r="AU152" s="627">
        <f t="shared" si="20"/>
        <v>11</v>
      </c>
      <c r="AV152" s="627">
        <f t="shared" si="20"/>
        <v>123</v>
      </c>
      <c r="AW152" s="627">
        <f t="shared" si="20"/>
        <v>94</v>
      </c>
      <c r="AX152" s="627">
        <f t="shared" si="20"/>
        <v>53</v>
      </c>
      <c r="AY152" s="627">
        <f t="shared" si="20"/>
        <v>98</v>
      </c>
      <c r="AZ152" s="627">
        <f t="shared" si="20"/>
        <v>288</v>
      </c>
      <c r="BA152" s="627">
        <f t="shared" si="20"/>
        <v>199</v>
      </c>
    </row>
    <row r="153" spans="1:53">
      <c r="A153" s="105">
        <f t="shared" si="23"/>
        <v>142</v>
      </c>
      <c r="B153" s="745">
        <v>42511</v>
      </c>
      <c r="C153" s="746" t="s">
        <v>1772</v>
      </c>
      <c r="D153" s="747">
        <v>4192</v>
      </c>
      <c r="E153" s="747">
        <v>4047</v>
      </c>
      <c r="F153" s="747">
        <v>3906</v>
      </c>
      <c r="G153" s="747">
        <v>3807</v>
      </c>
      <c r="H153" s="747">
        <v>3814</v>
      </c>
      <c r="I153" s="747">
        <v>3788</v>
      </c>
      <c r="J153" s="747">
        <v>3729</v>
      </c>
      <c r="K153" s="747">
        <v>3934</v>
      </c>
      <c r="L153" s="747">
        <v>4175</v>
      </c>
      <c r="M153" s="747">
        <v>4362</v>
      </c>
      <c r="N153" s="747">
        <v>4488</v>
      </c>
      <c r="O153" s="747">
        <v>4589</v>
      </c>
      <c r="P153" s="747">
        <v>4746</v>
      </c>
      <c r="Q153" s="747">
        <v>4717</v>
      </c>
      <c r="R153" s="747">
        <v>4807</v>
      </c>
      <c r="S153" s="747">
        <v>4907</v>
      </c>
      <c r="T153" s="747">
        <v>5026</v>
      </c>
      <c r="U153" s="747">
        <v>5120</v>
      </c>
      <c r="V153" s="747">
        <v>5118</v>
      </c>
      <c r="W153" s="747">
        <v>5024</v>
      </c>
      <c r="X153" s="747">
        <v>5054</v>
      </c>
      <c r="Y153" s="747">
        <v>4997</v>
      </c>
      <c r="Z153" s="747">
        <v>4834</v>
      </c>
      <c r="AA153" s="747">
        <v>4466</v>
      </c>
      <c r="AC153" s="628">
        <f t="shared" si="24"/>
        <v>142</v>
      </c>
      <c r="AD153" s="627">
        <f t="shared" si="25"/>
        <v>302</v>
      </c>
      <c r="AE153" s="627">
        <f t="shared" si="22"/>
        <v>145</v>
      </c>
      <c r="AF153" s="627">
        <f t="shared" si="22"/>
        <v>141</v>
      </c>
      <c r="AG153" s="627">
        <f t="shared" si="22"/>
        <v>99</v>
      </c>
      <c r="AH153" s="627">
        <f t="shared" si="22"/>
        <v>7</v>
      </c>
      <c r="AI153" s="627">
        <f t="shared" si="22"/>
        <v>26</v>
      </c>
      <c r="AJ153" s="627">
        <f t="shared" si="22"/>
        <v>59</v>
      </c>
      <c r="AK153" s="627">
        <f t="shared" si="22"/>
        <v>205</v>
      </c>
      <c r="AL153" s="627">
        <f t="shared" si="22"/>
        <v>241</v>
      </c>
      <c r="AM153" s="627">
        <f t="shared" si="22"/>
        <v>187</v>
      </c>
      <c r="AN153" s="627">
        <f t="shared" si="21"/>
        <v>126</v>
      </c>
      <c r="AO153" s="627">
        <f t="shared" si="21"/>
        <v>101</v>
      </c>
      <c r="AP153" s="627">
        <f t="shared" si="21"/>
        <v>157</v>
      </c>
      <c r="AQ153" s="627">
        <f t="shared" si="21"/>
        <v>29</v>
      </c>
      <c r="AR153" s="627">
        <f t="shared" si="21"/>
        <v>90</v>
      </c>
      <c r="AS153" s="627">
        <f t="shared" si="21"/>
        <v>100</v>
      </c>
      <c r="AT153" s="627">
        <f t="shared" si="21"/>
        <v>119</v>
      </c>
      <c r="AU153" s="627">
        <f t="shared" si="20"/>
        <v>94</v>
      </c>
      <c r="AV153" s="627">
        <f t="shared" si="20"/>
        <v>2</v>
      </c>
      <c r="AW153" s="627">
        <f t="shared" si="20"/>
        <v>94</v>
      </c>
      <c r="AX153" s="627">
        <f t="shared" si="20"/>
        <v>30</v>
      </c>
      <c r="AY153" s="627">
        <f t="shared" si="20"/>
        <v>57</v>
      </c>
      <c r="AZ153" s="627">
        <f t="shared" si="20"/>
        <v>163</v>
      </c>
      <c r="BA153" s="627">
        <f t="shared" si="20"/>
        <v>368</v>
      </c>
    </row>
    <row r="154" spans="1:53">
      <c r="A154" s="105">
        <f t="shared" si="23"/>
        <v>143</v>
      </c>
      <c r="B154" s="745">
        <v>42512</v>
      </c>
      <c r="C154" s="746" t="s">
        <v>1772</v>
      </c>
      <c r="D154" s="747">
        <v>4157</v>
      </c>
      <c r="E154" s="747">
        <v>3975</v>
      </c>
      <c r="F154" s="747">
        <v>3848</v>
      </c>
      <c r="G154" s="747">
        <v>3772</v>
      </c>
      <c r="H154" s="747">
        <v>3753</v>
      </c>
      <c r="I154" s="747">
        <v>3631</v>
      </c>
      <c r="J154" s="747">
        <v>3641</v>
      </c>
      <c r="K154" s="747">
        <v>3729</v>
      </c>
      <c r="L154" s="747">
        <v>3960</v>
      </c>
      <c r="M154" s="747">
        <v>4106</v>
      </c>
      <c r="N154" s="747">
        <v>4210</v>
      </c>
      <c r="O154" s="747">
        <v>4307</v>
      </c>
      <c r="P154" s="747">
        <v>4379</v>
      </c>
      <c r="Q154" s="747">
        <v>4440</v>
      </c>
      <c r="R154" s="747">
        <v>4557</v>
      </c>
      <c r="S154" s="747">
        <v>4692</v>
      </c>
      <c r="T154" s="747">
        <v>4818</v>
      </c>
      <c r="U154" s="747">
        <v>4884</v>
      </c>
      <c r="V154" s="747">
        <v>4853</v>
      </c>
      <c r="W154" s="747">
        <v>5098</v>
      </c>
      <c r="X154" s="747">
        <v>5030</v>
      </c>
      <c r="Y154" s="747">
        <v>4981</v>
      </c>
      <c r="Z154" s="747">
        <v>4617</v>
      </c>
      <c r="AA154" s="747">
        <v>4210</v>
      </c>
      <c r="AC154" s="628">
        <f t="shared" si="24"/>
        <v>143</v>
      </c>
      <c r="AD154" s="627">
        <f t="shared" si="25"/>
        <v>309</v>
      </c>
      <c r="AE154" s="627">
        <f t="shared" si="22"/>
        <v>182</v>
      </c>
      <c r="AF154" s="627">
        <f t="shared" si="22"/>
        <v>127</v>
      </c>
      <c r="AG154" s="627">
        <f t="shared" si="22"/>
        <v>76</v>
      </c>
      <c r="AH154" s="627">
        <f t="shared" si="22"/>
        <v>19</v>
      </c>
      <c r="AI154" s="627">
        <f t="shared" si="22"/>
        <v>122</v>
      </c>
      <c r="AJ154" s="627">
        <f t="shared" si="22"/>
        <v>10</v>
      </c>
      <c r="AK154" s="627">
        <f t="shared" si="22"/>
        <v>88</v>
      </c>
      <c r="AL154" s="627">
        <f t="shared" si="22"/>
        <v>231</v>
      </c>
      <c r="AM154" s="627">
        <f t="shared" si="22"/>
        <v>146</v>
      </c>
      <c r="AN154" s="627">
        <f t="shared" si="21"/>
        <v>104</v>
      </c>
      <c r="AO154" s="627">
        <f t="shared" si="21"/>
        <v>97</v>
      </c>
      <c r="AP154" s="627">
        <f t="shared" si="21"/>
        <v>72</v>
      </c>
      <c r="AQ154" s="627">
        <f t="shared" si="21"/>
        <v>61</v>
      </c>
      <c r="AR154" s="627">
        <f t="shared" si="21"/>
        <v>117</v>
      </c>
      <c r="AS154" s="627">
        <f t="shared" si="21"/>
        <v>135</v>
      </c>
      <c r="AT154" s="627">
        <f t="shared" si="21"/>
        <v>126</v>
      </c>
      <c r="AU154" s="627">
        <f t="shared" si="20"/>
        <v>66</v>
      </c>
      <c r="AV154" s="627">
        <f t="shared" si="20"/>
        <v>31</v>
      </c>
      <c r="AW154" s="627">
        <f t="shared" si="20"/>
        <v>245</v>
      </c>
      <c r="AX154" s="627">
        <f t="shared" si="20"/>
        <v>68</v>
      </c>
      <c r="AY154" s="627">
        <f t="shared" si="20"/>
        <v>49</v>
      </c>
      <c r="AZ154" s="627">
        <f t="shared" si="20"/>
        <v>364</v>
      </c>
      <c r="BA154" s="627">
        <f t="shared" si="20"/>
        <v>407</v>
      </c>
    </row>
    <row r="155" spans="1:53">
      <c r="A155" s="105">
        <f t="shared" si="23"/>
        <v>144</v>
      </c>
      <c r="B155" s="745">
        <v>42513</v>
      </c>
      <c r="C155" s="746" t="s">
        <v>1772</v>
      </c>
      <c r="D155" s="747">
        <v>3970</v>
      </c>
      <c r="E155" s="747">
        <v>3822</v>
      </c>
      <c r="F155" s="747">
        <v>3757</v>
      </c>
      <c r="G155" s="747">
        <v>3695</v>
      </c>
      <c r="H155" s="747">
        <v>3699</v>
      </c>
      <c r="I155" s="747">
        <v>3929</v>
      </c>
      <c r="J155" s="747">
        <v>4149</v>
      </c>
      <c r="K155" s="747">
        <v>4492</v>
      </c>
      <c r="L155" s="747">
        <v>4658</v>
      </c>
      <c r="M155" s="747">
        <v>4799</v>
      </c>
      <c r="N155" s="747">
        <v>4863</v>
      </c>
      <c r="O155" s="747">
        <v>4949</v>
      </c>
      <c r="P155" s="747">
        <v>5029</v>
      </c>
      <c r="Q155" s="747">
        <v>5099</v>
      </c>
      <c r="R155" s="747">
        <v>4995</v>
      </c>
      <c r="S155" s="747">
        <v>4953</v>
      </c>
      <c r="T155" s="747">
        <v>4963</v>
      </c>
      <c r="U155" s="747">
        <v>5030</v>
      </c>
      <c r="V155" s="747">
        <v>4972</v>
      </c>
      <c r="W155" s="747">
        <v>4909</v>
      </c>
      <c r="X155" s="747">
        <v>5003</v>
      </c>
      <c r="Y155" s="747">
        <v>4894</v>
      </c>
      <c r="Z155" s="747">
        <v>4476</v>
      </c>
      <c r="AA155" s="747">
        <v>4087</v>
      </c>
      <c r="AC155" s="628">
        <f t="shared" si="24"/>
        <v>144</v>
      </c>
      <c r="AD155" s="627">
        <f t="shared" si="25"/>
        <v>240</v>
      </c>
      <c r="AE155" s="627">
        <f t="shared" si="22"/>
        <v>148</v>
      </c>
      <c r="AF155" s="627">
        <f t="shared" si="22"/>
        <v>65</v>
      </c>
      <c r="AG155" s="627">
        <f t="shared" si="22"/>
        <v>62</v>
      </c>
      <c r="AH155" s="627">
        <f t="shared" si="22"/>
        <v>4</v>
      </c>
      <c r="AI155" s="627">
        <f t="shared" si="22"/>
        <v>230</v>
      </c>
      <c r="AJ155" s="627">
        <f t="shared" si="22"/>
        <v>220</v>
      </c>
      <c r="AK155" s="627">
        <f t="shared" si="22"/>
        <v>343</v>
      </c>
      <c r="AL155" s="627">
        <f t="shared" si="22"/>
        <v>166</v>
      </c>
      <c r="AM155" s="627">
        <f t="shared" si="22"/>
        <v>141</v>
      </c>
      <c r="AN155" s="627">
        <f t="shared" si="21"/>
        <v>64</v>
      </c>
      <c r="AO155" s="627">
        <f t="shared" si="21"/>
        <v>86</v>
      </c>
      <c r="AP155" s="627">
        <f t="shared" si="21"/>
        <v>80</v>
      </c>
      <c r="AQ155" s="627">
        <f t="shared" si="21"/>
        <v>70</v>
      </c>
      <c r="AR155" s="627">
        <f t="shared" si="21"/>
        <v>104</v>
      </c>
      <c r="AS155" s="627">
        <f t="shared" si="21"/>
        <v>42</v>
      </c>
      <c r="AT155" s="627">
        <f t="shared" si="21"/>
        <v>10</v>
      </c>
      <c r="AU155" s="627">
        <f t="shared" si="20"/>
        <v>67</v>
      </c>
      <c r="AV155" s="627">
        <f t="shared" si="20"/>
        <v>58</v>
      </c>
      <c r="AW155" s="627">
        <f t="shared" si="20"/>
        <v>63</v>
      </c>
      <c r="AX155" s="627">
        <f t="shared" si="20"/>
        <v>94</v>
      </c>
      <c r="AY155" s="627">
        <f t="shared" si="20"/>
        <v>109</v>
      </c>
      <c r="AZ155" s="627">
        <f t="shared" si="20"/>
        <v>418</v>
      </c>
      <c r="BA155" s="627">
        <f t="shared" si="20"/>
        <v>389</v>
      </c>
    </row>
    <row r="156" spans="1:53">
      <c r="A156" s="105">
        <f t="shared" si="23"/>
        <v>145</v>
      </c>
      <c r="B156" s="745">
        <v>42514</v>
      </c>
      <c r="C156" s="746" t="s">
        <v>1772</v>
      </c>
      <c r="D156" s="747">
        <v>3865</v>
      </c>
      <c r="E156" s="747">
        <v>3930</v>
      </c>
      <c r="F156" s="747">
        <v>3883</v>
      </c>
      <c r="G156" s="747">
        <v>3888</v>
      </c>
      <c r="H156" s="747">
        <v>3948</v>
      </c>
      <c r="I156" s="747">
        <v>4147</v>
      </c>
      <c r="J156" s="747">
        <v>4371</v>
      </c>
      <c r="K156" s="747">
        <v>4597</v>
      </c>
      <c r="L156" s="747">
        <v>4656</v>
      </c>
      <c r="M156" s="747">
        <v>4726</v>
      </c>
      <c r="N156" s="747">
        <v>4796</v>
      </c>
      <c r="O156" s="747">
        <v>4836</v>
      </c>
      <c r="P156" s="747">
        <v>4930</v>
      </c>
      <c r="Q156" s="747">
        <v>5095</v>
      </c>
      <c r="R156" s="747">
        <v>5068</v>
      </c>
      <c r="S156" s="747">
        <v>5020</v>
      </c>
      <c r="T156" s="747">
        <v>5017</v>
      </c>
      <c r="U156" s="747">
        <v>5042</v>
      </c>
      <c r="V156" s="747">
        <v>4997</v>
      </c>
      <c r="W156" s="747">
        <v>4971</v>
      </c>
      <c r="X156" s="747">
        <v>5061</v>
      </c>
      <c r="Y156" s="747">
        <v>4939</v>
      </c>
      <c r="Z156" s="747">
        <v>4511</v>
      </c>
      <c r="AA156" s="747">
        <v>4205</v>
      </c>
      <c r="AC156" s="628">
        <f t="shared" si="24"/>
        <v>145</v>
      </c>
      <c r="AD156" s="627">
        <f t="shared" si="25"/>
        <v>222</v>
      </c>
      <c r="AE156" s="627">
        <f t="shared" si="22"/>
        <v>65</v>
      </c>
      <c r="AF156" s="627">
        <f t="shared" si="22"/>
        <v>47</v>
      </c>
      <c r="AG156" s="627">
        <f t="shared" si="22"/>
        <v>5</v>
      </c>
      <c r="AH156" s="627">
        <f t="shared" si="22"/>
        <v>60</v>
      </c>
      <c r="AI156" s="627">
        <f t="shared" si="22"/>
        <v>199</v>
      </c>
      <c r="AJ156" s="627">
        <f t="shared" si="22"/>
        <v>224</v>
      </c>
      <c r="AK156" s="627">
        <f t="shared" si="22"/>
        <v>226</v>
      </c>
      <c r="AL156" s="627">
        <f t="shared" si="22"/>
        <v>59</v>
      </c>
      <c r="AM156" s="627">
        <f t="shared" si="22"/>
        <v>70</v>
      </c>
      <c r="AN156" s="627">
        <f t="shared" si="21"/>
        <v>70</v>
      </c>
      <c r="AO156" s="627">
        <f t="shared" si="21"/>
        <v>40</v>
      </c>
      <c r="AP156" s="627">
        <f t="shared" si="21"/>
        <v>94</v>
      </c>
      <c r="AQ156" s="627">
        <f t="shared" si="21"/>
        <v>165</v>
      </c>
      <c r="AR156" s="627">
        <f t="shared" si="21"/>
        <v>27</v>
      </c>
      <c r="AS156" s="627">
        <f t="shared" si="21"/>
        <v>48</v>
      </c>
      <c r="AT156" s="627">
        <f t="shared" si="21"/>
        <v>3</v>
      </c>
      <c r="AU156" s="627">
        <f t="shared" si="20"/>
        <v>25</v>
      </c>
      <c r="AV156" s="627">
        <f t="shared" si="20"/>
        <v>45</v>
      </c>
      <c r="AW156" s="627">
        <f t="shared" si="20"/>
        <v>26</v>
      </c>
      <c r="AX156" s="627">
        <f t="shared" si="20"/>
        <v>90</v>
      </c>
      <c r="AY156" s="627">
        <f t="shared" si="20"/>
        <v>122</v>
      </c>
      <c r="AZ156" s="627">
        <f t="shared" si="20"/>
        <v>428</v>
      </c>
      <c r="BA156" s="627">
        <f t="shared" si="20"/>
        <v>306</v>
      </c>
    </row>
    <row r="157" spans="1:53">
      <c r="A157" s="105">
        <f t="shared" si="23"/>
        <v>146</v>
      </c>
      <c r="B157" s="745">
        <v>42515</v>
      </c>
      <c r="C157" s="746" t="s">
        <v>1772</v>
      </c>
      <c r="D157" s="747">
        <v>3985</v>
      </c>
      <c r="E157" s="747">
        <v>3974</v>
      </c>
      <c r="F157" s="747">
        <v>3916</v>
      </c>
      <c r="G157" s="747">
        <v>3819</v>
      </c>
      <c r="H157" s="747">
        <v>3834</v>
      </c>
      <c r="I157" s="747">
        <v>3969</v>
      </c>
      <c r="J157" s="747">
        <v>4232</v>
      </c>
      <c r="K157" s="747">
        <v>4534</v>
      </c>
      <c r="L157" s="747">
        <v>4688</v>
      </c>
      <c r="M157" s="747">
        <v>4708</v>
      </c>
      <c r="N157" s="747">
        <v>4835</v>
      </c>
      <c r="O157" s="747">
        <v>4927</v>
      </c>
      <c r="P157" s="747">
        <v>4950</v>
      </c>
      <c r="Q157" s="747">
        <v>5059</v>
      </c>
      <c r="R157" s="747">
        <v>5112</v>
      </c>
      <c r="S157" s="747">
        <v>5163</v>
      </c>
      <c r="T157" s="747">
        <v>5186</v>
      </c>
      <c r="U157" s="747">
        <v>5184</v>
      </c>
      <c r="V157" s="747">
        <v>5108</v>
      </c>
      <c r="W157" s="747">
        <v>5059</v>
      </c>
      <c r="X157" s="747">
        <v>5118</v>
      </c>
      <c r="Y157" s="747">
        <v>5002</v>
      </c>
      <c r="Z157" s="747">
        <v>4524</v>
      </c>
      <c r="AA157" s="747">
        <v>4158</v>
      </c>
      <c r="AC157" s="628">
        <f t="shared" si="24"/>
        <v>146</v>
      </c>
      <c r="AD157" s="627">
        <f t="shared" si="25"/>
        <v>220</v>
      </c>
      <c r="AE157" s="627">
        <f t="shared" si="22"/>
        <v>11</v>
      </c>
      <c r="AF157" s="627">
        <f t="shared" si="22"/>
        <v>58</v>
      </c>
      <c r="AG157" s="627">
        <f t="shared" si="22"/>
        <v>97</v>
      </c>
      <c r="AH157" s="627">
        <f t="shared" si="22"/>
        <v>15</v>
      </c>
      <c r="AI157" s="627">
        <f t="shared" si="22"/>
        <v>135</v>
      </c>
      <c r="AJ157" s="627">
        <f t="shared" si="22"/>
        <v>263</v>
      </c>
      <c r="AK157" s="627">
        <f t="shared" si="22"/>
        <v>302</v>
      </c>
      <c r="AL157" s="627">
        <f t="shared" si="22"/>
        <v>154</v>
      </c>
      <c r="AM157" s="627">
        <f t="shared" si="22"/>
        <v>20</v>
      </c>
      <c r="AN157" s="627">
        <f t="shared" si="21"/>
        <v>127</v>
      </c>
      <c r="AO157" s="627">
        <f t="shared" si="21"/>
        <v>92</v>
      </c>
      <c r="AP157" s="627">
        <f t="shared" si="21"/>
        <v>23</v>
      </c>
      <c r="AQ157" s="627">
        <f t="shared" si="21"/>
        <v>109</v>
      </c>
      <c r="AR157" s="627">
        <f t="shared" si="21"/>
        <v>53</v>
      </c>
      <c r="AS157" s="627">
        <f t="shared" si="21"/>
        <v>51</v>
      </c>
      <c r="AT157" s="627">
        <f t="shared" si="21"/>
        <v>23</v>
      </c>
      <c r="AU157" s="627">
        <f t="shared" si="20"/>
        <v>2</v>
      </c>
      <c r="AV157" s="627">
        <f t="shared" si="20"/>
        <v>76</v>
      </c>
      <c r="AW157" s="627">
        <f t="shared" si="20"/>
        <v>49</v>
      </c>
      <c r="AX157" s="627">
        <f t="shared" si="20"/>
        <v>59</v>
      </c>
      <c r="AY157" s="627">
        <f t="shared" si="20"/>
        <v>116</v>
      </c>
      <c r="AZ157" s="627">
        <f t="shared" si="20"/>
        <v>478</v>
      </c>
      <c r="BA157" s="627">
        <f t="shared" si="20"/>
        <v>366</v>
      </c>
    </row>
    <row r="158" spans="1:53">
      <c r="A158" s="105">
        <f t="shared" si="23"/>
        <v>147</v>
      </c>
      <c r="B158" s="745">
        <v>42516</v>
      </c>
      <c r="C158" s="746" t="s">
        <v>1772</v>
      </c>
      <c r="D158" s="747">
        <v>3978</v>
      </c>
      <c r="E158" s="747">
        <v>3989</v>
      </c>
      <c r="F158" s="747">
        <v>3912</v>
      </c>
      <c r="G158" s="747">
        <v>3881</v>
      </c>
      <c r="H158" s="747">
        <v>3945</v>
      </c>
      <c r="I158" s="747">
        <v>4054</v>
      </c>
      <c r="J158" s="747">
        <v>4283</v>
      </c>
      <c r="K158" s="747">
        <v>4436</v>
      </c>
      <c r="L158" s="747">
        <v>4607</v>
      </c>
      <c r="M158" s="747">
        <v>4702</v>
      </c>
      <c r="N158" s="747">
        <v>4811</v>
      </c>
      <c r="O158" s="747">
        <v>4961</v>
      </c>
      <c r="P158" s="747">
        <v>5009</v>
      </c>
      <c r="Q158" s="747">
        <v>5031</v>
      </c>
      <c r="R158" s="747">
        <v>5055</v>
      </c>
      <c r="S158" s="747">
        <v>4974</v>
      </c>
      <c r="T158" s="747">
        <v>4972</v>
      </c>
      <c r="U158" s="747">
        <v>5010</v>
      </c>
      <c r="V158" s="747">
        <v>4955</v>
      </c>
      <c r="W158" s="747">
        <v>4912</v>
      </c>
      <c r="X158" s="747">
        <v>4948</v>
      </c>
      <c r="Y158" s="747">
        <v>4785</v>
      </c>
      <c r="Z158" s="747">
        <v>4383</v>
      </c>
      <c r="AA158" s="747">
        <v>4074</v>
      </c>
      <c r="AC158" s="628">
        <f t="shared" si="24"/>
        <v>147</v>
      </c>
      <c r="AD158" s="627">
        <f t="shared" si="25"/>
        <v>180</v>
      </c>
      <c r="AE158" s="627">
        <f t="shared" si="22"/>
        <v>11</v>
      </c>
      <c r="AF158" s="627">
        <f t="shared" si="22"/>
        <v>77</v>
      </c>
      <c r="AG158" s="627">
        <f t="shared" si="22"/>
        <v>31</v>
      </c>
      <c r="AH158" s="627">
        <f t="shared" si="22"/>
        <v>64</v>
      </c>
      <c r="AI158" s="627">
        <f t="shared" si="22"/>
        <v>109</v>
      </c>
      <c r="AJ158" s="627">
        <f t="shared" si="22"/>
        <v>229</v>
      </c>
      <c r="AK158" s="627">
        <f t="shared" si="22"/>
        <v>153</v>
      </c>
      <c r="AL158" s="627">
        <f t="shared" si="22"/>
        <v>171</v>
      </c>
      <c r="AM158" s="627">
        <f t="shared" si="22"/>
        <v>95</v>
      </c>
      <c r="AN158" s="627">
        <f t="shared" si="21"/>
        <v>109</v>
      </c>
      <c r="AO158" s="627">
        <f t="shared" si="21"/>
        <v>150</v>
      </c>
      <c r="AP158" s="627">
        <f t="shared" si="21"/>
        <v>48</v>
      </c>
      <c r="AQ158" s="627">
        <f t="shared" si="21"/>
        <v>22</v>
      </c>
      <c r="AR158" s="627">
        <f t="shared" si="21"/>
        <v>24</v>
      </c>
      <c r="AS158" s="627">
        <f t="shared" si="21"/>
        <v>81</v>
      </c>
      <c r="AT158" s="627">
        <f t="shared" si="21"/>
        <v>2</v>
      </c>
      <c r="AU158" s="627">
        <f t="shared" si="20"/>
        <v>38</v>
      </c>
      <c r="AV158" s="627">
        <f t="shared" si="20"/>
        <v>55</v>
      </c>
      <c r="AW158" s="627">
        <f t="shared" si="20"/>
        <v>43</v>
      </c>
      <c r="AX158" s="627">
        <f t="shared" si="20"/>
        <v>36</v>
      </c>
      <c r="AY158" s="627">
        <f t="shared" si="20"/>
        <v>163</v>
      </c>
      <c r="AZ158" s="627">
        <f t="shared" si="20"/>
        <v>402</v>
      </c>
      <c r="BA158" s="627">
        <f t="shared" si="20"/>
        <v>309</v>
      </c>
    </row>
    <row r="159" spans="1:53">
      <c r="A159" s="105">
        <f t="shared" si="23"/>
        <v>148</v>
      </c>
      <c r="B159" s="745">
        <v>42517</v>
      </c>
      <c r="C159" s="746" t="s">
        <v>1772</v>
      </c>
      <c r="D159" s="747">
        <v>3962</v>
      </c>
      <c r="E159" s="747">
        <v>3920</v>
      </c>
      <c r="F159" s="747">
        <v>3908</v>
      </c>
      <c r="G159" s="747">
        <v>3876</v>
      </c>
      <c r="H159" s="747">
        <v>3836</v>
      </c>
      <c r="I159" s="747">
        <v>4037</v>
      </c>
      <c r="J159" s="747">
        <v>4251</v>
      </c>
      <c r="K159" s="747">
        <v>4513</v>
      </c>
      <c r="L159" s="747">
        <v>4683</v>
      </c>
      <c r="M159" s="747">
        <v>4748</v>
      </c>
      <c r="N159" s="747">
        <v>4775</v>
      </c>
      <c r="O159" s="747">
        <v>4786</v>
      </c>
      <c r="P159" s="747">
        <v>4749</v>
      </c>
      <c r="Q159" s="747">
        <v>4713</v>
      </c>
      <c r="R159" s="747">
        <v>4681</v>
      </c>
      <c r="S159" s="747">
        <v>4642</v>
      </c>
      <c r="T159" s="747">
        <v>4641</v>
      </c>
      <c r="U159" s="747">
        <v>4661</v>
      </c>
      <c r="V159" s="747">
        <v>4626</v>
      </c>
      <c r="W159" s="747">
        <v>4586</v>
      </c>
      <c r="X159" s="747">
        <v>4696</v>
      </c>
      <c r="Y159" s="747">
        <v>4598</v>
      </c>
      <c r="Z159" s="747">
        <v>4361</v>
      </c>
      <c r="AA159" s="747">
        <v>4080</v>
      </c>
      <c r="AC159" s="628">
        <f t="shared" si="24"/>
        <v>148</v>
      </c>
      <c r="AD159" s="627">
        <f t="shared" si="25"/>
        <v>112</v>
      </c>
      <c r="AE159" s="627">
        <f t="shared" si="22"/>
        <v>42</v>
      </c>
      <c r="AF159" s="627">
        <f t="shared" si="22"/>
        <v>12</v>
      </c>
      <c r="AG159" s="627">
        <f t="shared" si="22"/>
        <v>32</v>
      </c>
      <c r="AH159" s="627">
        <f t="shared" si="22"/>
        <v>40</v>
      </c>
      <c r="AI159" s="627">
        <f t="shared" si="22"/>
        <v>201</v>
      </c>
      <c r="AJ159" s="627">
        <f t="shared" si="22"/>
        <v>214</v>
      </c>
      <c r="AK159" s="627">
        <f t="shared" si="22"/>
        <v>262</v>
      </c>
      <c r="AL159" s="627">
        <f t="shared" si="22"/>
        <v>170</v>
      </c>
      <c r="AM159" s="627">
        <f t="shared" si="22"/>
        <v>65</v>
      </c>
      <c r="AN159" s="627">
        <f t="shared" si="21"/>
        <v>27</v>
      </c>
      <c r="AO159" s="627">
        <f t="shared" si="21"/>
        <v>11</v>
      </c>
      <c r="AP159" s="627">
        <f t="shared" si="21"/>
        <v>37</v>
      </c>
      <c r="AQ159" s="627">
        <f t="shared" si="21"/>
        <v>36</v>
      </c>
      <c r="AR159" s="627">
        <f t="shared" si="21"/>
        <v>32</v>
      </c>
      <c r="AS159" s="627">
        <f t="shared" si="21"/>
        <v>39</v>
      </c>
      <c r="AT159" s="627">
        <f t="shared" si="21"/>
        <v>1</v>
      </c>
      <c r="AU159" s="627">
        <f t="shared" si="20"/>
        <v>20</v>
      </c>
      <c r="AV159" s="627">
        <f t="shared" si="20"/>
        <v>35</v>
      </c>
      <c r="AW159" s="627">
        <f t="shared" si="20"/>
        <v>40</v>
      </c>
      <c r="AX159" s="627">
        <f t="shared" si="20"/>
        <v>110</v>
      </c>
      <c r="AY159" s="627">
        <f t="shared" si="20"/>
        <v>98</v>
      </c>
      <c r="AZ159" s="627">
        <f t="shared" si="20"/>
        <v>237</v>
      </c>
      <c r="BA159" s="627">
        <f t="shared" si="20"/>
        <v>281</v>
      </c>
    </row>
    <row r="160" spans="1:53">
      <c r="A160" s="105">
        <f t="shared" si="23"/>
        <v>149</v>
      </c>
      <c r="B160" s="745">
        <v>42518</v>
      </c>
      <c r="C160" s="746" t="s">
        <v>1772</v>
      </c>
      <c r="D160" s="747">
        <v>3952</v>
      </c>
      <c r="E160" s="747">
        <v>3753</v>
      </c>
      <c r="F160" s="747">
        <v>3780</v>
      </c>
      <c r="G160" s="747">
        <v>3766</v>
      </c>
      <c r="H160" s="747">
        <v>3695</v>
      </c>
      <c r="I160" s="747">
        <v>3707</v>
      </c>
      <c r="J160" s="747">
        <v>3688</v>
      </c>
      <c r="K160" s="747">
        <v>3854</v>
      </c>
      <c r="L160" s="747">
        <v>4015</v>
      </c>
      <c r="M160" s="747">
        <v>4136</v>
      </c>
      <c r="N160" s="747">
        <v>4182</v>
      </c>
      <c r="O160" s="747">
        <v>4213</v>
      </c>
      <c r="P160" s="747">
        <v>4234</v>
      </c>
      <c r="Q160" s="747">
        <v>4198</v>
      </c>
      <c r="R160" s="747">
        <v>4213</v>
      </c>
      <c r="S160" s="747">
        <v>4255</v>
      </c>
      <c r="T160" s="747">
        <v>4309</v>
      </c>
      <c r="U160" s="747">
        <v>4387</v>
      </c>
      <c r="V160" s="747">
        <v>4394</v>
      </c>
      <c r="W160" s="747">
        <v>4393</v>
      </c>
      <c r="X160" s="747">
        <v>4491</v>
      </c>
      <c r="Y160" s="747">
        <v>4476</v>
      </c>
      <c r="Z160" s="747">
        <v>4203</v>
      </c>
      <c r="AA160" s="747">
        <v>3912</v>
      </c>
      <c r="AC160" s="628">
        <f t="shared" si="24"/>
        <v>149</v>
      </c>
      <c r="AD160" s="627">
        <f t="shared" si="25"/>
        <v>128</v>
      </c>
      <c r="AE160" s="627">
        <f t="shared" si="22"/>
        <v>199</v>
      </c>
      <c r="AF160" s="627">
        <f t="shared" si="22"/>
        <v>27</v>
      </c>
      <c r="AG160" s="627">
        <f t="shared" si="22"/>
        <v>14</v>
      </c>
      <c r="AH160" s="627">
        <f t="shared" si="22"/>
        <v>71</v>
      </c>
      <c r="AI160" s="627">
        <f t="shared" si="22"/>
        <v>12</v>
      </c>
      <c r="AJ160" s="627">
        <f t="shared" si="22"/>
        <v>19</v>
      </c>
      <c r="AK160" s="627">
        <f t="shared" si="22"/>
        <v>166</v>
      </c>
      <c r="AL160" s="627">
        <f t="shared" si="22"/>
        <v>161</v>
      </c>
      <c r="AM160" s="627">
        <f t="shared" si="22"/>
        <v>121</v>
      </c>
      <c r="AN160" s="627">
        <f t="shared" si="21"/>
        <v>46</v>
      </c>
      <c r="AO160" s="627">
        <f t="shared" si="21"/>
        <v>31</v>
      </c>
      <c r="AP160" s="627">
        <f t="shared" si="21"/>
        <v>21</v>
      </c>
      <c r="AQ160" s="627">
        <f t="shared" si="21"/>
        <v>36</v>
      </c>
      <c r="AR160" s="627">
        <f t="shared" si="21"/>
        <v>15</v>
      </c>
      <c r="AS160" s="627">
        <f t="shared" si="21"/>
        <v>42</v>
      </c>
      <c r="AT160" s="627">
        <f t="shared" si="21"/>
        <v>54</v>
      </c>
      <c r="AU160" s="627">
        <f t="shared" si="20"/>
        <v>78</v>
      </c>
      <c r="AV160" s="627">
        <f t="shared" si="20"/>
        <v>7</v>
      </c>
      <c r="AW160" s="627">
        <f t="shared" si="20"/>
        <v>1</v>
      </c>
      <c r="AX160" s="627">
        <f t="shared" si="20"/>
        <v>98</v>
      </c>
      <c r="AY160" s="627">
        <f t="shared" si="20"/>
        <v>15</v>
      </c>
      <c r="AZ160" s="627">
        <f t="shared" si="20"/>
        <v>273</v>
      </c>
      <c r="BA160" s="627">
        <f t="shared" si="20"/>
        <v>291</v>
      </c>
    </row>
    <row r="161" spans="1:53">
      <c r="A161" s="105">
        <f t="shared" si="23"/>
        <v>150</v>
      </c>
      <c r="B161" s="745">
        <v>42519</v>
      </c>
      <c r="C161" s="746" t="s">
        <v>1772</v>
      </c>
      <c r="D161" s="747">
        <v>3764</v>
      </c>
      <c r="E161" s="747">
        <v>3690</v>
      </c>
      <c r="F161" s="747">
        <v>3605</v>
      </c>
      <c r="G161" s="747">
        <v>3570</v>
      </c>
      <c r="H161" s="747">
        <v>3579</v>
      </c>
      <c r="I161" s="747">
        <v>3569</v>
      </c>
      <c r="J161" s="747">
        <v>3612</v>
      </c>
      <c r="K161" s="747">
        <v>3688</v>
      </c>
      <c r="L161" s="747">
        <v>3849</v>
      </c>
      <c r="M161" s="747">
        <v>3983</v>
      </c>
      <c r="N161" s="747">
        <v>4085</v>
      </c>
      <c r="O161" s="747">
        <v>4160</v>
      </c>
      <c r="P161" s="747">
        <v>4250</v>
      </c>
      <c r="Q161" s="747">
        <v>4320</v>
      </c>
      <c r="R161" s="747">
        <v>4329</v>
      </c>
      <c r="S161" s="747">
        <v>4358</v>
      </c>
      <c r="T161" s="747">
        <v>4431</v>
      </c>
      <c r="U161" s="747">
        <v>4485</v>
      </c>
      <c r="V161" s="747">
        <v>4433</v>
      </c>
      <c r="W161" s="747">
        <v>4364</v>
      </c>
      <c r="X161" s="747">
        <v>4487</v>
      </c>
      <c r="Y161" s="747">
        <v>4471</v>
      </c>
      <c r="Z161" s="747">
        <v>4204</v>
      </c>
      <c r="AA161" s="747">
        <v>4012</v>
      </c>
      <c r="AC161" s="628">
        <f t="shared" si="24"/>
        <v>150</v>
      </c>
      <c r="AD161" s="627">
        <f t="shared" si="25"/>
        <v>148</v>
      </c>
      <c r="AE161" s="627">
        <f t="shared" si="22"/>
        <v>74</v>
      </c>
      <c r="AF161" s="627">
        <f t="shared" si="22"/>
        <v>85</v>
      </c>
      <c r="AG161" s="627">
        <f t="shared" si="22"/>
        <v>35</v>
      </c>
      <c r="AH161" s="627">
        <f t="shared" si="22"/>
        <v>9</v>
      </c>
      <c r="AI161" s="627">
        <f t="shared" si="22"/>
        <v>10</v>
      </c>
      <c r="AJ161" s="627">
        <f t="shared" si="22"/>
        <v>43</v>
      </c>
      <c r="AK161" s="627">
        <f t="shared" si="22"/>
        <v>76</v>
      </c>
      <c r="AL161" s="627">
        <f t="shared" si="22"/>
        <v>161</v>
      </c>
      <c r="AM161" s="627">
        <f t="shared" si="22"/>
        <v>134</v>
      </c>
      <c r="AN161" s="627">
        <f t="shared" si="21"/>
        <v>102</v>
      </c>
      <c r="AO161" s="627">
        <f t="shared" si="21"/>
        <v>75</v>
      </c>
      <c r="AP161" s="627">
        <f t="shared" si="21"/>
        <v>90</v>
      </c>
      <c r="AQ161" s="627">
        <f t="shared" si="21"/>
        <v>70</v>
      </c>
      <c r="AR161" s="627">
        <f t="shared" si="21"/>
        <v>9</v>
      </c>
      <c r="AS161" s="627">
        <f t="shared" si="21"/>
        <v>29</v>
      </c>
      <c r="AT161" s="627">
        <f t="shared" si="21"/>
        <v>73</v>
      </c>
      <c r="AU161" s="627">
        <f t="shared" si="20"/>
        <v>54</v>
      </c>
      <c r="AV161" s="627">
        <f t="shared" si="20"/>
        <v>52</v>
      </c>
      <c r="AW161" s="627">
        <f t="shared" si="20"/>
        <v>69</v>
      </c>
      <c r="AX161" s="627">
        <f t="shared" si="20"/>
        <v>123</v>
      </c>
      <c r="AY161" s="627">
        <f t="shared" si="20"/>
        <v>16</v>
      </c>
      <c r="AZ161" s="627">
        <f t="shared" si="20"/>
        <v>267</v>
      </c>
      <c r="BA161" s="627">
        <f t="shared" si="20"/>
        <v>192</v>
      </c>
    </row>
    <row r="162" spans="1:53">
      <c r="A162" s="105">
        <f t="shared" si="23"/>
        <v>151</v>
      </c>
      <c r="B162" s="745">
        <v>42520</v>
      </c>
      <c r="C162" s="746" t="s">
        <v>1772</v>
      </c>
      <c r="D162" s="747">
        <v>3902</v>
      </c>
      <c r="E162" s="747">
        <v>3774</v>
      </c>
      <c r="F162" s="747">
        <v>3710</v>
      </c>
      <c r="G162" s="747">
        <v>3656</v>
      </c>
      <c r="H162" s="747">
        <v>3590</v>
      </c>
      <c r="I162" s="747">
        <v>3526</v>
      </c>
      <c r="J162" s="747">
        <v>3596</v>
      </c>
      <c r="K162" s="747">
        <v>3761</v>
      </c>
      <c r="L162" s="747">
        <v>3985</v>
      </c>
      <c r="M162" s="747">
        <v>4171</v>
      </c>
      <c r="N162" s="747">
        <v>4328</v>
      </c>
      <c r="O162" s="747">
        <v>4460</v>
      </c>
      <c r="P162" s="747">
        <v>4568</v>
      </c>
      <c r="Q162" s="747">
        <v>4568</v>
      </c>
      <c r="R162" s="747">
        <v>4644</v>
      </c>
      <c r="S162" s="747">
        <v>4692</v>
      </c>
      <c r="T162" s="747">
        <v>4697</v>
      </c>
      <c r="U162" s="747">
        <v>4730</v>
      </c>
      <c r="V162" s="747">
        <v>4700</v>
      </c>
      <c r="W162" s="747">
        <v>4649</v>
      </c>
      <c r="X162" s="747">
        <v>4756</v>
      </c>
      <c r="Y162" s="747">
        <v>4684</v>
      </c>
      <c r="Z162" s="747">
        <v>4379</v>
      </c>
      <c r="AA162" s="747">
        <v>4159</v>
      </c>
      <c r="AC162" s="628">
        <f t="shared" si="24"/>
        <v>151</v>
      </c>
      <c r="AD162" s="627">
        <f t="shared" si="25"/>
        <v>110</v>
      </c>
      <c r="AE162" s="627">
        <f t="shared" si="22"/>
        <v>128</v>
      </c>
      <c r="AF162" s="627">
        <f t="shared" si="22"/>
        <v>64</v>
      </c>
      <c r="AG162" s="627">
        <f t="shared" si="22"/>
        <v>54</v>
      </c>
      <c r="AH162" s="627">
        <f t="shared" si="22"/>
        <v>66</v>
      </c>
      <c r="AI162" s="627">
        <f t="shared" si="22"/>
        <v>64</v>
      </c>
      <c r="AJ162" s="627">
        <f t="shared" si="22"/>
        <v>70</v>
      </c>
      <c r="AK162" s="627">
        <f t="shared" si="22"/>
        <v>165</v>
      </c>
      <c r="AL162" s="627">
        <f t="shared" si="22"/>
        <v>224</v>
      </c>
      <c r="AM162" s="627">
        <f t="shared" si="22"/>
        <v>186</v>
      </c>
      <c r="AN162" s="627">
        <f t="shared" si="21"/>
        <v>157</v>
      </c>
      <c r="AO162" s="627">
        <f t="shared" si="21"/>
        <v>132</v>
      </c>
      <c r="AP162" s="627">
        <f t="shared" si="21"/>
        <v>108</v>
      </c>
      <c r="AQ162" s="627">
        <f t="shared" si="21"/>
        <v>0</v>
      </c>
      <c r="AR162" s="627">
        <f t="shared" si="21"/>
        <v>76</v>
      </c>
      <c r="AS162" s="627">
        <f t="shared" si="21"/>
        <v>48</v>
      </c>
      <c r="AT162" s="627">
        <f t="shared" si="21"/>
        <v>5</v>
      </c>
      <c r="AU162" s="627">
        <f t="shared" si="20"/>
        <v>33</v>
      </c>
      <c r="AV162" s="627">
        <f t="shared" si="20"/>
        <v>30</v>
      </c>
      <c r="AW162" s="627">
        <f t="shared" si="20"/>
        <v>51</v>
      </c>
      <c r="AX162" s="627">
        <f t="shared" si="20"/>
        <v>107</v>
      </c>
      <c r="AY162" s="627">
        <f t="shared" si="20"/>
        <v>72</v>
      </c>
      <c r="AZ162" s="627">
        <f t="shared" si="20"/>
        <v>305</v>
      </c>
      <c r="BA162" s="627">
        <f t="shared" si="20"/>
        <v>220</v>
      </c>
    </row>
    <row r="163" spans="1:53">
      <c r="A163" s="105">
        <f t="shared" si="23"/>
        <v>152</v>
      </c>
      <c r="B163" s="745">
        <v>42521</v>
      </c>
      <c r="C163" s="746" t="s">
        <v>1772</v>
      </c>
      <c r="D163" s="747">
        <v>3932</v>
      </c>
      <c r="E163" s="747">
        <v>3792</v>
      </c>
      <c r="F163" s="747">
        <v>3735</v>
      </c>
      <c r="G163" s="747">
        <v>3632</v>
      </c>
      <c r="H163" s="747">
        <v>3669</v>
      </c>
      <c r="I163" s="747">
        <v>3811</v>
      </c>
      <c r="J163" s="747">
        <v>4094</v>
      </c>
      <c r="K163" s="747">
        <v>4395</v>
      </c>
      <c r="L163" s="747">
        <v>4557</v>
      </c>
      <c r="M163" s="747">
        <v>4665</v>
      </c>
      <c r="N163" s="747">
        <v>4756</v>
      </c>
      <c r="O163" s="747">
        <v>4782</v>
      </c>
      <c r="P163" s="747">
        <v>4836</v>
      </c>
      <c r="Q163" s="747">
        <v>4921</v>
      </c>
      <c r="R163" s="747">
        <v>5003</v>
      </c>
      <c r="S163" s="747">
        <v>5018</v>
      </c>
      <c r="T163" s="747">
        <v>5082</v>
      </c>
      <c r="U163" s="747">
        <v>5092</v>
      </c>
      <c r="V163" s="747">
        <v>5029</v>
      </c>
      <c r="W163" s="747">
        <v>4997</v>
      </c>
      <c r="X163" s="747">
        <v>5067</v>
      </c>
      <c r="Y163" s="747">
        <v>4953</v>
      </c>
      <c r="Z163" s="747">
        <v>4630</v>
      </c>
      <c r="AA163" s="747">
        <v>4319</v>
      </c>
      <c r="AC163" s="628">
        <f t="shared" si="24"/>
        <v>152</v>
      </c>
      <c r="AD163" s="627">
        <f t="shared" si="25"/>
        <v>227</v>
      </c>
      <c r="AE163" s="627">
        <f t="shared" si="22"/>
        <v>140</v>
      </c>
      <c r="AF163" s="627">
        <f t="shared" si="22"/>
        <v>57</v>
      </c>
      <c r="AG163" s="627">
        <f t="shared" si="22"/>
        <v>103</v>
      </c>
      <c r="AH163" s="627">
        <f t="shared" si="22"/>
        <v>37</v>
      </c>
      <c r="AI163" s="627">
        <f t="shared" si="22"/>
        <v>142</v>
      </c>
      <c r="AJ163" s="627">
        <f t="shared" si="22"/>
        <v>283</v>
      </c>
      <c r="AK163" s="627">
        <f t="shared" si="22"/>
        <v>301</v>
      </c>
      <c r="AL163" s="627">
        <f t="shared" si="22"/>
        <v>162</v>
      </c>
      <c r="AM163" s="627">
        <f t="shared" si="22"/>
        <v>108</v>
      </c>
      <c r="AN163" s="627">
        <f t="shared" si="21"/>
        <v>91</v>
      </c>
      <c r="AO163" s="627">
        <f t="shared" si="21"/>
        <v>26</v>
      </c>
      <c r="AP163" s="627">
        <f t="shared" si="21"/>
        <v>54</v>
      </c>
      <c r="AQ163" s="627">
        <f t="shared" si="21"/>
        <v>85</v>
      </c>
      <c r="AR163" s="627">
        <f t="shared" si="21"/>
        <v>82</v>
      </c>
      <c r="AS163" s="627">
        <f t="shared" si="21"/>
        <v>15</v>
      </c>
      <c r="AT163" s="627">
        <f t="shared" si="21"/>
        <v>64</v>
      </c>
      <c r="AU163" s="627">
        <f t="shared" si="20"/>
        <v>10</v>
      </c>
      <c r="AV163" s="627">
        <f t="shared" si="20"/>
        <v>63</v>
      </c>
      <c r="AW163" s="627">
        <f t="shared" si="20"/>
        <v>32</v>
      </c>
      <c r="AX163" s="627">
        <f t="shared" si="20"/>
        <v>70</v>
      </c>
      <c r="AY163" s="627">
        <f t="shared" si="20"/>
        <v>114</v>
      </c>
      <c r="AZ163" s="627">
        <f t="shared" si="20"/>
        <v>323</v>
      </c>
      <c r="BA163" s="627">
        <f t="shared" si="20"/>
        <v>311</v>
      </c>
    </row>
    <row r="164" spans="1:53">
      <c r="A164" s="105">
        <f t="shared" si="23"/>
        <v>153</v>
      </c>
      <c r="B164" s="745">
        <v>42522</v>
      </c>
      <c r="C164" s="746" t="s">
        <v>1772</v>
      </c>
      <c r="D164" s="747">
        <v>4144</v>
      </c>
      <c r="E164" s="747">
        <v>4006</v>
      </c>
      <c r="F164" s="747">
        <v>3922</v>
      </c>
      <c r="G164" s="747">
        <v>3902</v>
      </c>
      <c r="H164" s="747">
        <v>3827</v>
      </c>
      <c r="I164" s="747">
        <v>3995</v>
      </c>
      <c r="J164" s="747">
        <v>4222</v>
      </c>
      <c r="K164" s="747">
        <v>4453</v>
      </c>
      <c r="L164" s="747">
        <v>4581</v>
      </c>
      <c r="M164" s="747">
        <v>4661</v>
      </c>
      <c r="N164" s="747">
        <v>4736</v>
      </c>
      <c r="O164" s="747">
        <v>4776</v>
      </c>
      <c r="P164" s="747">
        <v>4904</v>
      </c>
      <c r="Q164" s="747">
        <v>5004</v>
      </c>
      <c r="R164" s="747">
        <v>5108</v>
      </c>
      <c r="S164" s="747">
        <v>5209</v>
      </c>
      <c r="T164" s="747">
        <v>5283</v>
      </c>
      <c r="U164" s="747">
        <v>5320</v>
      </c>
      <c r="V164" s="747">
        <v>5210</v>
      </c>
      <c r="W164" s="747">
        <v>5133</v>
      </c>
      <c r="X164" s="747">
        <v>5226</v>
      </c>
      <c r="Y164" s="747">
        <v>5121</v>
      </c>
      <c r="Z164" s="747">
        <v>4688</v>
      </c>
      <c r="AA164" s="747">
        <v>4292</v>
      </c>
      <c r="AB164" s="627">
        <f>MAX(D164:AA193)</f>
        <v>8214</v>
      </c>
      <c r="AC164" s="628">
        <f t="shared" si="24"/>
        <v>153</v>
      </c>
      <c r="AD164" s="627">
        <f t="shared" si="25"/>
        <v>175</v>
      </c>
      <c r="AE164" s="627">
        <f t="shared" si="22"/>
        <v>138</v>
      </c>
      <c r="AF164" s="627">
        <f t="shared" si="22"/>
        <v>84</v>
      </c>
      <c r="AG164" s="627">
        <f t="shared" si="22"/>
        <v>20</v>
      </c>
      <c r="AH164" s="627">
        <f t="shared" si="22"/>
        <v>75</v>
      </c>
      <c r="AI164" s="627">
        <f t="shared" si="22"/>
        <v>168</v>
      </c>
      <c r="AJ164" s="627">
        <f t="shared" si="22"/>
        <v>227</v>
      </c>
      <c r="AK164" s="627">
        <f t="shared" si="22"/>
        <v>231</v>
      </c>
      <c r="AL164" s="627">
        <f t="shared" si="22"/>
        <v>128</v>
      </c>
      <c r="AM164" s="627">
        <f t="shared" si="22"/>
        <v>80</v>
      </c>
      <c r="AN164" s="627">
        <f t="shared" si="21"/>
        <v>75</v>
      </c>
      <c r="AO164" s="627">
        <f t="shared" si="21"/>
        <v>40</v>
      </c>
      <c r="AP164" s="627">
        <f t="shared" si="21"/>
        <v>128</v>
      </c>
      <c r="AQ164" s="627">
        <f t="shared" si="21"/>
        <v>100</v>
      </c>
      <c r="AR164" s="627">
        <f t="shared" si="21"/>
        <v>104</v>
      </c>
      <c r="AS164" s="627">
        <f t="shared" si="21"/>
        <v>101</v>
      </c>
      <c r="AT164" s="627">
        <f t="shared" si="21"/>
        <v>74</v>
      </c>
      <c r="AU164" s="627">
        <f t="shared" si="20"/>
        <v>37</v>
      </c>
      <c r="AV164" s="627">
        <f t="shared" si="20"/>
        <v>110</v>
      </c>
      <c r="AW164" s="627">
        <f t="shared" si="20"/>
        <v>77</v>
      </c>
      <c r="AX164" s="627">
        <f t="shared" si="20"/>
        <v>93</v>
      </c>
      <c r="AY164" s="627">
        <f t="shared" si="20"/>
        <v>105</v>
      </c>
      <c r="AZ164" s="627">
        <f t="shared" si="20"/>
        <v>433</v>
      </c>
      <c r="BA164" s="627">
        <f t="shared" si="20"/>
        <v>396</v>
      </c>
    </row>
    <row r="165" spans="1:53">
      <c r="A165" s="105">
        <f t="shared" si="23"/>
        <v>154</v>
      </c>
      <c r="B165" s="745">
        <v>42523</v>
      </c>
      <c r="C165" s="746" t="s">
        <v>1772</v>
      </c>
      <c r="D165" s="747">
        <v>3987</v>
      </c>
      <c r="E165" s="747">
        <v>3842</v>
      </c>
      <c r="F165" s="747">
        <v>3765</v>
      </c>
      <c r="G165" s="747">
        <v>3729</v>
      </c>
      <c r="H165" s="747">
        <v>3778</v>
      </c>
      <c r="I165" s="747">
        <v>3962</v>
      </c>
      <c r="J165" s="747">
        <v>4251</v>
      </c>
      <c r="K165" s="747">
        <v>4546</v>
      </c>
      <c r="L165" s="747">
        <v>4720</v>
      </c>
      <c r="M165" s="747">
        <v>4902</v>
      </c>
      <c r="N165" s="747">
        <v>5089</v>
      </c>
      <c r="O165" s="747">
        <v>5203</v>
      </c>
      <c r="P165" s="747">
        <v>5319</v>
      </c>
      <c r="Q165" s="747">
        <v>5461</v>
      </c>
      <c r="R165" s="747">
        <v>5579</v>
      </c>
      <c r="S165" s="747">
        <v>5735</v>
      </c>
      <c r="T165" s="747">
        <v>5800</v>
      </c>
      <c r="U165" s="747">
        <v>5849</v>
      </c>
      <c r="V165" s="747">
        <v>5693</v>
      </c>
      <c r="W165" s="747">
        <v>5605</v>
      </c>
      <c r="X165" s="747">
        <v>5590</v>
      </c>
      <c r="Y165" s="747">
        <v>5445</v>
      </c>
      <c r="Z165" s="747">
        <v>4953</v>
      </c>
      <c r="AA165" s="747">
        <v>4493</v>
      </c>
      <c r="AC165" s="628">
        <f t="shared" si="24"/>
        <v>154</v>
      </c>
      <c r="AD165" s="627">
        <f t="shared" si="25"/>
        <v>305</v>
      </c>
      <c r="AE165" s="627">
        <f t="shared" si="22"/>
        <v>145</v>
      </c>
      <c r="AF165" s="627">
        <f t="shared" si="22"/>
        <v>77</v>
      </c>
      <c r="AG165" s="627">
        <f t="shared" si="22"/>
        <v>36</v>
      </c>
      <c r="AH165" s="627">
        <f t="shared" si="22"/>
        <v>49</v>
      </c>
      <c r="AI165" s="627">
        <f t="shared" si="22"/>
        <v>184</v>
      </c>
      <c r="AJ165" s="627">
        <f t="shared" si="22"/>
        <v>289</v>
      </c>
      <c r="AK165" s="627">
        <f t="shared" si="22"/>
        <v>295</v>
      </c>
      <c r="AL165" s="627">
        <f t="shared" si="22"/>
        <v>174</v>
      </c>
      <c r="AM165" s="627">
        <f t="shared" si="22"/>
        <v>182</v>
      </c>
      <c r="AN165" s="627">
        <f t="shared" si="21"/>
        <v>187</v>
      </c>
      <c r="AO165" s="627">
        <f t="shared" si="21"/>
        <v>114</v>
      </c>
      <c r="AP165" s="627">
        <f t="shared" si="21"/>
        <v>116</v>
      </c>
      <c r="AQ165" s="627">
        <f t="shared" si="21"/>
        <v>142</v>
      </c>
      <c r="AR165" s="627">
        <f t="shared" si="21"/>
        <v>118</v>
      </c>
      <c r="AS165" s="627">
        <f t="shared" si="21"/>
        <v>156</v>
      </c>
      <c r="AT165" s="627">
        <f t="shared" si="21"/>
        <v>65</v>
      </c>
      <c r="AU165" s="627">
        <f t="shared" si="20"/>
        <v>49</v>
      </c>
      <c r="AV165" s="627">
        <f t="shared" si="20"/>
        <v>156</v>
      </c>
      <c r="AW165" s="627">
        <f t="shared" si="20"/>
        <v>88</v>
      </c>
      <c r="AX165" s="627">
        <f t="shared" si="20"/>
        <v>15</v>
      </c>
      <c r="AY165" s="627">
        <f t="shared" si="20"/>
        <v>145</v>
      </c>
      <c r="AZ165" s="627">
        <f t="shared" si="20"/>
        <v>492</v>
      </c>
      <c r="BA165" s="627">
        <f t="shared" si="20"/>
        <v>460</v>
      </c>
    </row>
    <row r="166" spans="1:53">
      <c r="A166" s="105">
        <f t="shared" si="23"/>
        <v>155</v>
      </c>
      <c r="B166" s="745">
        <v>42524</v>
      </c>
      <c r="C166" s="746" t="s">
        <v>1772</v>
      </c>
      <c r="D166" s="747">
        <v>4164</v>
      </c>
      <c r="E166" s="747">
        <v>3978</v>
      </c>
      <c r="F166" s="747">
        <v>3827</v>
      </c>
      <c r="G166" s="747">
        <v>3748</v>
      </c>
      <c r="H166" s="747">
        <v>3794</v>
      </c>
      <c r="I166" s="747">
        <v>3978</v>
      </c>
      <c r="J166" s="747">
        <v>4239</v>
      </c>
      <c r="K166" s="747">
        <v>4546</v>
      </c>
      <c r="L166" s="747">
        <v>4802</v>
      </c>
      <c r="M166" s="747">
        <v>4983</v>
      </c>
      <c r="N166" s="747">
        <v>5141</v>
      </c>
      <c r="O166" s="747">
        <v>5276</v>
      </c>
      <c r="P166" s="747">
        <v>5397</v>
      </c>
      <c r="Q166" s="747">
        <v>5528</v>
      </c>
      <c r="R166" s="747">
        <v>5668</v>
      </c>
      <c r="S166" s="747">
        <v>5741</v>
      </c>
      <c r="T166" s="747">
        <v>5823</v>
      </c>
      <c r="U166" s="747">
        <v>5824</v>
      </c>
      <c r="V166" s="747">
        <v>5647</v>
      </c>
      <c r="W166" s="747">
        <v>5515</v>
      </c>
      <c r="X166" s="747">
        <v>5449</v>
      </c>
      <c r="Y166" s="747">
        <v>5333</v>
      </c>
      <c r="Z166" s="747">
        <v>4951</v>
      </c>
      <c r="AA166" s="747">
        <v>4487</v>
      </c>
      <c r="AC166" s="628">
        <f t="shared" si="24"/>
        <v>155</v>
      </c>
      <c r="AD166" s="627">
        <f t="shared" si="25"/>
        <v>329</v>
      </c>
      <c r="AE166" s="627">
        <f t="shared" si="22"/>
        <v>186</v>
      </c>
      <c r="AF166" s="627">
        <f t="shared" si="22"/>
        <v>151</v>
      </c>
      <c r="AG166" s="627">
        <f t="shared" si="22"/>
        <v>79</v>
      </c>
      <c r="AH166" s="627">
        <f t="shared" si="22"/>
        <v>46</v>
      </c>
      <c r="AI166" s="627">
        <f t="shared" si="22"/>
        <v>184</v>
      </c>
      <c r="AJ166" s="627">
        <f t="shared" si="22"/>
        <v>261</v>
      </c>
      <c r="AK166" s="627">
        <f t="shared" si="22"/>
        <v>307</v>
      </c>
      <c r="AL166" s="627">
        <f t="shared" si="22"/>
        <v>256</v>
      </c>
      <c r="AM166" s="627">
        <f t="shared" si="22"/>
        <v>181</v>
      </c>
      <c r="AN166" s="627">
        <f t="shared" si="21"/>
        <v>158</v>
      </c>
      <c r="AO166" s="627">
        <f t="shared" si="21"/>
        <v>135</v>
      </c>
      <c r="AP166" s="627">
        <f t="shared" si="21"/>
        <v>121</v>
      </c>
      <c r="AQ166" s="627">
        <f t="shared" si="21"/>
        <v>131</v>
      </c>
      <c r="AR166" s="627">
        <f t="shared" si="21"/>
        <v>140</v>
      </c>
      <c r="AS166" s="627">
        <f t="shared" si="21"/>
        <v>73</v>
      </c>
      <c r="AT166" s="627">
        <f t="shared" si="21"/>
        <v>82</v>
      </c>
      <c r="AU166" s="627">
        <f t="shared" si="20"/>
        <v>1</v>
      </c>
      <c r="AV166" s="627">
        <f t="shared" si="20"/>
        <v>177</v>
      </c>
      <c r="AW166" s="627">
        <f t="shared" si="20"/>
        <v>132</v>
      </c>
      <c r="AX166" s="627">
        <f t="shared" si="20"/>
        <v>66</v>
      </c>
      <c r="AY166" s="627">
        <f t="shared" si="20"/>
        <v>116</v>
      </c>
      <c r="AZ166" s="627">
        <f t="shared" si="20"/>
        <v>382</v>
      </c>
      <c r="BA166" s="627">
        <f t="shared" si="20"/>
        <v>464</v>
      </c>
    </row>
    <row r="167" spans="1:53">
      <c r="A167" s="105">
        <f t="shared" si="23"/>
        <v>156</v>
      </c>
      <c r="B167" s="745">
        <v>42525</v>
      </c>
      <c r="C167" s="746" t="s">
        <v>1772</v>
      </c>
      <c r="D167" s="747">
        <v>4153</v>
      </c>
      <c r="E167" s="747">
        <v>3963</v>
      </c>
      <c r="F167" s="747">
        <v>3825</v>
      </c>
      <c r="G167" s="747">
        <v>3767</v>
      </c>
      <c r="H167" s="747">
        <v>3749</v>
      </c>
      <c r="I167" s="747">
        <v>3749</v>
      </c>
      <c r="J167" s="747">
        <v>3853</v>
      </c>
      <c r="K167" s="747">
        <v>4063</v>
      </c>
      <c r="L167" s="747">
        <v>4328</v>
      </c>
      <c r="M167" s="747">
        <v>4529</v>
      </c>
      <c r="N167" s="747">
        <v>4683</v>
      </c>
      <c r="O167" s="747">
        <v>4798</v>
      </c>
      <c r="P167" s="747">
        <v>4875</v>
      </c>
      <c r="Q167" s="747">
        <v>4960</v>
      </c>
      <c r="R167" s="747">
        <v>5086</v>
      </c>
      <c r="S167" s="747">
        <v>5240</v>
      </c>
      <c r="T167" s="747">
        <v>5390</v>
      </c>
      <c r="U167" s="747">
        <v>5517</v>
      </c>
      <c r="V167" s="747">
        <v>5533</v>
      </c>
      <c r="W167" s="747">
        <v>5417</v>
      </c>
      <c r="X167" s="747">
        <v>5315</v>
      </c>
      <c r="Y167" s="747">
        <v>5220</v>
      </c>
      <c r="Z167" s="747">
        <v>4815</v>
      </c>
      <c r="AA167" s="747">
        <v>4401</v>
      </c>
      <c r="AC167" s="628">
        <f t="shared" si="24"/>
        <v>156</v>
      </c>
      <c r="AD167" s="627">
        <f t="shared" si="25"/>
        <v>334</v>
      </c>
      <c r="AE167" s="627">
        <f t="shared" si="22"/>
        <v>190</v>
      </c>
      <c r="AF167" s="627">
        <f t="shared" si="22"/>
        <v>138</v>
      </c>
      <c r="AG167" s="627">
        <f t="shared" si="22"/>
        <v>58</v>
      </c>
      <c r="AH167" s="627">
        <f t="shared" si="22"/>
        <v>18</v>
      </c>
      <c r="AI167" s="627">
        <f t="shared" si="22"/>
        <v>0</v>
      </c>
      <c r="AJ167" s="627">
        <f t="shared" si="22"/>
        <v>104</v>
      </c>
      <c r="AK167" s="627">
        <f t="shared" si="22"/>
        <v>210</v>
      </c>
      <c r="AL167" s="627">
        <f t="shared" si="22"/>
        <v>265</v>
      </c>
      <c r="AM167" s="627">
        <f t="shared" si="22"/>
        <v>201</v>
      </c>
      <c r="AN167" s="627">
        <f t="shared" si="21"/>
        <v>154</v>
      </c>
      <c r="AO167" s="627">
        <f t="shared" si="21"/>
        <v>115</v>
      </c>
      <c r="AP167" s="627">
        <f t="shared" si="21"/>
        <v>77</v>
      </c>
      <c r="AQ167" s="627">
        <f t="shared" si="21"/>
        <v>85</v>
      </c>
      <c r="AR167" s="627">
        <f t="shared" si="21"/>
        <v>126</v>
      </c>
      <c r="AS167" s="627">
        <f t="shared" si="21"/>
        <v>154</v>
      </c>
      <c r="AT167" s="627">
        <f t="shared" si="21"/>
        <v>150</v>
      </c>
      <c r="AU167" s="627">
        <f t="shared" si="20"/>
        <v>127</v>
      </c>
      <c r="AV167" s="627">
        <f t="shared" si="20"/>
        <v>16</v>
      </c>
      <c r="AW167" s="627">
        <f t="shared" si="20"/>
        <v>116</v>
      </c>
      <c r="AX167" s="627">
        <f t="shared" si="20"/>
        <v>102</v>
      </c>
      <c r="AY167" s="627">
        <f t="shared" si="20"/>
        <v>95</v>
      </c>
      <c r="AZ167" s="627">
        <f t="shared" si="20"/>
        <v>405</v>
      </c>
      <c r="BA167" s="627">
        <f t="shared" si="20"/>
        <v>414</v>
      </c>
    </row>
    <row r="168" spans="1:53">
      <c r="A168" s="105">
        <f t="shared" si="23"/>
        <v>157</v>
      </c>
      <c r="B168" s="745">
        <v>42526</v>
      </c>
      <c r="C168" s="746" t="s">
        <v>1772</v>
      </c>
      <c r="D168" s="747">
        <v>4082</v>
      </c>
      <c r="E168" s="747">
        <v>3882</v>
      </c>
      <c r="F168" s="747">
        <v>3746</v>
      </c>
      <c r="G168" s="747">
        <v>3649</v>
      </c>
      <c r="H168" s="747">
        <v>3623</v>
      </c>
      <c r="I168" s="747">
        <v>3583</v>
      </c>
      <c r="J168" s="747">
        <v>3633</v>
      </c>
      <c r="K168" s="747">
        <v>3849</v>
      </c>
      <c r="L168" s="747">
        <v>4090</v>
      </c>
      <c r="M168" s="747">
        <v>4335</v>
      </c>
      <c r="N168" s="747">
        <v>4544</v>
      </c>
      <c r="O168" s="747">
        <v>4746</v>
      </c>
      <c r="P168" s="747">
        <v>4935</v>
      </c>
      <c r="Q168" s="747">
        <v>5128</v>
      </c>
      <c r="R168" s="747">
        <v>5337</v>
      </c>
      <c r="S168" s="747">
        <v>5550</v>
      </c>
      <c r="T168" s="747">
        <v>5777</v>
      </c>
      <c r="U168" s="747">
        <v>5936</v>
      </c>
      <c r="V168" s="747">
        <v>5841</v>
      </c>
      <c r="W168" s="747">
        <v>5628</v>
      </c>
      <c r="X168" s="747">
        <v>5584</v>
      </c>
      <c r="Y168" s="747">
        <v>5469</v>
      </c>
      <c r="Z168" s="747">
        <v>4968</v>
      </c>
      <c r="AA168" s="747">
        <v>4550</v>
      </c>
      <c r="AC168" s="628">
        <f t="shared" si="24"/>
        <v>157</v>
      </c>
      <c r="AD168" s="627">
        <f t="shared" si="25"/>
        <v>319</v>
      </c>
      <c r="AE168" s="627">
        <f t="shared" si="22"/>
        <v>200</v>
      </c>
      <c r="AF168" s="627">
        <f t="shared" si="22"/>
        <v>136</v>
      </c>
      <c r="AG168" s="627">
        <f t="shared" si="22"/>
        <v>97</v>
      </c>
      <c r="AH168" s="627">
        <f t="shared" si="22"/>
        <v>26</v>
      </c>
      <c r="AI168" s="627">
        <f t="shared" si="22"/>
        <v>40</v>
      </c>
      <c r="AJ168" s="627">
        <f t="shared" si="22"/>
        <v>50</v>
      </c>
      <c r="AK168" s="627">
        <f t="shared" si="22"/>
        <v>216</v>
      </c>
      <c r="AL168" s="627">
        <f t="shared" si="22"/>
        <v>241</v>
      </c>
      <c r="AM168" s="627">
        <f t="shared" si="22"/>
        <v>245</v>
      </c>
      <c r="AN168" s="627">
        <f t="shared" si="21"/>
        <v>209</v>
      </c>
      <c r="AO168" s="627">
        <f t="shared" si="21"/>
        <v>202</v>
      </c>
      <c r="AP168" s="627">
        <f t="shared" si="21"/>
        <v>189</v>
      </c>
      <c r="AQ168" s="627">
        <f t="shared" si="21"/>
        <v>193</v>
      </c>
      <c r="AR168" s="627">
        <f t="shared" si="21"/>
        <v>209</v>
      </c>
      <c r="AS168" s="627">
        <f t="shared" si="21"/>
        <v>213</v>
      </c>
      <c r="AT168" s="627">
        <f t="shared" si="21"/>
        <v>227</v>
      </c>
      <c r="AU168" s="627">
        <f t="shared" si="20"/>
        <v>159</v>
      </c>
      <c r="AV168" s="627">
        <f t="shared" si="20"/>
        <v>95</v>
      </c>
      <c r="AW168" s="627">
        <f t="shared" si="20"/>
        <v>213</v>
      </c>
      <c r="AX168" s="627">
        <f t="shared" si="20"/>
        <v>44</v>
      </c>
      <c r="AY168" s="627">
        <f t="shared" si="20"/>
        <v>115</v>
      </c>
      <c r="AZ168" s="627">
        <f t="shared" si="20"/>
        <v>501</v>
      </c>
      <c r="BA168" s="627">
        <f t="shared" si="20"/>
        <v>418</v>
      </c>
    </row>
    <row r="169" spans="1:53">
      <c r="A169" s="105">
        <f t="shared" si="23"/>
        <v>158</v>
      </c>
      <c r="B169" s="745">
        <v>42527</v>
      </c>
      <c r="C169" s="746" t="s">
        <v>1772</v>
      </c>
      <c r="D169" s="747">
        <v>4271</v>
      </c>
      <c r="E169" s="747">
        <v>4077</v>
      </c>
      <c r="F169" s="747">
        <v>3965</v>
      </c>
      <c r="G169" s="747">
        <v>3923</v>
      </c>
      <c r="H169" s="747">
        <v>3987</v>
      </c>
      <c r="I169" s="747">
        <v>4133</v>
      </c>
      <c r="J169" s="747">
        <v>4331</v>
      </c>
      <c r="K169" s="747">
        <v>4733</v>
      </c>
      <c r="L169" s="747">
        <v>5053</v>
      </c>
      <c r="M169" s="747">
        <v>5361</v>
      </c>
      <c r="N169" s="747">
        <v>5634</v>
      </c>
      <c r="O169" s="747">
        <v>5860</v>
      </c>
      <c r="P169" s="747">
        <v>6008</v>
      </c>
      <c r="Q169" s="747">
        <v>6240</v>
      </c>
      <c r="R169" s="747">
        <v>6434</v>
      </c>
      <c r="S169" s="747">
        <v>6536</v>
      </c>
      <c r="T169" s="747">
        <v>6408</v>
      </c>
      <c r="U169" s="747">
        <v>6270</v>
      </c>
      <c r="V169" s="747">
        <v>5960</v>
      </c>
      <c r="W169" s="747">
        <v>5617</v>
      </c>
      <c r="X169" s="747">
        <v>5517</v>
      </c>
      <c r="Y169" s="747">
        <v>5322</v>
      </c>
      <c r="Z169" s="747">
        <v>4878</v>
      </c>
      <c r="AA169" s="747">
        <v>4517</v>
      </c>
      <c r="AC169" s="628">
        <f t="shared" si="24"/>
        <v>158</v>
      </c>
      <c r="AD169" s="627">
        <f t="shared" si="25"/>
        <v>279</v>
      </c>
      <c r="AE169" s="627">
        <f t="shared" si="22"/>
        <v>194</v>
      </c>
      <c r="AF169" s="627">
        <f t="shared" si="22"/>
        <v>112</v>
      </c>
      <c r="AG169" s="627">
        <f t="shared" si="22"/>
        <v>42</v>
      </c>
      <c r="AH169" s="627">
        <f t="shared" ref="AH169:AW186" si="26">ABS(H169-G169)</f>
        <v>64</v>
      </c>
      <c r="AI169" s="627">
        <f t="shared" si="26"/>
        <v>146</v>
      </c>
      <c r="AJ169" s="627">
        <f t="shared" si="26"/>
        <v>198</v>
      </c>
      <c r="AK169" s="627">
        <f t="shared" si="26"/>
        <v>402</v>
      </c>
      <c r="AL169" s="627">
        <f t="shared" si="26"/>
        <v>320</v>
      </c>
      <c r="AM169" s="627">
        <f t="shared" si="26"/>
        <v>308</v>
      </c>
      <c r="AN169" s="627">
        <f t="shared" si="21"/>
        <v>273</v>
      </c>
      <c r="AO169" s="627">
        <f t="shared" si="21"/>
        <v>226</v>
      </c>
      <c r="AP169" s="627">
        <f t="shared" si="21"/>
        <v>148</v>
      </c>
      <c r="AQ169" s="627">
        <f t="shared" si="21"/>
        <v>232</v>
      </c>
      <c r="AR169" s="627">
        <f t="shared" si="21"/>
        <v>194</v>
      </c>
      <c r="AS169" s="627">
        <f t="shared" si="21"/>
        <v>102</v>
      </c>
      <c r="AT169" s="627">
        <f t="shared" si="21"/>
        <v>128</v>
      </c>
      <c r="AU169" s="627">
        <f t="shared" si="20"/>
        <v>138</v>
      </c>
      <c r="AV169" s="627">
        <f t="shared" si="20"/>
        <v>310</v>
      </c>
      <c r="AW169" s="627">
        <f t="shared" si="20"/>
        <v>343</v>
      </c>
      <c r="AX169" s="627">
        <f t="shared" si="20"/>
        <v>100</v>
      </c>
      <c r="AY169" s="627">
        <f t="shared" si="20"/>
        <v>195</v>
      </c>
      <c r="AZ169" s="627">
        <f t="shared" si="20"/>
        <v>444</v>
      </c>
      <c r="BA169" s="627">
        <f t="shared" si="20"/>
        <v>361</v>
      </c>
    </row>
    <row r="170" spans="1:53">
      <c r="A170" s="105">
        <f t="shared" si="23"/>
        <v>159</v>
      </c>
      <c r="B170" s="745">
        <v>42528</v>
      </c>
      <c r="C170" s="746" t="s">
        <v>1772</v>
      </c>
      <c r="D170" s="747">
        <v>4254</v>
      </c>
      <c r="E170" s="747">
        <v>4163</v>
      </c>
      <c r="F170" s="747">
        <v>4109</v>
      </c>
      <c r="G170" s="747">
        <v>4084</v>
      </c>
      <c r="H170" s="747">
        <v>4051</v>
      </c>
      <c r="I170" s="747">
        <v>4153</v>
      </c>
      <c r="J170" s="747">
        <v>4369</v>
      </c>
      <c r="K170" s="747">
        <v>4658</v>
      </c>
      <c r="L170" s="747">
        <v>4917</v>
      </c>
      <c r="M170" s="747">
        <v>5092</v>
      </c>
      <c r="N170" s="747">
        <v>5304</v>
      </c>
      <c r="O170" s="747">
        <v>5448</v>
      </c>
      <c r="P170" s="747">
        <v>5584</v>
      </c>
      <c r="Q170" s="747">
        <v>5857</v>
      </c>
      <c r="R170" s="747">
        <v>5973</v>
      </c>
      <c r="S170" s="747">
        <v>6023</v>
      </c>
      <c r="T170" s="747">
        <v>6007</v>
      </c>
      <c r="U170" s="747">
        <v>5977</v>
      </c>
      <c r="V170" s="747">
        <v>5727</v>
      </c>
      <c r="W170" s="747">
        <v>5541</v>
      </c>
      <c r="X170" s="747">
        <v>5451</v>
      </c>
      <c r="Y170" s="747">
        <v>5336</v>
      </c>
      <c r="Z170" s="747">
        <v>5016</v>
      </c>
      <c r="AA170" s="747">
        <v>4749</v>
      </c>
      <c r="AC170" s="628">
        <f t="shared" si="24"/>
        <v>159</v>
      </c>
      <c r="AD170" s="627">
        <f t="shared" si="25"/>
        <v>263</v>
      </c>
      <c r="AE170" s="627">
        <f t="shared" ref="AE170:AT199" si="27">ABS(E170-D170)</f>
        <v>91</v>
      </c>
      <c r="AF170" s="627">
        <f t="shared" si="27"/>
        <v>54</v>
      </c>
      <c r="AG170" s="627">
        <f t="shared" si="27"/>
        <v>25</v>
      </c>
      <c r="AH170" s="627">
        <f t="shared" si="26"/>
        <v>33</v>
      </c>
      <c r="AI170" s="627">
        <f t="shared" si="26"/>
        <v>102</v>
      </c>
      <c r="AJ170" s="627">
        <f t="shared" si="26"/>
        <v>216</v>
      </c>
      <c r="AK170" s="627">
        <f t="shared" si="26"/>
        <v>289</v>
      </c>
      <c r="AL170" s="627">
        <f t="shared" si="26"/>
        <v>259</v>
      </c>
      <c r="AM170" s="627">
        <f t="shared" si="26"/>
        <v>175</v>
      </c>
      <c r="AN170" s="627">
        <f t="shared" si="21"/>
        <v>212</v>
      </c>
      <c r="AO170" s="627">
        <f t="shared" si="21"/>
        <v>144</v>
      </c>
      <c r="AP170" s="627">
        <f t="shared" si="21"/>
        <v>136</v>
      </c>
      <c r="AQ170" s="627">
        <f t="shared" si="21"/>
        <v>273</v>
      </c>
      <c r="AR170" s="627">
        <f t="shared" si="21"/>
        <v>116</v>
      </c>
      <c r="AS170" s="627">
        <f t="shared" si="21"/>
        <v>50</v>
      </c>
      <c r="AT170" s="627">
        <f t="shared" si="21"/>
        <v>16</v>
      </c>
      <c r="AU170" s="627">
        <f t="shared" si="21"/>
        <v>30</v>
      </c>
      <c r="AV170" s="627">
        <f t="shared" si="21"/>
        <v>250</v>
      </c>
      <c r="AW170" s="627">
        <f t="shared" si="21"/>
        <v>186</v>
      </c>
      <c r="AX170" s="627">
        <f t="shared" si="20"/>
        <v>90</v>
      </c>
      <c r="AY170" s="627">
        <f t="shared" si="20"/>
        <v>115</v>
      </c>
      <c r="AZ170" s="627">
        <f t="shared" si="20"/>
        <v>320</v>
      </c>
      <c r="BA170" s="627">
        <f t="shared" ref="AX170:BA233" si="28">ABS(AA170-Z170)</f>
        <v>267</v>
      </c>
    </row>
    <row r="171" spans="1:53">
      <c r="A171" s="105">
        <f t="shared" si="23"/>
        <v>160</v>
      </c>
      <c r="B171" s="745">
        <v>42529</v>
      </c>
      <c r="C171" s="746" t="s">
        <v>1772</v>
      </c>
      <c r="D171" s="747">
        <v>4426</v>
      </c>
      <c r="E171" s="747">
        <v>4257</v>
      </c>
      <c r="F171" s="747">
        <v>4145</v>
      </c>
      <c r="G171" s="747">
        <v>4089</v>
      </c>
      <c r="H171" s="747">
        <v>4067</v>
      </c>
      <c r="I171" s="747">
        <v>4201</v>
      </c>
      <c r="J171" s="747">
        <v>4380</v>
      </c>
      <c r="K171" s="747">
        <v>4670</v>
      </c>
      <c r="L171" s="747">
        <v>4935</v>
      </c>
      <c r="M171" s="747">
        <v>5145</v>
      </c>
      <c r="N171" s="747">
        <v>5366</v>
      </c>
      <c r="O171" s="747">
        <v>5634</v>
      </c>
      <c r="P171" s="747">
        <v>5835</v>
      </c>
      <c r="Q171" s="747">
        <v>6054</v>
      </c>
      <c r="R171" s="747">
        <v>6213</v>
      </c>
      <c r="S171" s="747">
        <v>6213</v>
      </c>
      <c r="T171" s="747">
        <v>6259</v>
      </c>
      <c r="U171" s="747">
        <v>6116</v>
      </c>
      <c r="V171" s="747">
        <v>5927</v>
      </c>
      <c r="W171" s="747">
        <v>5764</v>
      </c>
      <c r="X171" s="747">
        <v>5748</v>
      </c>
      <c r="Y171" s="747">
        <v>5631</v>
      </c>
      <c r="Z171" s="747">
        <v>5125</v>
      </c>
      <c r="AA171" s="747">
        <v>4747</v>
      </c>
      <c r="AC171" s="628">
        <f t="shared" si="24"/>
        <v>160</v>
      </c>
      <c r="AD171" s="627">
        <f t="shared" si="25"/>
        <v>323</v>
      </c>
      <c r="AE171" s="627">
        <f t="shared" si="27"/>
        <v>169</v>
      </c>
      <c r="AF171" s="627">
        <f t="shared" si="27"/>
        <v>112</v>
      </c>
      <c r="AG171" s="627">
        <f t="shared" si="27"/>
        <v>56</v>
      </c>
      <c r="AH171" s="627">
        <f t="shared" si="26"/>
        <v>22</v>
      </c>
      <c r="AI171" s="627">
        <f t="shared" si="26"/>
        <v>134</v>
      </c>
      <c r="AJ171" s="627">
        <f t="shared" si="26"/>
        <v>179</v>
      </c>
      <c r="AK171" s="627">
        <f t="shared" si="26"/>
        <v>290</v>
      </c>
      <c r="AL171" s="627">
        <f t="shared" si="26"/>
        <v>265</v>
      </c>
      <c r="AM171" s="627">
        <f t="shared" si="26"/>
        <v>210</v>
      </c>
      <c r="AN171" s="627">
        <f t="shared" si="21"/>
        <v>221</v>
      </c>
      <c r="AO171" s="627">
        <f t="shared" si="21"/>
        <v>268</v>
      </c>
      <c r="AP171" s="627">
        <f t="shared" si="21"/>
        <v>201</v>
      </c>
      <c r="AQ171" s="627">
        <f t="shared" si="21"/>
        <v>219</v>
      </c>
      <c r="AR171" s="627">
        <f t="shared" si="21"/>
        <v>159</v>
      </c>
      <c r="AS171" s="627">
        <f t="shared" si="21"/>
        <v>0</v>
      </c>
      <c r="AT171" s="627">
        <f t="shared" si="21"/>
        <v>46</v>
      </c>
      <c r="AU171" s="627">
        <f t="shared" si="21"/>
        <v>143</v>
      </c>
      <c r="AV171" s="627">
        <f t="shared" si="21"/>
        <v>189</v>
      </c>
      <c r="AW171" s="627">
        <f t="shared" si="21"/>
        <v>163</v>
      </c>
      <c r="AX171" s="627">
        <f t="shared" si="28"/>
        <v>16</v>
      </c>
      <c r="AY171" s="627">
        <f t="shared" si="28"/>
        <v>117</v>
      </c>
      <c r="AZ171" s="627">
        <f t="shared" si="28"/>
        <v>506</v>
      </c>
      <c r="BA171" s="627">
        <f t="shared" si="28"/>
        <v>378</v>
      </c>
    </row>
    <row r="172" spans="1:53">
      <c r="A172" s="105">
        <f t="shared" si="23"/>
        <v>161</v>
      </c>
      <c r="B172" s="745">
        <v>42530</v>
      </c>
      <c r="C172" s="746" t="s">
        <v>1772</v>
      </c>
      <c r="D172" s="747">
        <v>4511</v>
      </c>
      <c r="E172" s="747">
        <v>4318</v>
      </c>
      <c r="F172" s="747">
        <v>4222</v>
      </c>
      <c r="G172" s="747">
        <v>4162</v>
      </c>
      <c r="H172" s="747">
        <v>4126</v>
      </c>
      <c r="I172" s="747">
        <v>4201</v>
      </c>
      <c r="J172" s="747">
        <v>4529</v>
      </c>
      <c r="K172" s="747">
        <v>4710</v>
      </c>
      <c r="L172" s="747">
        <v>5051</v>
      </c>
      <c r="M172" s="747">
        <v>5340</v>
      </c>
      <c r="N172" s="747">
        <v>5634</v>
      </c>
      <c r="O172" s="747">
        <v>5899</v>
      </c>
      <c r="P172" s="747">
        <v>6182</v>
      </c>
      <c r="Q172" s="747">
        <v>6446</v>
      </c>
      <c r="R172" s="747">
        <v>6698</v>
      </c>
      <c r="S172" s="747">
        <v>6876</v>
      </c>
      <c r="T172" s="747">
        <v>7063</v>
      </c>
      <c r="U172" s="747">
        <v>7036</v>
      </c>
      <c r="V172" s="747">
        <v>6796</v>
      </c>
      <c r="W172" s="747">
        <v>6581</v>
      </c>
      <c r="X172" s="747">
        <v>6368</v>
      </c>
      <c r="Y172" s="747">
        <v>6031</v>
      </c>
      <c r="Z172" s="747">
        <v>5482</v>
      </c>
      <c r="AA172" s="747">
        <v>5146</v>
      </c>
      <c r="AC172" s="628">
        <f t="shared" si="24"/>
        <v>161</v>
      </c>
      <c r="AD172" s="627">
        <f t="shared" si="25"/>
        <v>236</v>
      </c>
      <c r="AE172" s="627">
        <f t="shared" si="27"/>
        <v>193</v>
      </c>
      <c r="AF172" s="627">
        <f t="shared" si="27"/>
        <v>96</v>
      </c>
      <c r="AG172" s="627">
        <f t="shared" si="27"/>
        <v>60</v>
      </c>
      <c r="AH172" s="627">
        <f t="shared" si="26"/>
        <v>36</v>
      </c>
      <c r="AI172" s="627">
        <f t="shared" si="26"/>
        <v>75</v>
      </c>
      <c r="AJ172" s="627">
        <f t="shared" si="26"/>
        <v>328</v>
      </c>
      <c r="AK172" s="627">
        <f t="shared" si="26"/>
        <v>181</v>
      </c>
      <c r="AL172" s="627">
        <f t="shared" si="26"/>
        <v>341</v>
      </c>
      <c r="AM172" s="627">
        <f t="shared" si="26"/>
        <v>289</v>
      </c>
      <c r="AN172" s="627">
        <f t="shared" si="26"/>
        <v>294</v>
      </c>
      <c r="AO172" s="627">
        <f t="shared" si="26"/>
        <v>265</v>
      </c>
      <c r="AP172" s="627">
        <f t="shared" si="26"/>
        <v>283</v>
      </c>
      <c r="AQ172" s="627">
        <f t="shared" si="26"/>
        <v>264</v>
      </c>
      <c r="AR172" s="627">
        <f t="shared" si="26"/>
        <v>252</v>
      </c>
      <c r="AS172" s="627">
        <f t="shared" si="26"/>
        <v>178</v>
      </c>
      <c r="AT172" s="627">
        <f t="shared" si="26"/>
        <v>187</v>
      </c>
      <c r="AU172" s="627">
        <f t="shared" si="26"/>
        <v>27</v>
      </c>
      <c r="AV172" s="627">
        <f t="shared" si="26"/>
        <v>240</v>
      </c>
      <c r="AW172" s="627">
        <f t="shared" si="26"/>
        <v>215</v>
      </c>
      <c r="AX172" s="627">
        <f t="shared" si="28"/>
        <v>213</v>
      </c>
      <c r="AY172" s="627">
        <f t="shared" si="28"/>
        <v>337</v>
      </c>
      <c r="AZ172" s="627">
        <f t="shared" si="28"/>
        <v>549</v>
      </c>
      <c r="BA172" s="627">
        <f t="shared" si="28"/>
        <v>336</v>
      </c>
    </row>
    <row r="173" spans="1:53">
      <c r="A173" s="105">
        <f t="shared" si="23"/>
        <v>162</v>
      </c>
      <c r="B173" s="745">
        <v>42531</v>
      </c>
      <c r="C173" s="746" t="s">
        <v>1772</v>
      </c>
      <c r="D173" s="747">
        <v>4824</v>
      </c>
      <c r="E173" s="747">
        <v>4414</v>
      </c>
      <c r="F173" s="747">
        <v>4241</v>
      </c>
      <c r="G173" s="747">
        <v>4139</v>
      </c>
      <c r="H173" s="747">
        <v>4164</v>
      </c>
      <c r="I173" s="747">
        <v>4299</v>
      </c>
      <c r="J173" s="747">
        <v>4574</v>
      </c>
      <c r="K173" s="747">
        <v>4975</v>
      </c>
      <c r="L173" s="747">
        <v>5296</v>
      </c>
      <c r="M173" s="747">
        <v>5658</v>
      </c>
      <c r="N173" s="747">
        <v>5940</v>
      </c>
      <c r="O173" s="747">
        <v>6237</v>
      </c>
      <c r="P173" s="747">
        <v>6525</v>
      </c>
      <c r="Q173" s="747">
        <v>6835</v>
      </c>
      <c r="R173" s="747">
        <v>7093</v>
      </c>
      <c r="S173" s="747">
        <v>7211</v>
      </c>
      <c r="T173" s="747">
        <v>7071</v>
      </c>
      <c r="U173" s="747">
        <v>6845</v>
      </c>
      <c r="V173" s="747">
        <v>6638</v>
      </c>
      <c r="W173" s="747">
        <v>6403</v>
      </c>
      <c r="X173" s="747">
        <v>6196</v>
      </c>
      <c r="Y173" s="747">
        <v>6007</v>
      </c>
      <c r="Z173" s="747">
        <v>5607</v>
      </c>
      <c r="AA173" s="747">
        <v>5070</v>
      </c>
      <c r="AC173" s="628">
        <f t="shared" si="24"/>
        <v>162</v>
      </c>
      <c r="AD173" s="627">
        <f t="shared" si="25"/>
        <v>322</v>
      </c>
      <c r="AE173" s="627">
        <f t="shared" si="27"/>
        <v>410</v>
      </c>
      <c r="AF173" s="627">
        <f t="shared" si="27"/>
        <v>173</v>
      </c>
      <c r="AG173" s="627">
        <f t="shared" si="27"/>
        <v>102</v>
      </c>
      <c r="AH173" s="627">
        <f t="shared" si="26"/>
        <v>25</v>
      </c>
      <c r="AI173" s="627">
        <f t="shared" si="26"/>
        <v>135</v>
      </c>
      <c r="AJ173" s="627">
        <f t="shared" si="26"/>
        <v>275</v>
      </c>
      <c r="AK173" s="627">
        <f t="shared" si="26"/>
        <v>401</v>
      </c>
      <c r="AL173" s="627">
        <f t="shared" si="26"/>
        <v>321</v>
      </c>
      <c r="AM173" s="627">
        <f t="shared" si="26"/>
        <v>362</v>
      </c>
      <c r="AN173" s="627">
        <f t="shared" si="26"/>
        <v>282</v>
      </c>
      <c r="AO173" s="627">
        <f t="shared" si="26"/>
        <v>297</v>
      </c>
      <c r="AP173" s="627">
        <f t="shared" si="26"/>
        <v>288</v>
      </c>
      <c r="AQ173" s="627">
        <f t="shared" si="26"/>
        <v>310</v>
      </c>
      <c r="AR173" s="627">
        <f t="shared" si="26"/>
        <v>258</v>
      </c>
      <c r="AS173" s="627">
        <f t="shared" si="26"/>
        <v>118</v>
      </c>
      <c r="AT173" s="627">
        <f t="shared" si="26"/>
        <v>140</v>
      </c>
      <c r="AU173" s="627">
        <f t="shared" si="26"/>
        <v>226</v>
      </c>
      <c r="AV173" s="627">
        <f t="shared" si="26"/>
        <v>207</v>
      </c>
      <c r="AW173" s="627">
        <f t="shared" si="26"/>
        <v>235</v>
      </c>
      <c r="AX173" s="627">
        <f t="shared" si="28"/>
        <v>207</v>
      </c>
      <c r="AY173" s="627">
        <f t="shared" si="28"/>
        <v>189</v>
      </c>
      <c r="AZ173" s="627">
        <f t="shared" si="28"/>
        <v>400</v>
      </c>
      <c r="BA173" s="627">
        <f t="shared" si="28"/>
        <v>537</v>
      </c>
    </row>
    <row r="174" spans="1:53">
      <c r="A174" s="105">
        <f t="shared" si="23"/>
        <v>163</v>
      </c>
      <c r="B174" s="745">
        <v>42532</v>
      </c>
      <c r="C174" s="746" t="s">
        <v>1772</v>
      </c>
      <c r="D174" s="747">
        <v>4659</v>
      </c>
      <c r="E174" s="747">
        <v>4405</v>
      </c>
      <c r="F174" s="747">
        <v>4207</v>
      </c>
      <c r="G174" s="747">
        <v>4094</v>
      </c>
      <c r="H174" s="747">
        <v>4047</v>
      </c>
      <c r="I174" s="747">
        <v>4027</v>
      </c>
      <c r="J174" s="747">
        <v>4151</v>
      </c>
      <c r="K174" s="747">
        <v>4465</v>
      </c>
      <c r="L174" s="747">
        <v>4809</v>
      </c>
      <c r="M174" s="747">
        <v>5108</v>
      </c>
      <c r="N174" s="747">
        <v>5473</v>
      </c>
      <c r="O174" s="747">
        <v>5806</v>
      </c>
      <c r="P174" s="747">
        <v>6092</v>
      </c>
      <c r="Q174" s="747">
        <v>6319</v>
      </c>
      <c r="R174" s="747">
        <v>6466</v>
      </c>
      <c r="S174" s="747">
        <v>6621</v>
      </c>
      <c r="T174" s="747">
        <v>6720</v>
      </c>
      <c r="U174" s="747">
        <v>6712</v>
      </c>
      <c r="V174" s="747">
        <v>6610</v>
      </c>
      <c r="W174" s="747">
        <v>6329</v>
      </c>
      <c r="X174" s="747">
        <v>6093</v>
      </c>
      <c r="Y174" s="747">
        <v>5860</v>
      </c>
      <c r="Z174" s="747">
        <v>5405</v>
      </c>
      <c r="AA174" s="747">
        <v>4981</v>
      </c>
      <c r="AC174" s="628">
        <f t="shared" si="24"/>
        <v>163</v>
      </c>
      <c r="AD174" s="627">
        <f t="shared" si="25"/>
        <v>411</v>
      </c>
      <c r="AE174" s="627">
        <f t="shared" si="27"/>
        <v>254</v>
      </c>
      <c r="AF174" s="627">
        <f t="shared" si="27"/>
        <v>198</v>
      </c>
      <c r="AG174" s="627">
        <f t="shared" si="27"/>
        <v>113</v>
      </c>
      <c r="AH174" s="627">
        <f t="shared" si="26"/>
        <v>47</v>
      </c>
      <c r="AI174" s="627">
        <f t="shared" si="26"/>
        <v>20</v>
      </c>
      <c r="AJ174" s="627">
        <f t="shared" si="26"/>
        <v>124</v>
      </c>
      <c r="AK174" s="627">
        <f t="shared" si="26"/>
        <v>314</v>
      </c>
      <c r="AL174" s="627">
        <f t="shared" si="26"/>
        <v>344</v>
      </c>
      <c r="AM174" s="627">
        <f t="shared" si="26"/>
        <v>299</v>
      </c>
      <c r="AN174" s="627">
        <f t="shared" si="26"/>
        <v>365</v>
      </c>
      <c r="AO174" s="627">
        <f t="shared" si="26"/>
        <v>333</v>
      </c>
      <c r="AP174" s="627">
        <f t="shared" si="26"/>
        <v>286</v>
      </c>
      <c r="AQ174" s="627">
        <f t="shared" si="26"/>
        <v>227</v>
      </c>
      <c r="AR174" s="627">
        <f t="shared" si="26"/>
        <v>147</v>
      </c>
      <c r="AS174" s="627">
        <f t="shared" si="26"/>
        <v>155</v>
      </c>
      <c r="AT174" s="627">
        <f t="shared" si="26"/>
        <v>99</v>
      </c>
      <c r="AU174" s="627">
        <f t="shared" si="26"/>
        <v>8</v>
      </c>
      <c r="AV174" s="627">
        <f t="shared" si="26"/>
        <v>102</v>
      </c>
      <c r="AW174" s="627">
        <f t="shared" si="26"/>
        <v>281</v>
      </c>
      <c r="AX174" s="627">
        <f t="shared" si="28"/>
        <v>236</v>
      </c>
      <c r="AY174" s="627">
        <f t="shared" si="28"/>
        <v>233</v>
      </c>
      <c r="AZ174" s="627">
        <f t="shared" si="28"/>
        <v>455</v>
      </c>
      <c r="BA174" s="627">
        <f t="shared" si="28"/>
        <v>424</v>
      </c>
    </row>
    <row r="175" spans="1:53">
      <c r="A175" s="105">
        <f t="shared" si="23"/>
        <v>164</v>
      </c>
      <c r="B175" s="745">
        <v>42533</v>
      </c>
      <c r="C175" s="746" t="s">
        <v>1772</v>
      </c>
      <c r="D175" s="747">
        <v>4703</v>
      </c>
      <c r="E175" s="747">
        <v>4526</v>
      </c>
      <c r="F175" s="747">
        <v>4359</v>
      </c>
      <c r="G175" s="747">
        <v>4235</v>
      </c>
      <c r="H175" s="747">
        <v>4167</v>
      </c>
      <c r="I175" s="747">
        <v>4019</v>
      </c>
      <c r="J175" s="747">
        <v>4014</v>
      </c>
      <c r="K175" s="747">
        <v>4134</v>
      </c>
      <c r="L175" s="747">
        <v>4403</v>
      </c>
      <c r="M175" s="747">
        <v>4690</v>
      </c>
      <c r="N175" s="747">
        <v>4936</v>
      </c>
      <c r="O175" s="747">
        <v>5203</v>
      </c>
      <c r="P175" s="747">
        <v>5482</v>
      </c>
      <c r="Q175" s="747">
        <v>5722</v>
      </c>
      <c r="R175" s="747">
        <v>5976</v>
      </c>
      <c r="S175" s="747">
        <v>6225</v>
      </c>
      <c r="T175" s="747">
        <v>6436</v>
      </c>
      <c r="U175" s="747">
        <v>6394</v>
      </c>
      <c r="V175" s="747">
        <v>6055</v>
      </c>
      <c r="W175" s="747">
        <v>5772</v>
      </c>
      <c r="X175" s="747">
        <v>5571</v>
      </c>
      <c r="Y175" s="747">
        <v>5493</v>
      </c>
      <c r="Z175" s="747">
        <v>5078</v>
      </c>
      <c r="AA175" s="747">
        <v>4595</v>
      </c>
      <c r="AC175" s="628">
        <f t="shared" si="24"/>
        <v>164</v>
      </c>
      <c r="AD175" s="627">
        <f t="shared" si="25"/>
        <v>278</v>
      </c>
      <c r="AE175" s="627">
        <f t="shared" si="27"/>
        <v>177</v>
      </c>
      <c r="AF175" s="627">
        <f t="shared" si="27"/>
        <v>167</v>
      </c>
      <c r="AG175" s="627">
        <f t="shared" si="27"/>
        <v>124</v>
      </c>
      <c r="AH175" s="627">
        <f t="shared" si="26"/>
        <v>68</v>
      </c>
      <c r="AI175" s="627">
        <f t="shared" si="26"/>
        <v>148</v>
      </c>
      <c r="AJ175" s="627">
        <f t="shared" si="26"/>
        <v>5</v>
      </c>
      <c r="AK175" s="627">
        <f t="shared" si="26"/>
        <v>120</v>
      </c>
      <c r="AL175" s="627">
        <f t="shared" si="26"/>
        <v>269</v>
      </c>
      <c r="AM175" s="627">
        <f t="shared" si="26"/>
        <v>287</v>
      </c>
      <c r="AN175" s="627">
        <f t="shared" si="26"/>
        <v>246</v>
      </c>
      <c r="AO175" s="627">
        <f t="shared" si="26"/>
        <v>267</v>
      </c>
      <c r="AP175" s="627">
        <f t="shared" si="26"/>
        <v>279</v>
      </c>
      <c r="AQ175" s="627">
        <f t="shared" si="26"/>
        <v>240</v>
      </c>
      <c r="AR175" s="627">
        <f t="shared" si="26"/>
        <v>254</v>
      </c>
      <c r="AS175" s="627">
        <f t="shared" si="26"/>
        <v>249</v>
      </c>
      <c r="AT175" s="627">
        <f t="shared" si="26"/>
        <v>211</v>
      </c>
      <c r="AU175" s="627">
        <f t="shared" si="26"/>
        <v>42</v>
      </c>
      <c r="AV175" s="627">
        <f t="shared" si="26"/>
        <v>339</v>
      </c>
      <c r="AW175" s="627">
        <f t="shared" si="26"/>
        <v>283</v>
      </c>
      <c r="AX175" s="627">
        <f t="shared" si="28"/>
        <v>201</v>
      </c>
      <c r="AY175" s="627">
        <f t="shared" si="28"/>
        <v>78</v>
      </c>
      <c r="AZ175" s="627">
        <f t="shared" si="28"/>
        <v>415</v>
      </c>
      <c r="BA175" s="627">
        <f t="shared" si="28"/>
        <v>483</v>
      </c>
    </row>
    <row r="176" spans="1:53">
      <c r="A176" s="105">
        <f t="shared" si="23"/>
        <v>165</v>
      </c>
      <c r="B176" s="745">
        <v>42534</v>
      </c>
      <c r="C176" s="746" t="s">
        <v>1772</v>
      </c>
      <c r="D176" s="747">
        <v>4291</v>
      </c>
      <c r="E176" s="747">
        <v>4106</v>
      </c>
      <c r="F176" s="747">
        <v>3982</v>
      </c>
      <c r="G176" s="747">
        <v>3964</v>
      </c>
      <c r="H176" s="747">
        <v>4044</v>
      </c>
      <c r="I176" s="747">
        <v>4095</v>
      </c>
      <c r="J176" s="747">
        <v>4362</v>
      </c>
      <c r="K176" s="747">
        <v>4746</v>
      </c>
      <c r="L176" s="747">
        <v>5019</v>
      </c>
      <c r="M176" s="747">
        <v>5260</v>
      </c>
      <c r="N176" s="747">
        <v>5446</v>
      </c>
      <c r="O176" s="747">
        <v>5580</v>
      </c>
      <c r="P176" s="747">
        <v>5455</v>
      </c>
      <c r="Q176" s="747">
        <v>5555</v>
      </c>
      <c r="R176" s="747">
        <v>5692</v>
      </c>
      <c r="S176" s="747">
        <v>5804</v>
      </c>
      <c r="T176" s="747">
        <v>5673</v>
      </c>
      <c r="U176" s="747">
        <v>5667</v>
      </c>
      <c r="V176" s="747">
        <v>5556</v>
      </c>
      <c r="W176" s="747">
        <v>5423</v>
      </c>
      <c r="X176" s="747">
        <v>5323</v>
      </c>
      <c r="Y176" s="747">
        <v>5146</v>
      </c>
      <c r="Z176" s="747">
        <v>4706</v>
      </c>
      <c r="AA176" s="747">
        <v>4336</v>
      </c>
      <c r="AC176" s="628">
        <f t="shared" si="24"/>
        <v>165</v>
      </c>
      <c r="AD176" s="627">
        <f t="shared" si="25"/>
        <v>304</v>
      </c>
      <c r="AE176" s="627">
        <f t="shared" si="27"/>
        <v>185</v>
      </c>
      <c r="AF176" s="627">
        <f t="shared" si="27"/>
        <v>124</v>
      </c>
      <c r="AG176" s="627">
        <f t="shared" si="27"/>
        <v>18</v>
      </c>
      <c r="AH176" s="627">
        <f t="shared" si="26"/>
        <v>80</v>
      </c>
      <c r="AI176" s="627">
        <f t="shared" si="26"/>
        <v>51</v>
      </c>
      <c r="AJ176" s="627">
        <f t="shared" si="26"/>
        <v>267</v>
      </c>
      <c r="AK176" s="627">
        <f t="shared" si="26"/>
        <v>384</v>
      </c>
      <c r="AL176" s="627">
        <f t="shared" si="26"/>
        <v>273</v>
      </c>
      <c r="AM176" s="627">
        <f t="shared" si="26"/>
        <v>241</v>
      </c>
      <c r="AN176" s="627">
        <f t="shared" si="26"/>
        <v>186</v>
      </c>
      <c r="AO176" s="627">
        <f t="shared" si="26"/>
        <v>134</v>
      </c>
      <c r="AP176" s="627">
        <f t="shared" si="26"/>
        <v>125</v>
      </c>
      <c r="AQ176" s="627">
        <f t="shared" si="26"/>
        <v>100</v>
      </c>
      <c r="AR176" s="627">
        <f t="shared" si="26"/>
        <v>137</v>
      </c>
      <c r="AS176" s="627">
        <f t="shared" si="26"/>
        <v>112</v>
      </c>
      <c r="AT176" s="627">
        <f t="shared" si="26"/>
        <v>131</v>
      </c>
      <c r="AU176" s="627">
        <f t="shared" si="26"/>
        <v>6</v>
      </c>
      <c r="AV176" s="627">
        <f t="shared" si="26"/>
        <v>111</v>
      </c>
      <c r="AW176" s="627">
        <f t="shared" si="26"/>
        <v>133</v>
      </c>
      <c r="AX176" s="627">
        <f t="shared" si="28"/>
        <v>100</v>
      </c>
      <c r="AY176" s="627">
        <f t="shared" si="28"/>
        <v>177</v>
      </c>
      <c r="AZ176" s="627">
        <f t="shared" si="28"/>
        <v>440</v>
      </c>
      <c r="BA176" s="627">
        <f t="shared" si="28"/>
        <v>370</v>
      </c>
    </row>
    <row r="177" spans="1:53">
      <c r="A177" s="105">
        <f t="shared" si="23"/>
        <v>166</v>
      </c>
      <c r="B177" s="745">
        <v>42535</v>
      </c>
      <c r="C177" s="746" t="s">
        <v>1772</v>
      </c>
      <c r="D177" s="747">
        <v>4118</v>
      </c>
      <c r="E177" s="747">
        <v>3978</v>
      </c>
      <c r="F177" s="747">
        <v>3956</v>
      </c>
      <c r="G177" s="747">
        <v>3913</v>
      </c>
      <c r="H177" s="747">
        <v>3951</v>
      </c>
      <c r="I177" s="747">
        <v>3994</v>
      </c>
      <c r="J177" s="747">
        <v>4275</v>
      </c>
      <c r="K177" s="747">
        <v>4538</v>
      </c>
      <c r="L177" s="747">
        <v>4776</v>
      </c>
      <c r="M177" s="747">
        <v>4965</v>
      </c>
      <c r="N177" s="747">
        <v>5147</v>
      </c>
      <c r="O177" s="747">
        <v>5292</v>
      </c>
      <c r="P177" s="747">
        <v>5427</v>
      </c>
      <c r="Q177" s="747">
        <v>5594</v>
      </c>
      <c r="R177" s="747">
        <v>5814</v>
      </c>
      <c r="S177" s="747">
        <v>5994</v>
      </c>
      <c r="T177" s="747">
        <v>6185</v>
      </c>
      <c r="U177" s="747">
        <v>6327</v>
      </c>
      <c r="V177" s="747">
        <v>6297</v>
      </c>
      <c r="W177" s="747">
        <v>6147</v>
      </c>
      <c r="X177" s="747">
        <v>5951</v>
      </c>
      <c r="Y177" s="747">
        <v>5761</v>
      </c>
      <c r="Z177" s="747">
        <v>5216</v>
      </c>
      <c r="AA177" s="747">
        <v>4749</v>
      </c>
      <c r="AC177" s="628">
        <f t="shared" si="24"/>
        <v>166</v>
      </c>
      <c r="AD177" s="627">
        <f t="shared" si="25"/>
        <v>218</v>
      </c>
      <c r="AE177" s="627">
        <f t="shared" si="27"/>
        <v>140</v>
      </c>
      <c r="AF177" s="627">
        <f t="shared" si="27"/>
        <v>22</v>
      </c>
      <c r="AG177" s="627">
        <f t="shared" si="27"/>
        <v>43</v>
      </c>
      <c r="AH177" s="627">
        <f t="shared" si="26"/>
        <v>38</v>
      </c>
      <c r="AI177" s="627">
        <f t="shared" si="26"/>
        <v>43</v>
      </c>
      <c r="AJ177" s="627">
        <f t="shared" si="26"/>
        <v>281</v>
      </c>
      <c r="AK177" s="627">
        <f t="shared" si="26"/>
        <v>263</v>
      </c>
      <c r="AL177" s="627">
        <f t="shared" si="26"/>
        <v>238</v>
      </c>
      <c r="AM177" s="627">
        <f t="shared" si="26"/>
        <v>189</v>
      </c>
      <c r="AN177" s="627">
        <f t="shared" si="26"/>
        <v>182</v>
      </c>
      <c r="AO177" s="627">
        <f t="shared" si="26"/>
        <v>145</v>
      </c>
      <c r="AP177" s="627">
        <f t="shared" si="26"/>
        <v>135</v>
      </c>
      <c r="AQ177" s="627">
        <f t="shared" si="26"/>
        <v>167</v>
      </c>
      <c r="AR177" s="627">
        <f t="shared" si="26"/>
        <v>220</v>
      </c>
      <c r="AS177" s="627">
        <f t="shared" si="26"/>
        <v>180</v>
      </c>
      <c r="AT177" s="627">
        <f t="shared" si="26"/>
        <v>191</v>
      </c>
      <c r="AU177" s="627">
        <f t="shared" si="26"/>
        <v>142</v>
      </c>
      <c r="AV177" s="627">
        <f t="shared" si="26"/>
        <v>30</v>
      </c>
      <c r="AW177" s="627">
        <f t="shared" si="26"/>
        <v>150</v>
      </c>
      <c r="AX177" s="627">
        <f t="shared" si="28"/>
        <v>196</v>
      </c>
      <c r="AY177" s="627">
        <f t="shared" si="28"/>
        <v>190</v>
      </c>
      <c r="AZ177" s="627">
        <f t="shared" si="28"/>
        <v>545</v>
      </c>
      <c r="BA177" s="627">
        <f t="shared" si="28"/>
        <v>467</v>
      </c>
    </row>
    <row r="178" spans="1:53">
      <c r="A178" s="105">
        <f t="shared" si="23"/>
        <v>167</v>
      </c>
      <c r="B178" s="745">
        <v>42536</v>
      </c>
      <c r="C178" s="746" t="s">
        <v>1772</v>
      </c>
      <c r="D178" s="747">
        <v>4534</v>
      </c>
      <c r="E178" s="747">
        <v>4306</v>
      </c>
      <c r="F178" s="747">
        <v>4138</v>
      </c>
      <c r="G178" s="747">
        <v>4116</v>
      </c>
      <c r="H178" s="747">
        <v>4166</v>
      </c>
      <c r="I178" s="747">
        <v>4182</v>
      </c>
      <c r="J178" s="747">
        <v>4452</v>
      </c>
      <c r="K178" s="747">
        <v>4725</v>
      </c>
      <c r="L178" s="747">
        <v>4993</v>
      </c>
      <c r="M178" s="747">
        <v>5274</v>
      </c>
      <c r="N178" s="747">
        <v>5570</v>
      </c>
      <c r="O178" s="747">
        <v>5797</v>
      </c>
      <c r="P178" s="747">
        <v>6023</v>
      </c>
      <c r="Q178" s="747">
        <v>6315</v>
      </c>
      <c r="R178" s="747">
        <v>6598</v>
      </c>
      <c r="S178" s="747">
        <v>6823</v>
      </c>
      <c r="T178" s="747">
        <v>7107</v>
      </c>
      <c r="U178" s="747">
        <v>7241</v>
      </c>
      <c r="V178" s="747">
        <v>7186</v>
      </c>
      <c r="W178" s="747">
        <v>6932</v>
      </c>
      <c r="X178" s="747">
        <v>6637</v>
      </c>
      <c r="Y178" s="747">
        <v>6321</v>
      </c>
      <c r="Z178" s="747">
        <v>5778</v>
      </c>
      <c r="AA178" s="747">
        <v>5220</v>
      </c>
      <c r="AC178" s="628">
        <f t="shared" si="24"/>
        <v>167</v>
      </c>
      <c r="AD178" s="627">
        <f t="shared" si="25"/>
        <v>215</v>
      </c>
      <c r="AE178" s="627">
        <f t="shared" si="27"/>
        <v>228</v>
      </c>
      <c r="AF178" s="627">
        <f t="shared" si="27"/>
        <v>168</v>
      </c>
      <c r="AG178" s="627">
        <f t="shared" si="27"/>
        <v>22</v>
      </c>
      <c r="AH178" s="627">
        <f t="shared" si="26"/>
        <v>50</v>
      </c>
      <c r="AI178" s="627">
        <f t="shared" si="26"/>
        <v>16</v>
      </c>
      <c r="AJ178" s="627">
        <f t="shared" si="26"/>
        <v>270</v>
      </c>
      <c r="AK178" s="627">
        <f t="shared" si="26"/>
        <v>273</v>
      </c>
      <c r="AL178" s="627">
        <f t="shared" si="26"/>
        <v>268</v>
      </c>
      <c r="AM178" s="627">
        <f t="shared" si="26"/>
        <v>281</v>
      </c>
      <c r="AN178" s="627">
        <f t="shared" si="26"/>
        <v>296</v>
      </c>
      <c r="AO178" s="627">
        <f t="shared" si="26"/>
        <v>227</v>
      </c>
      <c r="AP178" s="627">
        <f t="shared" si="26"/>
        <v>226</v>
      </c>
      <c r="AQ178" s="627">
        <f t="shared" si="26"/>
        <v>292</v>
      </c>
      <c r="AR178" s="627">
        <f t="shared" si="26"/>
        <v>283</v>
      </c>
      <c r="AS178" s="627">
        <f t="shared" si="26"/>
        <v>225</v>
      </c>
      <c r="AT178" s="627">
        <f t="shared" si="26"/>
        <v>284</v>
      </c>
      <c r="AU178" s="627">
        <f t="shared" si="26"/>
        <v>134</v>
      </c>
      <c r="AV178" s="627">
        <f t="shared" si="26"/>
        <v>55</v>
      </c>
      <c r="AW178" s="627">
        <f t="shared" si="26"/>
        <v>254</v>
      </c>
      <c r="AX178" s="627">
        <f t="shared" si="28"/>
        <v>295</v>
      </c>
      <c r="AY178" s="627">
        <f t="shared" si="28"/>
        <v>316</v>
      </c>
      <c r="AZ178" s="627">
        <f t="shared" si="28"/>
        <v>543</v>
      </c>
      <c r="BA178" s="627">
        <f t="shared" si="28"/>
        <v>558</v>
      </c>
    </row>
    <row r="179" spans="1:53">
      <c r="A179" s="105">
        <f t="shared" si="23"/>
        <v>168</v>
      </c>
      <c r="B179" s="745">
        <v>42537</v>
      </c>
      <c r="C179" s="746" t="s">
        <v>1772</v>
      </c>
      <c r="D179" s="747">
        <v>4812</v>
      </c>
      <c r="E179" s="747">
        <v>4525</v>
      </c>
      <c r="F179" s="747">
        <v>4350</v>
      </c>
      <c r="G179" s="747">
        <v>4256</v>
      </c>
      <c r="H179" s="747">
        <v>4229</v>
      </c>
      <c r="I179" s="747">
        <v>4286</v>
      </c>
      <c r="J179" s="747">
        <v>4585</v>
      </c>
      <c r="K179" s="747">
        <v>4899</v>
      </c>
      <c r="L179" s="747">
        <v>5175</v>
      </c>
      <c r="M179" s="747">
        <v>5527</v>
      </c>
      <c r="N179" s="747">
        <v>5856</v>
      </c>
      <c r="O179" s="747">
        <v>6144</v>
      </c>
      <c r="P179" s="747">
        <v>6381</v>
      </c>
      <c r="Q179" s="747">
        <v>6710</v>
      </c>
      <c r="R179" s="747">
        <v>7002</v>
      </c>
      <c r="S179" s="747">
        <v>7276</v>
      </c>
      <c r="T179" s="747">
        <v>7466</v>
      </c>
      <c r="U179" s="747">
        <v>7542</v>
      </c>
      <c r="V179" s="747">
        <v>7400</v>
      </c>
      <c r="W179" s="747">
        <v>7110</v>
      </c>
      <c r="X179" s="747">
        <v>6747</v>
      </c>
      <c r="Y179" s="747">
        <v>6485</v>
      </c>
      <c r="Z179" s="747">
        <v>5792</v>
      </c>
      <c r="AA179" s="747">
        <v>5158</v>
      </c>
      <c r="AC179" s="628">
        <f t="shared" si="24"/>
        <v>168</v>
      </c>
      <c r="AD179" s="627">
        <f t="shared" si="25"/>
        <v>408</v>
      </c>
      <c r="AE179" s="627">
        <f t="shared" si="27"/>
        <v>287</v>
      </c>
      <c r="AF179" s="627">
        <f t="shared" si="27"/>
        <v>175</v>
      </c>
      <c r="AG179" s="627">
        <f t="shared" si="27"/>
        <v>94</v>
      </c>
      <c r="AH179" s="627">
        <f t="shared" si="26"/>
        <v>27</v>
      </c>
      <c r="AI179" s="627">
        <f t="shared" si="26"/>
        <v>57</v>
      </c>
      <c r="AJ179" s="627">
        <f t="shared" si="26"/>
        <v>299</v>
      </c>
      <c r="AK179" s="627">
        <f t="shared" si="26"/>
        <v>314</v>
      </c>
      <c r="AL179" s="627">
        <f t="shared" si="26"/>
        <v>276</v>
      </c>
      <c r="AM179" s="627">
        <f t="shared" si="26"/>
        <v>352</v>
      </c>
      <c r="AN179" s="627">
        <f t="shared" si="26"/>
        <v>329</v>
      </c>
      <c r="AO179" s="627">
        <f t="shared" si="26"/>
        <v>288</v>
      </c>
      <c r="AP179" s="627">
        <f t="shared" si="26"/>
        <v>237</v>
      </c>
      <c r="AQ179" s="627">
        <f t="shared" si="26"/>
        <v>329</v>
      </c>
      <c r="AR179" s="627">
        <f t="shared" si="26"/>
        <v>292</v>
      </c>
      <c r="AS179" s="627">
        <f t="shared" si="26"/>
        <v>274</v>
      </c>
      <c r="AT179" s="627">
        <f t="shared" si="26"/>
        <v>190</v>
      </c>
      <c r="AU179" s="627">
        <f t="shared" si="26"/>
        <v>76</v>
      </c>
      <c r="AV179" s="627">
        <f t="shared" si="26"/>
        <v>142</v>
      </c>
      <c r="AW179" s="627">
        <f t="shared" si="26"/>
        <v>290</v>
      </c>
      <c r="AX179" s="627">
        <f t="shared" si="28"/>
        <v>363</v>
      </c>
      <c r="AY179" s="627">
        <f t="shared" si="28"/>
        <v>262</v>
      </c>
      <c r="AZ179" s="627">
        <f t="shared" si="28"/>
        <v>693</v>
      </c>
      <c r="BA179" s="627">
        <f t="shared" si="28"/>
        <v>634</v>
      </c>
    </row>
    <row r="180" spans="1:53">
      <c r="A180" s="105">
        <f t="shared" si="23"/>
        <v>169</v>
      </c>
      <c r="B180" s="745">
        <v>42538</v>
      </c>
      <c r="C180" s="746" t="s">
        <v>1772</v>
      </c>
      <c r="D180" s="747">
        <v>4763</v>
      </c>
      <c r="E180" s="747">
        <v>4556</v>
      </c>
      <c r="F180" s="747">
        <v>4432</v>
      </c>
      <c r="G180" s="747">
        <v>4346</v>
      </c>
      <c r="H180" s="747">
        <v>4339</v>
      </c>
      <c r="I180" s="747">
        <v>4455</v>
      </c>
      <c r="J180" s="747">
        <v>4722</v>
      </c>
      <c r="K180" s="747">
        <v>5126</v>
      </c>
      <c r="L180" s="747">
        <v>5376</v>
      </c>
      <c r="M180" s="747">
        <v>5716</v>
      </c>
      <c r="N180" s="747">
        <v>5927</v>
      </c>
      <c r="O180" s="747">
        <v>6158</v>
      </c>
      <c r="P180" s="747">
        <v>6389</v>
      </c>
      <c r="Q180" s="747">
        <v>6654</v>
      </c>
      <c r="R180" s="747">
        <v>6885</v>
      </c>
      <c r="S180" s="747">
        <v>7133</v>
      </c>
      <c r="T180" s="747">
        <v>7299</v>
      </c>
      <c r="U180" s="747">
        <v>7279</v>
      </c>
      <c r="V180" s="747">
        <v>7104</v>
      </c>
      <c r="W180" s="747">
        <v>6833</v>
      </c>
      <c r="X180" s="747">
        <v>6540</v>
      </c>
      <c r="Y180" s="747">
        <v>6309</v>
      </c>
      <c r="Z180" s="747">
        <v>5953</v>
      </c>
      <c r="AA180" s="747">
        <v>5463</v>
      </c>
      <c r="AC180" s="628">
        <f t="shared" si="24"/>
        <v>169</v>
      </c>
      <c r="AD180" s="627">
        <f t="shared" si="25"/>
        <v>395</v>
      </c>
      <c r="AE180" s="627">
        <f t="shared" si="27"/>
        <v>207</v>
      </c>
      <c r="AF180" s="627">
        <f t="shared" si="27"/>
        <v>124</v>
      </c>
      <c r="AG180" s="627">
        <f t="shared" si="27"/>
        <v>86</v>
      </c>
      <c r="AH180" s="627">
        <f t="shared" si="26"/>
        <v>7</v>
      </c>
      <c r="AI180" s="627">
        <f t="shared" si="26"/>
        <v>116</v>
      </c>
      <c r="AJ180" s="627">
        <f t="shared" si="26"/>
        <v>267</v>
      </c>
      <c r="AK180" s="627">
        <f t="shared" si="26"/>
        <v>404</v>
      </c>
      <c r="AL180" s="627">
        <f t="shared" si="26"/>
        <v>250</v>
      </c>
      <c r="AM180" s="627">
        <f t="shared" si="26"/>
        <v>340</v>
      </c>
      <c r="AN180" s="627">
        <f t="shared" si="26"/>
        <v>211</v>
      </c>
      <c r="AO180" s="627">
        <f t="shared" si="26"/>
        <v>231</v>
      </c>
      <c r="AP180" s="627">
        <f t="shared" si="26"/>
        <v>231</v>
      </c>
      <c r="AQ180" s="627">
        <f t="shared" si="26"/>
        <v>265</v>
      </c>
      <c r="AR180" s="627">
        <f t="shared" si="26"/>
        <v>231</v>
      </c>
      <c r="AS180" s="627">
        <f t="shared" si="26"/>
        <v>248</v>
      </c>
      <c r="AT180" s="627">
        <f t="shared" si="26"/>
        <v>166</v>
      </c>
      <c r="AU180" s="627">
        <f t="shared" si="26"/>
        <v>20</v>
      </c>
      <c r="AV180" s="627">
        <f t="shared" si="26"/>
        <v>175</v>
      </c>
      <c r="AW180" s="627">
        <f t="shared" si="26"/>
        <v>271</v>
      </c>
      <c r="AX180" s="627">
        <f t="shared" si="28"/>
        <v>293</v>
      </c>
      <c r="AY180" s="627">
        <f t="shared" si="28"/>
        <v>231</v>
      </c>
      <c r="AZ180" s="627">
        <f t="shared" si="28"/>
        <v>356</v>
      </c>
      <c r="BA180" s="627">
        <f t="shared" si="28"/>
        <v>490</v>
      </c>
    </row>
    <row r="181" spans="1:53">
      <c r="A181" s="105">
        <f t="shared" si="23"/>
        <v>170</v>
      </c>
      <c r="B181" s="745">
        <v>42539</v>
      </c>
      <c r="C181" s="746" t="s">
        <v>1772</v>
      </c>
      <c r="D181" s="747">
        <v>5000</v>
      </c>
      <c r="E181" s="747">
        <v>4689</v>
      </c>
      <c r="F181" s="747">
        <v>4476</v>
      </c>
      <c r="G181" s="747">
        <v>4304</v>
      </c>
      <c r="H181" s="747">
        <v>4168</v>
      </c>
      <c r="I181" s="747">
        <v>4131</v>
      </c>
      <c r="J181" s="747">
        <v>4152</v>
      </c>
      <c r="K181" s="747">
        <v>4490</v>
      </c>
      <c r="L181" s="747">
        <v>4840</v>
      </c>
      <c r="M181" s="747">
        <v>5182</v>
      </c>
      <c r="N181" s="747">
        <v>5520</v>
      </c>
      <c r="O181" s="747">
        <v>5816</v>
      </c>
      <c r="P181" s="747">
        <v>6129</v>
      </c>
      <c r="Q181" s="747">
        <v>6379</v>
      </c>
      <c r="R181" s="747">
        <v>6661</v>
      </c>
      <c r="S181" s="747">
        <v>6930</v>
      </c>
      <c r="T181" s="747">
        <v>7123</v>
      </c>
      <c r="U181" s="747">
        <v>7229</v>
      </c>
      <c r="V181" s="747">
        <v>7167</v>
      </c>
      <c r="W181" s="747">
        <v>6949</v>
      </c>
      <c r="X181" s="747">
        <v>6693</v>
      </c>
      <c r="Y181" s="747">
        <v>6682</v>
      </c>
      <c r="Z181" s="747">
        <v>6154</v>
      </c>
      <c r="AA181" s="747">
        <v>5627</v>
      </c>
      <c r="AC181" s="628">
        <f t="shared" si="24"/>
        <v>170</v>
      </c>
      <c r="AD181" s="627">
        <f t="shared" si="25"/>
        <v>463</v>
      </c>
      <c r="AE181" s="627">
        <f t="shared" si="27"/>
        <v>311</v>
      </c>
      <c r="AF181" s="627">
        <f t="shared" si="27"/>
        <v>213</v>
      </c>
      <c r="AG181" s="627">
        <f t="shared" si="27"/>
        <v>172</v>
      </c>
      <c r="AH181" s="627">
        <f t="shared" si="26"/>
        <v>136</v>
      </c>
      <c r="AI181" s="627">
        <f t="shared" si="26"/>
        <v>37</v>
      </c>
      <c r="AJ181" s="627">
        <f t="shared" si="26"/>
        <v>21</v>
      </c>
      <c r="AK181" s="627">
        <f t="shared" si="26"/>
        <v>338</v>
      </c>
      <c r="AL181" s="627">
        <f t="shared" si="26"/>
        <v>350</v>
      </c>
      <c r="AM181" s="627">
        <f t="shared" si="26"/>
        <v>342</v>
      </c>
      <c r="AN181" s="627">
        <f t="shared" si="26"/>
        <v>338</v>
      </c>
      <c r="AO181" s="627">
        <f t="shared" si="26"/>
        <v>296</v>
      </c>
      <c r="AP181" s="627">
        <f t="shared" si="26"/>
        <v>313</v>
      </c>
      <c r="AQ181" s="627">
        <f t="shared" si="26"/>
        <v>250</v>
      </c>
      <c r="AR181" s="627">
        <f t="shared" si="26"/>
        <v>282</v>
      </c>
      <c r="AS181" s="627">
        <f t="shared" si="26"/>
        <v>269</v>
      </c>
      <c r="AT181" s="627">
        <f t="shared" si="26"/>
        <v>193</v>
      </c>
      <c r="AU181" s="627">
        <f t="shared" si="26"/>
        <v>106</v>
      </c>
      <c r="AV181" s="627">
        <f t="shared" si="26"/>
        <v>62</v>
      </c>
      <c r="AW181" s="627">
        <f t="shared" si="26"/>
        <v>218</v>
      </c>
      <c r="AX181" s="627">
        <f t="shared" si="28"/>
        <v>256</v>
      </c>
      <c r="AY181" s="627">
        <f t="shared" si="28"/>
        <v>11</v>
      </c>
      <c r="AZ181" s="627">
        <f t="shared" si="28"/>
        <v>528</v>
      </c>
      <c r="BA181" s="627">
        <f t="shared" si="28"/>
        <v>527</v>
      </c>
    </row>
    <row r="182" spans="1:53">
      <c r="A182" s="105">
        <f t="shared" si="23"/>
        <v>171</v>
      </c>
      <c r="B182" s="745">
        <v>42540</v>
      </c>
      <c r="C182" s="746" t="s">
        <v>1772</v>
      </c>
      <c r="D182" s="747">
        <v>5207</v>
      </c>
      <c r="E182" s="747">
        <v>4882</v>
      </c>
      <c r="F182" s="747">
        <v>4684</v>
      </c>
      <c r="G182" s="747">
        <v>4536</v>
      </c>
      <c r="H182" s="747">
        <v>4381</v>
      </c>
      <c r="I182" s="747">
        <v>4256</v>
      </c>
      <c r="J182" s="747">
        <v>4241</v>
      </c>
      <c r="K182" s="747">
        <v>4575</v>
      </c>
      <c r="L182" s="747">
        <v>5046</v>
      </c>
      <c r="M182" s="747">
        <v>5543</v>
      </c>
      <c r="N182" s="747">
        <v>6038</v>
      </c>
      <c r="O182" s="747">
        <v>6442</v>
      </c>
      <c r="P182" s="747">
        <v>6732</v>
      </c>
      <c r="Q182" s="747">
        <v>7017</v>
      </c>
      <c r="R182" s="747">
        <v>7247</v>
      </c>
      <c r="S182" s="747">
        <v>7443</v>
      </c>
      <c r="T182" s="747">
        <v>7571</v>
      </c>
      <c r="U182" s="747">
        <v>7661</v>
      </c>
      <c r="V182" s="747">
        <v>7530</v>
      </c>
      <c r="W182" s="747">
        <v>7264</v>
      </c>
      <c r="X182" s="747">
        <v>6940</v>
      </c>
      <c r="Y182" s="747">
        <v>6690</v>
      </c>
      <c r="Z182" s="747">
        <v>6160</v>
      </c>
      <c r="AA182" s="747">
        <v>5697</v>
      </c>
      <c r="AC182" s="628">
        <f t="shared" si="24"/>
        <v>171</v>
      </c>
      <c r="AD182" s="627">
        <f t="shared" si="25"/>
        <v>420</v>
      </c>
      <c r="AE182" s="627">
        <f t="shared" si="27"/>
        <v>325</v>
      </c>
      <c r="AF182" s="627">
        <f t="shared" si="27"/>
        <v>198</v>
      </c>
      <c r="AG182" s="627">
        <f t="shared" si="27"/>
        <v>148</v>
      </c>
      <c r="AH182" s="627">
        <f t="shared" si="26"/>
        <v>155</v>
      </c>
      <c r="AI182" s="627">
        <f t="shared" si="26"/>
        <v>125</v>
      </c>
      <c r="AJ182" s="627">
        <f t="shared" si="26"/>
        <v>15</v>
      </c>
      <c r="AK182" s="627">
        <f t="shared" si="26"/>
        <v>334</v>
      </c>
      <c r="AL182" s="627">
        <f t="shared" si="26"/>
        <v>471</v>
      </c>
      <c r="AM182" s="627">
        <f t="shared" si="26"/>
        <v>497</v>
      </c>
      <c r="AN182" s="627">
        <f t="shared" si="26"/>
        <v>495</v>
      </c>
      <c r="AO182" s="627">
        <f t="shared" si="26"/>
        <v>404</v>
      </c>
      <c r="AP182" s="627">
        <f t="shared" si="26"/>
        <v>290</v>
      </c>
      <c r="AQ182" s="627">
        <f t="shared" si="26"/>
        <v>285</v>
      </c>
      <c r="AR182" s="627">
        <f t="shared" si="26"/>
        <v>230</v>
      </c>
      <c r="AS182" s="627">
        <f t="shared" si="26"/>
        <v>196</v>
      </c>
      <c r="AT182" s="627">
        <f t="shared" si="26"/>
        <v>128</v>
      </c>
      <c r="AU182" s="627">
        <f t="shared" si="26"/>
        <v>90</v>
      </c>
      <c r="AV182" s="627">
        <f t="shared" si="26"/>
        <v>131</v>
      </c>
      <c r="AW182" s="627">
        <f t="shared" si="26"/>
        <v>266</v>
      </c>
      <c r="AX182" s="627">
        <f t="shared" si="28"/>
        <v>324</v>
      </c>
      <c r="AY182" s="627">
        <f t="shared" si="28"/>
        <v>250</v>
      </c>
      <c r="AZ182" s="627">
        <f t="shared" si="28"/>
        <v>530</v>
      </c>
      <c r="BA182" s="627">
        <f t="shared" si="28"/>
        <v>463</v>
      </c>
    </row>
    <row r="183" spans="1:53">
      <c r="A183" s="105">
        <f t="shared" si="23"/>
        <v>172</v>
      </c>
      <c r="B183" s="745">
        <v>42541</v>
      </c>
      <c r="C183" s="746" t="s">
        <v>1772</v>
      </c>
      <c r="D183" s="747">
        <v>5221</v>
      </c>
      <c r="E183" s="747">
        <v>4897</v>
      </c>
      <c r="F183" s="747">
        <v>4696</v>
      </c>
      <c r="G183" s="747">
        <v>4576</v>
      </c>
      <c r="H183" s="747">
        <v>4475</v>
      </c>
      <c r="I183" s="747">
        <v>4587</v>
      </c>
      <c r="J183" s="747">
        <v>4869</v>
      </c>
      <c r="K183" s="747">
        <v>5266</v>
      </c>
      <c r="L183" s="747">
        <v>5627</v>
      </c>
      <c r="M183" s="747">
        <v>5890</v>
      </c>
      <c r="N183" s="747">
        <v>6081</v>
      </c>
      <c r="O183" s="747">
        <v>6187</v>
      </c>
      <c r="P183" s="747">
        <v>6325</v>
      </c>
      <c r="Q183" s="747">
        <v>6475</v>
      </c>
      <c r="R183" s="747">
        <v>6551</v>
      </c>
      <c r="S183" s="747">
        <v>6537</v>
      </c>
      <c r="T183" s="747">
        <v>6503</v>
      </c>
      <c r="U183" s="747">
        <v>6447</v>
      </c>
      <c r="V183" s="747">
        <v>6301</v>
      </c>
      <c r="W183" s="747">
        <v>6115</v>
      </c>
      <c r="X183" s="747">
        <v>5982</v>
      </c>
      <c r="Y183" s="747">
        <v>5885</v>
      </c>
      <c r="Z183" s="747">
        <v>5418</v>
      </c>
      <c r="AA183" s="747">
        <v>5093</v>
      </c>
      <c r="AC183" s="628">
        <f t="shared" si="24"/>
        <v>172</v>
      </c>
      <c r="AD183" s="627">
        <f t="shared" si="25"/>
        <v>476</v>
      </c>
      <c r="AE183" s="627">
        <f t="shared" si="27"/>
        <v>324</v>
      </c>
      <c r="AF183" s="627">
        <f t="shared" si="27"/>
        <v>201</v>
      </c>
      <c r="AG183" s="627">
        <f t="shared" si="27"/>
        <v>120</v>
      </c>
      <c r="AH183" s="627">
        <f t="shared" si="26"/>
        <v>101</v>
      </c>
      <c r="AI183" s="627">
        <f t="shared" si="26"/>
        <v>112</v>
      </c>
      <c r="AJ183" s="627">
        <f t="shared" si="26"/>
        <v>282</v>
      </c>
      <c r="AK183" s="627">
        <f t="shared" si="26"/>
        <v>397</v>
      </c>
      <c r="AL183" s="627">
        <f t="shared" si="26"/>
        <v>361</v>
      </c>
      <c r="AM183" s="627">
        <f t="shared" si="26"/>
        <v>263</v>
      </c>
      <c r="AN183" s="627">
        <f t="shared" si="26"/>
        <v>191</v>
      </c>
      <c r="AO183" s="627">
        <f t="shared" si="26"/>
        <v>106</v>
      </c>
      <c r="AP183" s="627">
        <f t="shared" si="26"/>
        <v>138</v>
      </c>
      <c r="AQ183" s="627">
        <f t="shared" si="26"/>
        <v>150</v>
      </c>
      <c r="AR183" s="627">
        <f t="shared" si="26"/>
        <v>76</v>
      </c>
      <c r="AS183" s="627">
        <f t="shared" si="26"/>
        <v>14</v>
      </c>
      <c r="AT183" s="627">
        <f t="shared" si="26"/>
        <v>34</v>
      </c>
      <c r="AU183" s="627">
        <f t="shared" si="26"/>
        <v>56</v>
      </c>
      <c r="AV183" s="627">
        <f t="shared" si="26"/>
        <v>146</v>
      </c>
      <c r="AW183" s="627">
        <f t="shared" si="26"/>
        <v>186</v>
      </c>
      <c r="AX183" s="627">
        <f t="shared" si="28"/>
        <v>133</v>
      </c>
      <c r="AY183" s="627">
        <f t="shared" si="28"/>
        <v>97</v>
      </c>
      <c r="AZ183" s="627">
        <f t="shared" si="28"/>
        <v>467</v>
      </c>
      <c r="BA183" s="627">
        <f t="shared" si="28"/>
        <v>325</v>
      </c>
    </row>
    <row r="184" spans="1:53">
      <c r="A184" s="105">
        <f t="shared" si="23"/>
        <v>173</v>
      </c>
      <c r="B184" s="745">
        <v>42542</v>
      </c>
      <c r="C184" s="746" t="s">
        <v>1772</v>
      </c>
      <c r="D184" s="747">
        <v>4770</v>
      </c>
      <c r="E184" s="747">
        <v>4542</v>
      </c>
      <c r="F184" s="747">
        <v>4406</v>
      </c>
      <c r="G184" s="747">
        <v>4320</v>
      </c>
      <c r="H184" s="747">
        <v>4364</v>
      </c>
      <c r="I184" s="747">
        <v>4405</v>
      </c>
      <c r="J184" s="747">
        <v>4659</v>
      </c>
      <c r="K184" s="747">
        <v>5036</v>
      </c>
      <c r="L184" s="747">
        <v>5456</v>
      </c>
      <c r="M184" s="747">
        <v>5864</v>
      </c>
      <c r="N184" s="747">
        <v>6265</v>
      </c>
      <c r="O184" s="747">
        <v>6701</v>
      </c>
      <c r="P184" s="747">
        <v>7177</v>
      </c>
      <c r="Q184" s="747">
        <v>7586</v>
      </c>
      <c r="R184" s="747">
        <v>7888</v>
      </c>
      <c r="S184" s="747">
        <v>8077</v>
      </c>
      <c r="T184" s="747">
        <v>8214</v>
      </c>
      <c r="U184" s="747">
        <v>8153</v>
      </c>
      <c r="V184" s="747">
        <v>7852</v>
      </c>
      <c r="W184" s="747">
        <v>7530</v>
      </c>
      <c r="X184" s="747">
        <v>7247</v>
      </c>
      <c r="Y184" s="747">
        <v>7021</v>
      </c>
      <c r="Z184" s="747">
        <v>6444</v>
      </c>
      <c r="AA184" s="747">
        <v>5820</v>
      </c>
      <c r="AC184" s="628">
        <f t="shared" si="24"/>
        <v>173</v>
      </c>
      <c r="AD184" s="627">
        <f t="shared" si="25"/>
        <v>323</v>
      </c>
      <c r="AE184" s="627">
        <f t="shared" si="27"/>
        <v>228</v>
      </c>
      <c r="AF184" s="627">
        <f t="shared" si="27"/>
        <v>136</v>
      </c>
      <c r="AG184" s="627">
        <f t="shared" si="27"/>
        <v>86</v>
      </c>
      <c r="AH184" s="627">
        <f t="shared" si="26"/>
        <v>44</v>
      </c>
      <c r="AI184" s="627">
        <f t="shared" si="26"/>
        <v>41</v>
      </c>
      <c r="AJ184" s="627">
        <f t="shared" si="26"/>
        <v>254</v>
      </c>
      <c r="AK184" s="627">
        <f t="shared" si="26"/>
        <v>377</v>
      </c>
      <c r="AL184" s="627">
        <f t="shared" si="26"/>
        <v>420</v>
      </c>
      <c r="AM184" s="627">
        <f t="shared" si="26"/>
        <v>408</v>
      </c>
      <c r="AN184" s="627">
        <f t="shared" si="26"/>
        <v>401</v>
      </c>
      <c r="AO184" s="627">
        <f t="shared" si="26"/>
        <v>436</v>
      </c>
      <c r="AP184" s="627">
        <f t="shared" si="26"/>
        <v>476</v>
      </c>
      <c r="AQ184" s="627">
        <f t="shared" si="26"/>
        <v>409</v>
      </c>
      <c r="AR184" s="627">
        <f t="shared" si="26"/>
        <v>302</v>
      </c>
      <c r="AS184" s="627">
        <f t="shared" si="26"/>
        <v>189</v>
      </c>
      <c r="AT184" s="627">
        <f t="shared" si="26"/>
        <v>137</v>
      </c>
      <c r="AU184" s="627">
        <f t="shared" si="26"/>
        <v>61</v>
      </c>
      <c r="AV184" s="627">
        <f t="shared" si="26"/>
        <v>301</v>
      </c>
      <c r="AW184" s="627">
        <f t="shared" si="26"/>
        <v>322</v>
      </c>
      <c r="AX184" s="627">
        <f t="shared" si="28"/>
        <v>283</v>
      </c>
      <c r="AY184" s="627">
        <f t="shared" si="28"/>
        <v>226</v>
      </c>
      <c r="AZ184" s="627">
        <f t="shared" si="28"/>
        <v>577</v>
      </c>
      <c r="BA184" s="627">
        <f t="shared" si="28"/>
        <v>624</v>
      </c>
    </row>
    <row r="185" spans="1:53">
      <c r="A185" s="105">
        <f t="shared" si="23"/>
        <v>174</v>
      </c>
      <c r="B185" s="745">
        <v>42543</v>
      </c>
      <c r="C185" s="746" t="s">
        <v>1772</v>
      </c>
      <c r="D185" s="747">
        <v>5324</v>
      </c>
      <c r="E185" s="747">
        <v>5032</v>
      </c>
      <c r="F185" s="747">
        <v>4836</v>
      </c>
      <c r="G185" s="747">
        <v>4698</v>
      </c>
      <c r="H185" s="747">
        <v>4674</v>
      </c>
      <c r="I185" s="747">
        <v>4704</v>
      </c>
      <c r="J185" s="747">
        <v>4902</v>
      </c>
      <c r="K185" s="747">
        <v>5236</v>
      </c>
      <c r="L185" s="747">
        <v>5475</v>
      </c>
      <c r="M185" s="747">
        <v>5691</v>
      </c>
      <c r="N185" s="747">
        <v>5940</v>
      </c>
      <c r="O185" s="747">
        <v>6216</v>
      </c>
      <c r="P185" s="747">
        <v>6371</v>
      </c>
      <c r="Q185" s="747">
        <v>6560</v>
      </c>
      <c r="R185" s="747">
        <v>6643</v>
      </c>
      <c r="S185" s="747">
        <v>6683</v>
      </c>
      <c r="T185" s="747">
        <v>6559</v>
      </c>
      <c r="U185" s="747">
        <v>6434</v>
      </c>
      <c r="V185" s="747">
        <v>6267</v>
      </c>
      <c r="W185" s="747">
        <v>6114</v>
      </c>
      <c r="X185" s="747">
        <v>6023</v>
      </c>
      <c r="Y185" s="747">
        <v>5786</v>
      </c>
      <c r="Z185" s="747">
        <v>5340</v>
      </c>
      <c r="AA185" s="747">
        <v>5033</v>
      </c>
      <c r="AC185" s="628">
        <f t="shared" si="24"/>
        <v>174</v>
      </c>
      <c r="AD185" s="627">
        <f t="shared" si="25"/>
        <v>496</v>
      </c>
      <c r="AE185" s="627">
        <f t="shared" si="27"/>
        <v>292</v>
      </c>
      <c r="AF185" s="627">
        <f t="shared" si="27"/>
        <v>196</v>
      </c>
      <c r="AG185" s="627">
        <f t="shared" si="27"/>
        <v>138</v>
      </c>
      <c r="AH185" s="627">
        <f t="shared" si="26"/>
        <v>24</v>
      </c>
      <c r="AI185" s="627">
        <f t="shared" si="26"/>
        <v>30</v>
      </c>
      <c r="AJ185" s="627">
        <f t="shared" si="26"/>
        <v>198</v>
      </c>
      <c r="AK185" s="627">
        <f t="shared" si="26"/>
        <v>334</v>
      </c>
      <c r="AL185" s="627">
        <f t="shared" si="26"/>
        <v>239</v>
      </c>
      <c r="AM185" s="627">
        <f t="shared" si="26"/>
        <v>216</v>
      </c>
      <c r="AN185" s="627">
        <f t="shared" si="26"/>
        <v>249</v>
      </c>
      <c r="AO185" s="627">
        <f t="shared" si="26"/>
        <v>276</v>
      </c>
      <c r="AP185" s="627">
        <f t="shared" si="26"/>
        <v>155</v>
      </c>
      <c r="AQ185" s="627">
        <f t="shared" si="26"/>
        <v>189</v>
      </c>
      <c r="AR185" s="627">
        <f t="shared" si="26"/>
        <v>83</v>
      </c>
      <c r="AS185" s="627">
        <f t="shared" si="26"/>
        <v>40</v>
      </c>
      <c r="AT185" s="627">
        <f t="shared" si="26"/>
        <v>124</v>
      </c>
      <c r="AU185" s="627">
        <f t="shared" si="26"/>
        <v>125</v>
      </c>
      <c r="AV185" s="627">
        <f t="shared" si="26"/>
        <v>167</v>
      </c>
      <c r="AW185" s="627">
        <f t="shared" si="26"/>
        <v>153</v>
      </c>
      <c r="AX185" s="627">
        <f t="shared" si="28"/>
        <v>91</v>
      </c>
      <c r="AY185" s="627">
        <f t="shared" si="28"/>
        <v>237</v>
      </c>
      <c r="AZ185" s="627">
        <f t="shared" si="28"/>
        <v>446</v>
      </c>
      <c r="BA185" s="627">
        <f t="shared" si="28"/>
        <v>307</v>
      </c>
    </row>
    <row r="186" spans="1:53">
      <c r="A186" s="105">
        <f t="shared" si="23"/>
        <v>175</v>
      </c>
      <c r="B186" s="745">
        <v>42544</v>
      </c>
      <c r="C186" s="746" t="s">
        <v>1772</v>
      </c>
      <c r="D186" s="747">
        <v>4720</v>
      </c>
      <c r="E186" s="747">
        <v>4503</v>
      </c>
      <c r="F186" s="747">
        <v>4385</v>
      </c>
      <c r="G186" s="747">
        <v>4303</v>
      </c>
      <c r="H186" s="747">
        <v>4337</v>
      </c>
      <c r="I186" s="747">
        <v>4387</v>
      </c>
      <c r="J186" s="747">
        <v>4603</v>
      </c>
      <c r="K186" s="747">
        <v>4977</v>
      </c>
      <c r="L186" s="747">
        <v>5356</v>
      </c>
      <c r="M186" s="747">
        <v>5703</v>
      </c>
      <c r="N186" s="747">
        <v>6092</v>
      </c>
      <c r="O186" s="747">
        <v>6434</v>
      </c>
      <c r="P186" s="747">
        <v>6598</v>
      </c>
      <c r="Q186" s="747">
        <v>6776</v>
      </c>
      <c r="R186" s="747">
        <v>7083</v>
      </c>
      <c r="S186" s="747">
        <v>7313</v>
      </c>
      <c r="T186" s="747">
        <v>7058</v>
      </c>
      <c r="U186" s="747">
        <v>6777</v>
      </c>
      <c r="V186" s="747">
        <v>6651</v>
      </c>
      <c r="W186" s="747">
        <v>6464</v>
      </c>
      <c r="X186" s="747">
        <v>6256</v>
      </c>
      <c r="Y186" s="747">
        <v>6041</v>
      </c>
      <c r="Z186" s="747">
        <v>5551</v>
      </c>
      <c r="AA186" s="747">
        <v>5176</v>
      </c>
      <c r="AC186" s="628">
        <f t="shared" si="24"/>
        <v>175</v>
      </c>
      <c r="AD186" s="627">
        <f t="shared" si="25"/>
        <v>313</v>
      </c>
      <c r="AE186" s="627">
        <f t="shared" si="27"/>
        <v>217</v>
      </c>
      <c r="AF186" s="627">
        <f t="shared" si="27"/>
        <v>118</v>
      </c>
      <c r="AG186" s="627">
        <f t="shared" si="27"/>
        <v>82</v>
      </c>
      <c r="AH186" s="627">
        <f t="shared" si="26"/>
        <v>34</v>
      </c>
      <c r="AI186" s="627">
        <f t="shared" si="26"/>
        <v>50</v>
      </c>
      <c r="AJ186" s="627">
        <f t="shared" si="26"/>
        <v>216</v>
      </c>
      <c r="AK186" s="627">
        <f t="shared" si="26"/>
        <v>374</v>
      </c>
      <c r="AL186" s="627">
        <f t="shared" si="26"/>
        <v>379</v>
      </c>
      <c r="AM186" s="627">
        <f t="shared" si="26"/>
        <v>347</v>
      </c>
      <c r="AN186" s="627">
        <f t="shared" si="26"/>
        <v>389</v>
      </c>
      <c r="AO186" s="627">
        <f t="shared" si="26"/>
        <v>342</v>
      </c>
      <c r="AP186" s="627">
        <f t="shared" si="26"/>
        <v>164</v>
      </c>
      <c r="AQ186" s="627">
        <f t="shared" si="26"/>
        <v>178</v>
      </c>
      <c r="AR186" s="627">
        <f t="shared" si="26"/>
        <v>307</v>
      </c>
      <c r="AS186" s="627">
        <f t="shared" si="26"/>
        <v>230</v>
      </c>
      <c r="AT186" s="627">
        <f t="shared" si="26"/>
        <v>255</v>
      </c>
      <c r="AU186" s="627">
        <f t="shared" ref="AU186:AW217" si="29">ABS(U186-T186)</f>
        <v>281</v>
      </c>
      <c r="AV186" s="627">
        <f t="shared" si="29"/>
        <v>126</v>
      </c>
      <c r="AW186" s="627">
        <f t="shared" si="29"/>
        <v>187</v>
      </c>
      <c r="AX186" s="627">
        <f t="shared" si="28"/>
        <v>208</v>
      </c>
      <c r="AY186" s="627">
        <f t="shared" si="28"/>
        <v>215</v>
      </c>
      <c r="AZ186" s="627">
        <f t="shared" si="28"/>
        <v>490</v>
      </c>
      <c r="BA186" s="627">
        <f t="shared" si="28"/>
        <v>375</v>
      </c>
    </row>
    <row r="187" spans="1:53">
      <c r="A187" s="105">
        <f t="shared" si="23"/>
        <v>176</v>
      </c>
      <c r="B187" s="745">
        <v>42545</v>
      </c>
      <c r="C187" s="746" t="s">
        <v>1772</v>
      </c>
      <c r="D187" s="747">
        <v>4804</v>
      </c>
      <c r="E187" s="747">
        <v>4544</v>
      </c>
      <c r="F187" s="747">
        <v>4389</v>
      </c>
      <c r="G187" s="747">
        <v>4313</v>
      </c>
      <c r="H187" s="747">
        <v>4305</v>
      </c>
      <c r="I187" s="747">
        <v>4333</v>
      </c>
      <c r="J187" s="747">
        <v>4534</v>
      </c>
      <c r="K187" s="747">
        <v>4950</v>
      </c>
      <c r="L187" s="747">
        <v>5347</v>
      </c>
      <c r="M187" s="747">
        <v>5731</v>
      </c>
      <c r="N187" s="747">
        <v>6130</v>
      </c>
      <c r="O187" s="747">
        <v>6514</v>
      </c>
      <c r="P187" s="747">
        <v>6742</v>
      </c>
      <c r="Q187" s="747">
        <v>6803</v>
      </c>
      <c r="R187" s="747">
        <v>6730</v>
      </c>
      <c r="S187" s="747">
        <v>6805</v>
      </c>
      <c r="T187" s="747">
        <v>6785</v>
      </c>
      <c r="U187" s="747">
        <v>6594</v>
      </c>
      <c r="V187" s="747">
        <v>6357</v>
      </c>
      <c r="W187" s="747">
        <v>6125</v>
      </c>
      <c r="X187" s="747">
        <v>5986</v>
      </c>
      <c r="Y187" s="747">
        <v>5877</v>
      </c>
      <c r="Z187" s="747">
        <v>5431</v>
      </c>
      <c r="AA187" s="747">
        <v>4928</v>
      </c>
      <c r="AC187" s="628">
        <f t="shared" si="24"/>
        <v>176</v>
      </c>
      <c r="AD187" s="627">
        <f t="shared" si="25"/>
        <v>372</v>
      </c>
      <c r="AE187" s="627">
        <f t="shared" si="27"/>
        <v>260</v>
      </c>
      <c r="AF187" s="627">
        <f t="shared" si="27"/>
        <v>155</v>
      </c>
      <c r="AG187" s="627">
        <f t="shared" si="27"/>
        <v>76</v>
      </c>
      <c r="AH187" s="627">
        <f t="shared" si="27"/>
        <v>8</v>
      </c>
      <c r="AI187" s="627">
        <f t="shared" si="27"/>
        <v>28</v>
      </c>
      <c r="AJ187" s="627">
        <f t="shared" si="27"/>
        <v>201</v>
      </c>
      <c r="AK187" s="627">
        <f t="shared" si="27"/>
        <v>416</v>
      </c>
      <c r="AL187" s="627">
        <f t="shared" si="27"/>
        <v>397</v>
      </c>
      <c r="AM187" s="627">
        <f t="shared" si="27"/>
        <v>384</v>
      </c>
      <c r="AN187" s="627">
        <f t="shared" si="27"/>
        <v>399</v>
      </c>
      <c r="AO187" s="627">
        <f t="shared" si="27"/>
        <v>384</v>
      </c>
      <c r="AP187" s="627">
        <f t="shared" si="27"/>
        <v>228</v>
      </c>
      <c r="AQ187" s="627">
        <f t="shared" si="27"/>
        <v>61</v>
      </c>
      <c r="AR187" s="627">
        <f t="shared" si="27"/>
        <v>73</v>
      </c>
      <c r="AS187" s="627">
        <f t="shared" si="27"/>
        <v>75</v>
      </c>
      <c r="AT187" s="627">
        <f t="shared" si="27"/>
        <v>20</v>
      </c>
      <c r="AU187" s="627">
        <f t="shared" si="29"/>
        <v>191</v>
      </c>
      <c r="AV187" s="627">
        <f t="shared" si="29"/>
        <v>237</v>
      </c>
      <c r="AW187" s="627">
        <f t="shared" si="29"/>
        <v>232</v>
      </c>
      <c r="AX187" s="627">
        <f t="shared" si="28"/>
        <v>139</v>
      </c>
      <c r="AY187" s="627">
        <f t="shared" si="28"/>
        <v>109</v>
      </c>
      <c r="AZ187" s="627">
        <f t="shared" si="28"/>
        <v>446</v>
      </c>
      <c r="BA187" s="627">
        <f t="shared" si="28"/>
        <v>503</v>
      </c>
    </row>
    <row r="188" spans="1:53">
      <c r="A188" s="105">
        <f t="shared" si="23"/>
        <v>177</v>
      </c>
      <c r="B188" s="745">
        <v>42546</v>
      </c>
      <c r="C188" s="746" t="s">
        <v>1772</v>
      </c>
      <c r="D188" s="747">
        <v>4578</v>
      </c>
      <c r="E188" s="747">
        <v>4357</v>
      </c>
      <c r="F188" s="747">
        <v>4406</v>
      </c>
      <c r="G188" s="747">
        <v>4354</v>
      </c>
      <c r="H188" s="747">
        <v>4306</v>
      </c>
      <c r="I188" s="747">
        <v>4322</v>
      </c>
      <c r="J188" s="747">
        <v>4423</v>
      </c>
      <c r="K188" s="747">
        <v>4730</v>
      </c>
      <c r="L188" s="747">
        <v>4975</v>
      </c>
      <c r="M188" s="747">
        <v>5294</v>
      </c>
      <c r="N188" s="747">
        <v>5630</v>
      </c>
      <c r="O188" s="747">
        <v>5793</v>
      </c>
      <c r="P188" s="747">
        <v>5938</v>
      </c>
      <c r="Q188" s="747">
        <v>6072</v>
      </c>
      <c r="R188" s="747">
        <v>6059</v>
      </c>
      <c r="S188" s="747">
        <v>6075</v>
      </c>
      <c r="T188" s="747">
        <v>6102</v>
      </c>
      <c r="U188" s="747">
        <v>6002</v>
      </c>
      <c r="V188" s="747">
        <v>5973</v>
      </c>
      <c r="W188" s="747">
        <v>5870</v>
      </c>
      <c r="X188" s="747">
        <v>5699</v>
      </c>
      <c r="Y188" s="747">
        <v>5606</v>
      </c>
      <c r="Z188" s="747">
        <v>5194</v>
      </c>
      <c r="AA188" s="747">
        <v>4760</v>
      </c>
      <c r="AC188" s="628">
        <f t="shared" si="24"/>
        <v>177</v>
      </c>
      <c r="AD188" s="627">
        <f t="shared" si="25"/>
        <v>350</v>
      </c>
      <c r="AE188" s="627">
        <f t="shared" si="27"/>
        <v>221</v>
      </c>
      <c r="AF188" s="627">
        <f t="shared" si="27"/>
        <v>49</v>
      </c>
      <c r="AG188" s="627">
        <f t="shared" si="27"/>
        <v>52</v>
      </c>
      <c r="AH188" s="627">
        <f t="shared" si="27"/>
        <v>48</v>
      </c>
      <c r="AI188" s="627">
        <f t="shared" si="27"/>
        <v>16</v>
      </c>
      <c r="AJ188" s="627">
        <f t="shared" si="27"/>
        <v>101</v>
      </c>
      <c r="AK188" s="627">
        <f t="shared" si="27"/>
        <v>307</v>
      </c>
      <c r="AL188" s="627">
        <f t="shared" si="27"/>
        <v>245</v>
      </c>
      <c r="AM188" s="627">
        <f t="shared" si="27"/>
        <v>319</v>
      </c>
      <c r="AN188" s="627">
        <f t="shared" si="27"/>
        <v>336</v>
      </c>
      <c r="AO188" s="627">
        <f t="shared" si="27"/>
        <v>163</v>
      </c>
      <c r="AP188" s="627">
        <f t="shared" si="27"/>
        <v>145</v>
      </c>
      <c r="AQ188" s="627">
        <f t="shared" si="27"/>
        <v>134</v>
      </c>
      <c r="AR188" s="627">
        <f t="shared" si="27"/>
        <v>13</v>
      </c>
      <c r="AS188" s="627">
        <f t="shared" si="27"/>
        <v>16</v>
      </c>
      <c r="AT188" s="627">
        <f t="shared" si="27"/>
        <v>27</v>
      </c>
      <c r="AU188" s="627">
        <f t="shared" si="29"/>
        <v>100</v>
      </c>
      <c r="AV188" s="627">
        <f t="shared" si="29"/>
        <v>29</v>
      </c>
      <c r="AW188" s="627">
        <f t="shared" si="29"/>
        <v>103</v>
      </c>
      <c r="AX188" s="627">
        <f t="shared" si="28"/>
        <v>171</v>
      </c>
      <c r="AY188" s="627">
        <f t="shared" si="28"/>
        <v>93</v>
      </c>
      <c r="AZ188" s="627">
        <f t="shared" si="28"/>
        <v>412</v>
      </c>
      <c r="BA188" s="627">
        <f t="shared" si="28"/>
        <v>434</v>
      </c>
    </row>
    <row r="189" spans="1:53">
      <c r="A189" s="105">
        <f t="shared" si="23"/>
        <v>178</v>
      </c>
      <c r="B189" s="745">
        <v>42547</v>
      </c>
      <c r="C189" s="746" t="s">
        <v>1772</v>
      </c>
      <c r="D189" s="747">
        <v>4422</v>
      </c>
      <c r="E189" s="747">
        <v>4293</v>
      </c>
      <c r="F189" s="747">
        <v>4257</v>
      </c>
      <c r="G189" s="747">
        <v>4158</v>
      </c>
      <c r="H189" s="747">
        <v>4106</v>
      </c>
      <c r="I189" s="747">
        <v>4080</v>
      </c>
      <c r="J189" s="747">
        <v>4058</v>
      </c>
      <c r="K189" s="747">
        <v>4265</v>
      </c>
      <c r="L189" s="747">
        <v>4601</v>
      </c>
      <c r="M189" s="747">
        <v>4938</v>
      </c>
      <c r="N189" s="747">
        <v>5258</v>
      </c>
      <c r="O189" s="747">
        <v>5507</v>
      </c>
      <c r="P189" s="747">
        <v>5824</v>
      </c>
      <c r="Q189" s="747">
        <v>6142</v>
      </c>
      <c r="R189" s="747">
        <v>6449</v>
      </c>
      <c r="S189" s="747">
        <v>6754</v>
      </c>
      <c r="T189" s="747">
        <v>7021</v>
      </c>
      <c r="U189" s="747">
        <v>7218</v>
      </c>
      <c r="V189" s="747">
        <v>7200</v>
      </c>
      <c r="W189" s="747">
        <v>6962</v>
      </c>
      <c r="X189" s="747">
        <v>6673</v>
      </c>
      <c r="Y189" s="747">
        <v>6438</v>
      </c>
      <c r="Z189" s="747">
        <v>5896</v>
      </c>
      <c r="AA189" s="747">
        <v>5386</v>
      </c>
      <c r="AC189" s="628">
        <f t="shared" si="24"/>
        <v>178</v>
      </c>
      <c r="AD189" s="627">
        <f t="shared" si="25"/>
        <v>338</v>
      </c>
      <c r="AE189" s="627">
        <f t="shared" si="27"/>
        <v>129</v>
      </c>
      <c r="AF189" s="627">
        <f t="shared" si="27"/>
        <v>36</v>
      </c>
      <c r="AG189" s="627">
        <f t="shared" si="27"/>
        <v>99</v>
      </c>
      <c r="AH189" s="627">
        <f t="shared" si="27"/>
        <v>52</v>
      </c>
      <c r="AI189" s="627">
        <f t="shared" si="27"/>
        <v>26</v>
      </c>
      <c r="AJ189" s="627">
        <f t="shared" si="27"/>
        <v>22</v>
      </c>
      <c r="AK189" s="627">
        <f t="shared" si="27"/>
        <v>207</v>
      </c>
      <c r="AL189" s="627">
        <f t="shared" si="27"/>
        <v>336</v>
      </c>
      <c r="AM189" s="627">
        <f t="shared" si="27"/>
        <v>337</v>
      </c>
      <c r="AN189" s="627">
        <f t="shared" si="27"/>
        <v>320</v>
      </c>
      <c r="AO189" s="627">
        <f t="shared" si="27"/>
        <v>249</v>
      </c>
      <c r="AP189" s="627">
        <f t="shared" si="27"/>
        <v>317</v>
      </c>
      <c r="AQ189" s="627">
        <f t="shared" si="27"/>
        <v>318</v>
      </c>
      <c r="AR189" s="627">
        <f t="shared" si="27"/>
        <v>307</v>
      </c>
      <c r="AS189" s="627">
        <f t="shared" si="27"/>
        <v>305</v>
      </c>
      <c r="AT189" s="627">
        <f t="shared" si="27"/>
        <v>267</v>
      </c>
      <c r="AU189" s="627">
        <f t="shared" si="29"/>
        <v>197</v>
      </c>
      <c r="AV189" s="627">
        <f t="shared" si="29"/>
        <v>18</v>
      </c>
      <c r="AW189" s="627">
        <f t="shared" si="29"/>
        <v>238</v>
      </c>
      <c r="AX189" s="627">
        <f t="shared" si="28"/>
        <v>289</v>
      </c>
      <c r="AY189" s="627">
        <f t="shared" si="28"/>
        <v>235</v>
      </c>
      <c r="AZ189" s="627">
        <f t="shared" si="28"/>
        <v>542</v>
      </c>
      <c r="BA189" s="627">
        <f t="shared" si="28"/>
        <v>510</v>
      </c>
    </row>
    <row r="190" spans="1:53">
      <c r="A190" s="105">
        <f t="shared" si="23"/>
        <v>179</v>
      </c>
      <c r="B190" s="745">
        <v>42548</v>
      </c>
      <c r="C190" s="746" t="s">
        <v>1772</v>
      </c>
      <c r="D190" s="747">
        <v>4990</v>
      </c>
      <c r="E190" s="747">
        <v>4704</v>
      </c>
      <c r="F190" s="747">
        <v>4525</v>
      </c>
      <c r="G190" s="747">
        <v>4425</v>
      </c>
      <c r="H190" s="747">
        <v>4452</v>
      </c>
      <c r="I190" s="747">
        <v>4482</v>
      </c>
      <c r="J190" s="747">
        <v>4738</v>
      </c>
      <c r="K190" s="747">
        <v>5070</v>
      </c>
      <c r="L190" s="747">
        <v>5433</v>
      </c>
      <c r="M190" s="747">
        <v>5785</v>
      </c>
      <c r="N190" s="747">
        <v>6146</v>
      </c>
      <c r="O190" s="747">
        <v>6480</v>
      </c>
      <c r="P190" s="747">
        <v>6802</v>
      </c>
      <c r="Q190" s="747">
        <v>7120</v>
      </c>
      <c r="R190" s="747">
        <v>7406</v>
      </c>
      <c r="S190" s="747">
        <v>7658</v>
      </c>
      <c r="T190" s="747">
        <v>7850</v>
      </c>
      <c r="U190" s="747">
        <v>7915</v>
      </c>
      <c r="V190" s="747">
        <v>7784</v>
      </c>
      <c r="W190" s="747">
        <v>7439</v>
      </c>
      <c r="X190" s="747">
        <v>7055</v>
      </c>
      <c r="Y190" s="747">
        <v>6730</v>
      </c>
      <c r="Z190" s="747">
        <v>6043</v>
      </c>
      <c r="AA190" s="747">
        <v>5452</v>
      </c>
      <c r="AC190" s="628">
        <f t="shared" si="24"/>
        <v>179</v>
      </c>
      <c r="AD190" s="627">
        <f t="shared" si="25"/>
        <v>396</v>
      </c>
      <c r="AE190" s="627">
        <f t="shared" si="27"/>
        <v>286</v>
      </c>
      <c r="AF190" s="627">
        <f t="shared" si="27"/>
        <v>179</v>
      </c>
      <c r="AG190" s="627">
        <f t="shared" si="27"/>
        <v>100</v>
      </c>
      <c r="AH190" s="627">
        <f t="shared" si="27"/>
        <v>27</v>
      </c>
      <c r="AI190" s="627">
        <f t="shared" si="27"/>
        <v>30</v>
      </c>
      <c r="AJ190" s="627">
        <f t="shared" si="27"/>
        <v>256</v>
      </c>
      <c r="AK190" s="627">
        <f t="shared" si="27"/>
        <v>332</v>
      </c>
      <c r="AL190" s="627">
        <f t="shared" si="27"/>
        <v>363</v>
      </c>
      <c r="AM190" s="627">
        <f t="shared" si="27"/>
        <v>352</v>
      </c>
      <c r="AN190" s="627">
        <f t="shared" si="27"/>
        <v>361</v>
      </c>
      <c r="AO190" s="627">
        <f t="shared" si="27"/>
        <v>334</v>
      </c>
      <c r="AP190" s="627">
        <f t="shared" si="27"/>
        <v>322</v>
      </c>
      <c r="AQ190" s="627">
        <f t="shared" si="27"/>
        <v>318</v>
      </c>
      <c r="AR190" s="627">
        <f t="shared" si="27"/>
        <v>286</v>
      </c>
      <c r="AS190" s="627">
        <f t="shared" si="27"/>
        <v>252</v>
      </c>
      <c r="AT190" s="627">
        <f t="shared" si="27"/>
        <v>192</v>
      </c>
      <c r="AU190" s="627">
        <f t="shared" si="29"/>
        <v>65</v>
      </c>
      <c r="AV190" s="627">
        <f t="shared" si="29"/>
        <v>131</v>
      </c>
      <c r="AW190" s="627">
        <f t="shared" si="29"/>
        <v>345</v>
      </c>
      <c r="AX190" s="627">
        <f t="shared" si="28"/>
        <v>384</v>
      </c>
      <c r="AY190" s="627">
        <f t="shared" si="28"/>
        <v>325</v>
      </c>
      <c r="AZ190" s="627">
        <f t="shared" si="28"/>
        <v>687</v>
      </c>
      <c r="BA190" s="627">
        <f t="shared" si="28"/>
        <v>591</v>
      </c>
    </row>
    <row r="191" spans="1:53">
      <c r="A191" s="105">
        <f t="shared" si="23"/>
        <v>180</v>
      </c>
      <c r="B191" s="745">
        <v>42549</v>
      </c>
      <c r="C191" s="746" t="s">
        <v>1772</v>
      </c>
      <c r="D191" s="747">
        <v>5128</v>
      </c>
      <c r="E191" s="747">
        <v>4866</v>
      </c>
      <c r="F191" s="747">
        <v>4676</v>
      </c>
      <c r="G191" s="747">
        <v>4559</v>
      </c>
      <c r="H191" s="747">
        <v>4585</v>
      </c>
      <c r="I191" s="747">
        <v>4735</v>
      </c>
      <c r="J191" s="747">
        <v>4920</v>
      </c>
      <c r="K191" s="747">
        <v>5286</v>
      </c>
      <c r="L191" s="747">
        <v>5541</v>
      </c>
      <c r="M191" s="747">
        <v>5863</v>
      </c>
      <c r="N191" s="747">
        <v>6342</v>
      </c>
      <c r="O191" s="747">
        <v>6541</v>
      </c>
      <c r="P191" s="747">
        <v>6879</v>
      </c>
      <c r="Q191" s="747">
        <v>7239</v>
      </c>
      <c r="R191" s="747">
        <v>7542</v>
      </c>
      <c r="S191" s="747">
        <v>7800</v>
      </c>
      <c r="T191" s="747">
        <v>7908</v>
      </c>
      <c r="U191" s="747">
        <v>7763</v>
      </c>
      <c r="V191" s="747">
        <v>7189</v>
      </c>
      <c r="W191" s="747">
        <v>6600</v>
      </c>
      <c r="X191" s="747">
        <v>6362</v>
      </c>
      <c r="Y191" s="747">
        <v>6161</v>
      </c>
      <c r="Z191" s="747">
        <v>5580</v>
      </c>
      <c r="AA191" s="747">
        <v>5067</v>
      </c>
      <c r="AC191" s="628">
        <f t="shared" si="24"/>
        <v>180</v>
      </c>
      <c r="AD191" s="627">
        <f t="shared" si="25"/>
        <v>324</v>
      </c>
      <c r="AE191" s="627">
        <f t="shared" si="27"/>
        <v>262</v>
      </c>
      <c r="AF191" s="627">
        <f t="shared" si="27"/>
        <v>190</v>
      </c>
      <c r="AG191" s="627">
        <f t="shared" si="27"/>
        <v>117</v>
      </c>
      <c r="AH191" s="627">
        <f t="shared" si="27"/>
        <v>26</v>
      </c>
      <c r="AI191" s="627">
        <f t="shared" si="27"/>
        <v>150</v>
      </c>
      <c r="AJ191" s="627">
        <f t="shared" si="27"/>
        <v>185</v>
      </c>
      <c r="AK191" s="627">
        <f t="shared" si="27"/>
        <v>366</v>
      </c>
      <c r="AL191" s="627">
        <f t="shared" si="27"/>
        <v>255</v>
      </c>
      <c r="AM191" s="627">
        <f t="shared" si="27"/>
        <v>322</v>
      </c>
      <c r="AN191" s="627">
        <f t="shared" si="27"/>
        <v>479</v>
      </c>
      <c r="AO191" s="627">
        <f t="shared" si="27"/>
        <v>199</v>
      </c>
      <c r="AP191" s="627">
        <f t="shared" si="27"/>
        <v>338</v>
      </c>
      <c r="AQ191" s="627">
        <f t="shared" si="27"/>
        <v>360</v>
      </c>
      <c r="AR191" s="627">
        <f t="shared" si="27"/>
        <v>303</v>
      </c>
      <c r="AS191" s="627">
        <f t="shared" si="27"/>
        <v>258</v>
      </c>
      <c r="AT191" s="627">
        <f t="shared" si="27"/>
        <v>108</v>
      </c>
      <c r="AU191" s="627">
        <f t="shared" si="29"/>
        <v>145</v>
      </c>
      <c r="AV191" s="627">
        <f t="shared" si="29"/>
        <v>574</v>
      </c>
      <c r="AW191" s="627">
        <f t="shared" si="29"/>
        <v>589</v>
      </c>
      <c r="AX191" s="627">
        <f t="shared" si="28"/>
        <v>238</v>
      </c>
      <c r="AY191" s="627">
        <f t="shared" si="28"/>
        <v>201</v>
      </c>
      <c r="AZ191" s="627">
        <f t="shared" si="28"/>
        <v>581</v>
      </c>
      <c r="BA191" s="627">
        <f t="shared" si="28"/>
        <v>513</v>
      </c>
    </row>
    <row r="192" spans="1:53">
      <c r="A192" s="105">
        <f t="shared" si="23"/>
        <v>181</v>
      </c>
      <c r="B192" s="745">
        <v>42550</v>
      </c>
      <c r="C192" s="746" t="s">
        <v>1772</v>
      </c>
      <c r="D192" s="747">
        <v>4831</v>
      </c>
      <c r="E192" s="747">
        <v>4573</v>
      </c>
      <c r="F192" s="747">
        <v>4396</v>
      </c>
      <c r="G192" s="747">
        <v>4309</v>
      </c>
      <c r="H192" s="747">
        <v>4342</v>
      </c>
      <c r="I192" s="747">
        <v>4393</v>
      </c>
      <c r="J192" s="747">
        <v>4648</v>
      </c>
      <c r="K192" s="747">
        <v>4905</v>
      </c>
      <c r="L192" s="747">
        <v>5200</v>
      </c>
      <c r="M192" s="747">
        <v>5458</v>
      </c>
      <c r="N192" s="747">
        <v>5826</v>
      </c>
      <c r="O192" s="747">
        <v>6109</v>
      </c>
      <c r="P192" s="747">
        <v>6408</v>
      </c>
      <c r="Q192" s="747">
        <v>6776</v>
      </c>
      <c r="R192" s="747">
        <v>7060</v>
      </c>
      <c r="S192" s="747">
        <v>7083</v>
      </c>
      <c r="T192" s="747">
        <v>7024</v>
      </c>
      <c r="U192" s="747">
        <v>6810</v>
      </c>
      <c r="V192" s="747">
        <v>6554</v>
      </c>
      <c r="W192" s="747">
        <v>6324</v>
      </c>
      <c r="X192" s="747">
        <v>6216</v>
      </c>
      <c r="Y192" s="747">
        <v>5998</v>
      </c>
      <c r="Z192" s="747">
        <v>5479</v>
      </c>
      <c r="AA192" s="747">
        <v>5064</v>
      </c>
      <c r="AC192" s="628">
        <f t="shared" si="24"/>
        <v>181</v>
      </c>
      <c r="AD192" s="627">
        <f t="shared" si="25"/>
        <v>236</v>
      </c>
      <c r="AE192" s="627">
        <f t="shared" si="27"/>
        <v>258</v>
      </c>
      <c r="AF192" s="627">
        <f t="shared" si="27"/>
        <v>177</v>
      </c>
      <c r="AG192" s="627">
        <f t="shared" si="27"/>
        <v>87</v>
      </c>
      <c r="AH192" s="627">
        <f t="shared" si="27"/>
        <v>33</v>
      </c>
      <c r="AI192" s="627">
        <f t="shared" si="27"/>
        <v>51</v>
      </c>
      <c r="AJ192" s="627">
        <f t="shared" si="27"/>
        <v>255</v>
      </c>
      <c r="AK192" s="627">
        <f t="shared" si="27"/>
        <v>257</v>
      </c>
      <c r="AL192" s="627">
        <f t="shared" si="27"/>
        <v>295</v>
      </c>
      <c r="AM192" s="627">
        <f t="shared" si="27"/>
        <v>258</v>
      </c>
      <c r="AN192" s="627">
        <f t="shared" si="27"/>
        <v>368</v>
      </c>
      <c r="AO192" s="627">
        <f t="shared" si="27"/>
        <v>283</v>
      </c>
      <c r="AP192" s="627">
        <f t="shared" si="27"/>
        <v>299</v>
      </c>
      <c r="AQ192" s="627">
        <f t="shared" si="27"/>
        <v>368</v>
      </c>
      <c r="AR192" s="627">
        <f t="shared" si="27"/>
        <v>284</v>
      </c>
      <c r="AS192" s="627">
        <f t="shared" si="27"/>
        <v>23</v>
      </c>
      <c r="AT192" s="627">
        <f t="shared" si="27"/>
        <v>59</v>
      </c>
      <c r="AU192" s="627">
        <f t="shared" si="29"/>
        <v>214</v>
      </c>
      <c r="AV192" s="627">
        <f t="shared" si="29"/>
        <v>256</v>
      </c>
      <c r="AW192" s="627">
        <f t="shared" si="29"/>
        <v>230</v>
      </c>
      <c r="AX192" s="627">
        <f t="shared" si="28"/>
        <v>108</v>
      </c>
      <c r="AY192" s="627">
        <f t="shared" si="28"/>
        <v>218</v>
      </c>
      <c r="AZ192" s="627">
        <f t="shared" si="28"/>
        <v>519</v>
      </c>
      <c r="BA192" s="627">
        <f t="shared" si="28"/>
        <v>415</v>
      </c>
    </row>
    <row r="193" spans="1:53">
      <c r="A193" s="105">
        <f t="shared" si="23"/>
        <v>182</v>
      </c>
      <c r="B193" s="745">
        <v>42551</v>
      </c>
      <c r="C193" s="746" t="s">
        <v>1772</v>
      </c>
      <c r="D193" s="747">
        <v>4789</v>
      </c>
      <c r="E193" s="747">
        <v>4535</v>
      </c>
      <c r="F193" s="747">
        <v>4403</v>
      </c>
      <c r="G193" s="747">
        <v>4277</v>
      </c>
      <c r="H193" s="747">
        <v>4256</v>
      </c>
      <c r="I193" s="747">
        <v>4364</v>
      </c>
      <c r="J193" s="747">
        <v>4545</v>
      </c>
      <c r="K193" s="747">
        <v>4842</v>
      </c>
      <c r="L193" s="747">
        <v>5095</v>
      </c>
      <c r="M193" s="747">
        <v>5255</v>
      </c>
      <c r="N193" s="747">
        <v>5427</v>
      </c>
      <c r="O193" s="747">
        <v>5595</v>
      </c>
      <c r="P193" s="747">
        <v>5812</v>
      </c>
      <c r="Q193" s="747">
        <v>6055</v>
      </c>
      <c r="R193" s="747">
        <v>6081</v>
      </c>
      <c r="S193" s="747">
        <v>6060</v>
      </c>
      <c r="T193" s="747">
        <v>6053</v>
      </c>
      <c r="U193" s="747">
        <v>6021</v>
      </c>
      <c r="V193" s="747">
        <v>5831</v>
      </c>
      <c r="W193" s="747">
        <v>5652</v>
      </c>
      <c r="X193" s="747">
        <v>5601</v>
      </c>
      <c r="Y193" s="747">
        <v>5501</v>
      </c>
      <c r="Z193" s="747">
        <v>5123</v>
      </c>
      <c r="AA193" s="747">
        <v>4764</v>
      </c>
      <c r="AC193" s="628">
        <f t="shared" si="24"/>
        <v>182</v>
      </c>
      <c r="AD193" s="627">
        <f t="shared" si="25"/>
        <v>275</v>
      </c>
      <c r="AE193" s="627">
        <f t="shared" si="27"/>
        <v>254</v>
      </c>
      <c r="AF193" s="627">
        <f t="shared" si="27"/>
        <v>132</v>
      </c>
      <c r="AG193" s="627">
        <f t="shared" si="27"/>
        <v>126</v>
      </c>
      <c r="AH193" s="627">
        <f t="shared" si="27"/>
        <v>21</v>
      </c>
      <c r="AI193" s="627">
        <f t="shared" si="27"/>
        <v>108</v>
      </c>
      <c r="AJ193" s="627">
        <f t="shared" si="27"/>
        <v>181</v>
      </c>
      <c r="AK193" s="627">
        <f t="shared" si="27"/>
        <v>297</v>
      </c>
      <c r="AL193" s="627">
        <f t="shared" si="27"/>
        <v>253</v>
      </c>
      <c r="AM193" s="627">
        <f t="shared" si="27"/>
        <v>160</v>
      </c>
      <c r="AN193" s="627">
        <f t="shared" si="27"/>
        <v>172</v>
      </c>
      <c r="AO193" s="627">
        <f t="shared" si="27"/>
        <v>168</v>
      </c>
      <c r="AP193" s="627">
        <f t="shared" si="27"/>
        <v>217</v>
      </c>
      <c r="AQ193" s="627">
        <f t="shared" si="27"/>
        <v>243</v>
      </c>
      <c r="AR193" s="627">
        <f t="shared" si="27"/>
        <v>26</v>
      </c>
      <c r="AS193" s="627">
        <f t="shared" si="27"/>
        <v>21</v>
      </c>
      <c r="AT193" s="627">
        <f t="shared" si="27"/>
        <v>7</v>
      </c>
      <c r="AU193" s="627">
        <f t="shared" si="29"/>
        <v>32</v>
      </c>
      <c r="AV193" s="627">
        <f t="shared" si="29"/>
        <v>190</v>
      </c>
      <c r="AW193" s="627">
        <f t="shared" si="29"/>
        <v>179</v>
      </c>
      <c r="AX193" s="627">
        <f t="shared" si="28"/>
        <v>51</v>
      </c>
      <c r="AY193" s="627">
        <f t="shared" si="28"/>
        <v>100</v>
      </c>
      <c r="AZ193" s="627">
        <f t="shared" si="28"/>
        <v>378</v>
      </c>
      <c r="BA193" s="627">
        <f t="shared" si="28"/>
        <v>359</v>
      </c>
    </row>
    <row r="194" spans="1:53">
      <c r="A194" s="105">
        <f t="shared" si="23"/>
        <v>183</v>
      </c>
      <c r="B194" s="745">
        <v>42552</v>
      </c>
      <c r="C194" s="746" t="s">
        <v>1772</v>
      </c>
      <c r="D194" s="747">
        <v>4509</v>
      </c>
      <c r="E194" s="747">
        <v>4367</v>
      </c>
      <c r="F194" s="747">
        <v>4254</v>
      </c>
      <c r="G194" s="747">
        <v>4215</v>
      </c>
      <c r="H194" s="747">
        <v>4173</v>
      </c>
      <c r="I194" s="747">
        <v>4336</v>
      </c>
      <c r="J194" s="747">
        <v>4524</v>
      </c>
      <c r="K194" s="747">
        <v>4799</v>
      </c>
      <c r="L194" s="747">
        <v>5041</v>
      </c>
      <c r="M194" s="747">
        <v>5229</v>
      </c>
      <c r="N194" s="747">
        <v>5366</v>
      </c>
      <c r="O194" s="747">
        <v>5431</v>
      </c>
      <c r="P194" s="747">
        <v>5585</v>
      </c>
      <c r="Q194" s="747">
        <v>5816</v>
      </c>
      <c r="R194" s="747">
        <v>5817</v>
      </c>
      <c r="S194" s="747">
        <v>5825</v>
      </c>
      <c r="T194" s="747">
        <v>5853</v>
      </c>
      <c r="U194" s="747">
        <v>5840</v>
      </c>
      <c r="V194" s="747">
        <v>5696</v>
      </c>
      <c r="W194" s="747">
        <v>5501</v>
      </c>
      <c r="X194" s="747">
        <v>5409</v>
      </c>
      <c r="Y194" s="747">
        <v>5318</v>
      </c>
      <c r="Z194" s="747">
        <v>4998</v>
      </c>
      <c r="AA194" s="747">
        <v>4814</v>
      </c>
      <c r="AB194" s="627">
        <f>MAX(D194:AA224)</f>
        <v>8160</v>
      </c>
      <c r="AC194" s="628">
        <f t="shared" si="24"/>
        <v>183</v>
      </c>
      <c r="AD194" s="627">
        <f t="shared" si="25"/>
        <v>255</v>
      </c>
      <c r="AE194" s="627">
        <f t="shared" si="27"/>
        <v>142</v>
      </c>
      <c r="AF194" s="627">
        <f t="shared" si="27"/>
        <v>113</v>
      </c>
      <c r="AG194" s="627">
        <f t="shared" si="27"/>
        <v>39</v>
      </c>
      <c r="AH194" s="627">
        <f t="shared" si="27"/>
        <v>42</v>
      </c>
      <c r="AI194" s="627">
        <f t="shared" si="27"/>
        <v>163</v>
      </c>
      <c r="AJ194" s="627">
        <f t="shared" si="27"/>
        <v>188</v>
      </c>
      <c r="AK194" s="627">
        <f t="shared" si="27"/>
        <v>275</v>
      </c>
      <c r="AL194" s="627">
        <f t="shared" si="27"/>
        <v>242</v>
      </c>
      <c r="AM194" s="627">
        <f t="shared" si="27"/>
        <v>188</v>
      </c>
      <c r="AN194" s="627">
        <f t="shared" si="27"/>
        <v>137</v>
      </c>
      <c r="AO194" s="627">
        <f t="shared" si="27"/>
        <v>65</v>
      </c>
      <c r="AP194" s="627">
        <f t="shared" si="27"/>
        <v>154</v>
      </c>
      <c r="AQ194" s="627">
        <f t="shared" si="27"/>
        <v>231</v>
      </c>
      <c r="AR194" s="627">
        <f t="shared" si="27"/>
        <v>1</v>
      </c>
      <c r="AS194" s="627">
        <f t="shared" si="27"/>
        <v>8</v>
      </c>
      <c r="AT194" s="627">
        <f t="shared" si="27"/>
        <v>28</v>
      </c>
      <c r="AU194" s="627">
        <f t="shared" si="29"/>
        <v>13</v>
      </c>
      <c r="AV194" s="627">
        <f t="shared" si="29"/>
        <v>144</v>
      </c>
      <c r="AW194" s="627">
        <f t="shared" si="29"/>
        <v>195</v>
      </c>
      <c r="AX194" s="627">
        <f t="shared" si="28"/>
        <v>92</v>
      </c>
      <c r="AY194" s="627">
        <f t="shared" si="28"/>
        <v>91</v>
      </c>
      <c r="AZ194" s="627">
        <f t="shared" si="28"/>
        <v>320</v>
      </c>
      <c r="BA194" s="627">
        <f t="shared" si="28"/>
        <v>184</v>
      </c>
    </row>
    <row r="195" spans="1:53">
      <c r="A195" s="105">
        <f t="shared" si="23"/>
        <v>184</v>
      </c>
      <c r="B195" s="745">
        <v>42553</v>
      </c>
      <c r="C195" s="746" t="s">
        <v>1772</v>
      </c>
      <c r="D195" s="747">
        <v>4525</v>
      </c>
      <c r="E195" s="747">
        <v>4314</v>
      </c>
      <c r="F195" s="747">
        <v>4199</v>
      </c>
      <c r="G195" s="747">
        <v>4133</v>
      </c>
      <c r="H195" s="747">
        <v>4129</v>
      </c>
      <c r="I195" s="747">
        <v>4061</v>
      </c>
      <c r="J195" s="747">
        <v>4121</v>
      </c>
      <c r="K195" s="747">
        <v>4239</v>
      </c>
      <c r="L195" s="747">
        <v>4465</v>
      </c>
      <c r="M195" s="747">
        <v>4669</v>
      </c>
      <c r="N195" s="747">
        <v>4829</v>
      </c>
      <c r="O195" s="747">
        <v>4933</v>
      </c>
      <c r="P195" s="747">
        <v>5092</v>
      </c>
      <c r="Q195" s="747">
        <v>5203</v>
      </c>
      <c r="R195" s="747">
        <v>5367</v>
      </c>
      <c r="S195" s="747">
        <v>5420</v>
      </c>
      <c r="T195" s="747">
        <v>5479</v>
      </c>
      <c r="U195" s="747">
        <v>5551</v>
      </c>
      <c r="V195" s="747">
        <v>5436</v>
      </c>
      <c r="W195" s="747">
        <v>5275</v>
      </c>
      <c r="X195" s="747">
        <v>5237</v>
      </c>
      <c r="Y195" s="747">
        <v>5189</v>
      </c>
      <c r="Z195" s="747">
        <v>4841</v>
      </c>
      <c r="AA195" s="747">
        <v>4527</v>
      </c>
      <c r="AC195" s="628">
        <f t="shared" si="24"/>
        <v>184</v>
      </c>
      <c r="AD195" s="627">
        <f t="shared" si="25"/>
        <v>289</v>
      </c>
      <c r="AE195" s="627">
        <f t="shared" si="27"/>
        <v>211</v>
      </c>
      <c r="AF195" s="627">
        <f t="shared" si="27"/>
        <v>115</v>
      </c>
      <c r="AG195" s="627">
        <f t="shared" si="27"/>
        <v>66</v>
      </c>
      <c r="AH195" s="627">
        <f t="shared" si="27"/>
        <v>4</v>
      </c>
      <c r="AI195" s="627">
        <f t="shared" si="27"/>
        <v>68</v>
      </c>
      <c r="AJ195" s="627">
        <f t="shared" si="27"/>
        <v>60</v>
      </c>
      <c r="AK195" s="627">
        <f t="shared" si="27"/>
        <v>118</v>
      </c>
      <c r="AL195" s="627">
        <f t="shared" si="27"/>
        <v>226</v>
      </c>
      <c r="AM195" s="627">
        <f t="shared" si="27"/>
        <v>204</v>
      </c>
      <c r="AN195" s="627">
        <f t="shared" si="27"/>
        <v>160</v>
      </c>
      <c r="AO195" s="627">
        <f t="shared" si="27"/>
        <v>104</v>
      </c>
      <c r="AP195" s="627">
        <f t="shared" si="27"/>
        <v>159</v>
      </c>
      <c r="AQ195" s="627">
        <f t="shared" si="27"/>
        <v>111</v>
      </c>
      <c r="AR195" s="627">
        <f t="shared" si="27"/>
        <v>164</v>
      </c>
      <c r="AS195" s="627">
        <f t="shared" si="27"/>
        <v>53</v>
      </c>
      <c r="AT195" s="627">
        <f t="shared" si="27"/>
        <v>59</v>
      </c>
      <c r="AU195" s="627">
        <f t="shared" si="29"/>
        <v>72</v>
      </c>
      <c r="AV195" s="627">
        <f t="shared" si="29"/>
        <v>115</v>
      </c>
      <c r="AW195" s="627">
        <f t="shared" si="29"/>
        <v>161</v>
      </c>
      <c r="AX195" s="627">
        <f t="shared" si="28"/>
        <v>38</v>
      </c>
      <c r="AY195" s="627">
        <f t="shared" si="28"/>
        <v>48</v>
      </c>
      <c r="AZ195" s="627">
        <f t="shared" si="28"/>
        <v>348</v>
      </c>
      <c r="BA195" s="627">
        <f t="shared" si="28"/>
        <v>314</v>
      </c>
    </row>
    <row r="196" spans="1:53">
      <c r="A196" s="105">
        <f t="shared" si="23"/>
        <v>185</v>
      </c>
      <c r="B196" s="745">
        <v>42554</v>
      </c>
      <c r="C196" s="746" t="s">
        <v>1772</v>
      </c>
      <c r="D196" s="747">
        <v>4409</v>
      </c>
      <c r="E196" s="747">
        <v>4226</v>
      </c>
      <c r="F196" s="747">
        <v>4073</v>
      </c>
      <c r="G196" s="747">
        <v>3997</v>
      </c>
      <c r="H196" s="747">
        <v>3986</v>
      </c>
      <c r="I196" s="747">
        <v>3972</v>
      </c>
      <c r="J196" s="747">
        <v>3896</v>
      </c>
      <c r="K196" s="747">
        <v>4080</v>
      </c>
      <c r="L196" s="747">
        <v>4228</v>
      </c>
      <c r="M196" s="747">
        <v>4540</v>
      </c>
      <c r="N196" s="747">
        <v>4770</v>
      </c>
      <c r="O196" s="747">
        <v>5002</v>
      </c>
      <c r="P196" s="747">
        <v>5236</v>
      </c>
      <c r="Q196" s="747">
        <v>5509</v>
      </c>
      <c r="R196" s="747">
        <v>5754</v>
      </c>
      <c r="S196" s="747">
        <v>5918</v>
      </c>
      <c r="T196" s="747">
        <v>5953</v>
      </c>
      <c r="U196" s="747">
        <v>5857</v>
      </c>
      <c r="V196" s="747">
        <v>5785</v>
      </c>
      <c r="W196" s="747">
        <v>5591</v>
      </c>
      <c r="X196" s="747">
        <v>5411</v>
      </c>
      <c r="Y196" s="747">
        <v>5303</v>
      </c>
      <c r="Z196" s="747">
        <v>4944</v>
      </c>
      <c r="AA196" s="747">
        <v>4676</v>
      </c>
      <c r="AC196" s="628">
        <f t="shared" si="24"/>
        <v>185</v>
      </c>
      <c r="AD196" s="627">
        <f t="shared" si="25"/>
        <v>118</v>
      </c>
      <c r="AE196" s="627">
        <f t="shared" si="27"/>
        <v>183</v>
      </c>
      <c r="AF196" s="627">
        <f t="shared" si="27"/>
        <v>153</v>
      </c>
      <c r="AG196" s="627">
        <f t="shared" si="27"/>
        <v>76</v>
      </c>
      <c r="AH196" s="627">
        <f t="shared" si="27"/>
        <v>11</v>
      </c>
      <c r="AI196" s="627">
        <f t="shared" si="27"/>
        <v>14</v>
      </c>
      <c r="AJ196" s="627">
        <f t="shared" si="27"/>
        <v>76</v>
      </c>
      <c r="AK196" s="627">
        <f t="shared" si="27"/>
        <v>184</v>
      </c>
      <c r="AL196" s="627">
        <f t="shared" si="27"/>
        <v>148</v>
      </c>
      <c r="AM196" s="627">
        <f t="shared" si="27"/>
        <v>312</v>
      </c>
      <c r="AN196" s="627">
        <f t="shared" si="27"/>
        <v>230</v>
      </c>
      <c r="AO196" s="627">
        <f t="shared" si="27"/>
        <v>232</v>
      </c>
      <c r="AP196" s="627">
        <f t="shared" si="27"/>
        <v>234</v>
      </c>
      <c r="AQ196" s="627">
        <f t="shared" si="27"/>
        <v>273</v>
      </c>
      <c r="AR196" s="627">
        <f t="shared" si="27"/>
        <v>245</v>
      </c>
      <c r="AS196" s="627">
        <f t="shared" si="27"/>
        <v>164</v>
      </c>
      <c r="AT196" s="627">
        <f t="shared" si="27"/>
        <v>35</v>
      </c>
      <c r="AU196" s="627">
        <f t="shared" si="29"/>
        <v>96</v>
      </c>
      <c r="AV196" s="627">
        <f t="shared" si="29"/>
        <v>72</v>
      </c>
      <c r="AW196" s="627">
        <f t="shared" si="29"/>
        <v>194</v>
      </c>
      <c r="AX196" s="627">
        <f t="shared" si="28"/>
        <v>180</v>
      </c>
      <c r="AY196" s="627">
        <f t="shared" si="28"/>
        <v>108</v>
      </c>
      <c r="AZ196" s="627">
        <f t="shared" si="28"/>
        <v>359</v>
      </c>
      <c r="BA196" s="627">
        <f t="shared" si="28"/>
        <v>268</v>
      </c>
    </row>
    <row r="197" spans="1:53">
      <c r="A197" s="105">
        <f t="shared" si="23"/>
        <v>186</v>
      </c>
      <c r="B197" s="745">
        <v>42555</v>
      </c>
      <c r="C197" s="746" t="s">
        <v>1772</v>
      </c>
      <c r="D197" s="747">
        <v>4467</v>
      </c>
      <c r="E197" s="747">
        <v>4245</v>
      </c>
      <c r="F197" s="747">
        <v>4116</v>
      </c>
      <c r="G197" s="747">
        <v>4037</v>
      </c>
      <c r="H197" s="747">
        <v>4046</v>
      </c>
      <c r="I197" s="747">
        <v>3952</v>
      </c>
      <c r="J197" s="747">
        <v>4016</v>
      </c>
      <c r="K197" s="747">
        <v>4132</v>
      </c>
      <c r="L197" s="747">
        <v>4436</v>
      </c>
      <c r="M197" s="747">
        <v>4799</v>
      </c>
      <c r="N197" s="747">
        <v>5254</v>
      </c>
      <c r="O197" s="747">
        <v>5594</v>
      </c>
      <c r="P197" s="747">
        <v>5922</v>
      </c>
      <c r="Q197" s="747">
        <v>6209</v>
      </c>
      <c r="R197" s="747">
        <v>6392</v>
      </c>
      <c r="S197" s="747">
        <v>6584</v>
      </c>
      <c r="T197" s="747">
        <v>6697</v>
      </c>
      <c r="U197" s="747">
        <v>6814</v>
      </c>
      <c r="V197" s="747">
        <v>6621</v>
      </c>
      <c r="W197" s="747">
        <v>6246</v>
      </c>
      <c r="X197" s="747">
        <v>5947</v>
      </c>
      <c r="Y197" s="747">
        <v>5667</v>
      </c>
      <c r="Z197" s="747">
        <v>5362</v>
      </c>
      <c r="AA197" s="747">
        <v>5079</v>
      </c>
      <c r="AC197" s="628">
        <f t="shared" si="24"/>
        <v>186</v>
      </c>
      <c r="AD197" s="627">
        <f t="shared" si="25"/>
        <v>209</v>
      </c>
      <c r="AE197" s="627">
        <f t="shared" si="27"/>
        <v>222</v>
      </c>
      <c r="AF197" s="627">
        <f t="shared" si="27"/>
        <v>129</v>
      </c>
      <c r="AG197" s="627">
        <f t="shared" si="27"/>
        <v>79</v>
      </c>
      <c r="AH197" s="627">
        <f t="shared" si="27"/>
        <v>9</v>
      </c>
      <c r="AI197" s="627">
        <f t="shared" si="27"/>
        <v>94</v>
      </c>
      <c r="AJ197" s="627">
        <f t="shared" si="27"/>
        <v>64</v>
      </c>
      <c r="AK197" s="627">
        <f t="shared" si="27"/>
        <v>116</v>
      </c>
      <c r="AL197" s="627">
        <f t="shared" si="27"/>
        <v>304</v>
      </c>
      <c r="AM197" s="627">
        <f t="shared" si="27"/>
        <v>363</v>
      </c>
      <c r="AN197" s="627">
        <f t="shared" si="27"/>
        <v>455</v>
      </c>
      <c r="AO197" s="627">
        <f t="shared" si="27"/>
        <v>340</v>
      </c>
      <c r="AP197" s="627">
        <f t="shared" si="27"/>
        <v>328</v>
      </c>
      <c r="AQ197" s="627">
        <f t="shared" si="27"/>
        <v>287</v>
      </c>
      <c r="AR197" s="627">
        <f t="shared" si="27"/>
        <v>183</v>
      </c>
      <c r="AS197" s="627">
        <f t="shared" si="27"/>
        <v>192</v>
      </c>
      <c r="AT197" s="627">
        <f t="shared" si="27"/>
        <v>113</v>
      </c>
      <c r="AU197" s="627">
        <f t="shared" si="29"/>
        <v>117</v>
      </c>
      <c r="AV197" s="627">
        <f t="shared" si="29"/>
        <v>193</v>
      </c>
      <c r="AW197" s="627">
        <f t="shared" si="29"/>
        <v>375</v>
      </c>
      <c r="AX197" s="627">
        <f t="shared" si="28"/>
        <v>299</v>
      </c>
      <c r="AY197" s="627">
        <f t="shared" si="28"/>
        <v>280</v>
      </c>
      <c r="AZ197" s="627">
        <f t="shared" si="28"/>
        <v>305</v>
      </c>
      <c r="BA197" s="627">
        <f t="shared" si="28"/>
        <v>283</v>
      </c>
    </row>
    <row r="198" spans="1:53">
      <c r="A198" s="105">
        <f t="shared" si="23"/>
        <v>187</v>
      </c>
      <c r="B198" s="745">
        <v>42556</v>
      </c>
      <c r="C198" s="746" t="s">
        <v>1772</v>
      </c>
      <c r="D198" s="747">
        <v>4713</v>
      </c>
      <c r="E198" s="747">
        <v>4517</v>
      </c>
      <c r="F198" s="747">
        <v>4340</v>
      </c>
      <c r="G198" s="747">
        <v>4267</v>
      </c>
      <c r="H198" s="747">
        <v>4291</v>
      </c>
      <c r="I198" s="747">
        <v>4334</v>
      </c>
      <c r="J198" s="747">
        <v>4586</v>
      </c>
      <c r="K198" s="747">
        <v>4933</v>
      </c>
      <c r="L198" s="747">
        <v>5353</v>
      </c>
      <c r="M198" s="747">
        <v>5733</v>
      </c>
      <c r="N198" s="747">
        <v>6200</v>
      </c>
      <c r="O198" s="747">
        <v>6573</v>
      </c>
      <c r="P198" s="747">
        <v>6674</v>
      </c>
      <c r="Q198" s="747">
        <v>6925</v>
      </c>
      <c r="R198" s="747">
        <v>7039</v>
      </c>
      <c r="S198" s="747">
        <v>7169</v>
      </c>
      <c r="T198" s="747">
        <v>7281</v>
      </c>
      <c r="U198" s="747">
        <v>7299</v>
      </c>
      <c r="V198" s="747">
        <v>7226</v>
      </c>
      <c r="W198" s="747">
        <v>6978</v>
      </c>
      <c r="X198" s="747">
        <v>6651</v>
      </c>
      <c r="Y198" s="747">
        <v>6314</v>
      </c>
      <c r="Z198" s="747">
        <v>5685</v>
      </c>
      <c r="AA198" s="747">
        <v>5167</v>
      </c>
      <c r="AC198" s="628">
        <f t="shared" si="24"/>
        <v>187</v>
      </c>
      <c r="AD198" s="627">
        <f t="shared" si="25"/>
        <v>366</v>
      </c>
      <c r="AE198" s="627">
        <f t="shared" si="27"/>
        <v>196</v>
      </c>
      <c r="AF198" s="627">
        <f t="shared" si="27"/>
        <v>177</v>
      </c>
      <c r="AG198" s="627">
        <f t="shared" si="27"/>
        <v>73</v>
      </c>
      <c r="AH198" s="627">
        <f t="shared" si="27"/>
        <v>24</v>
      </c>
      <c r="AI198" s="627">
        <f t="shared" si="27"/>
        <v>43</v>
      </c>
      <c r="AJ198" s="627">
        <f t="shared" si="27"/>
        <v>252</v>
      </c>
      <c r="AK198" s="627">
        <f t="shared" si="27"/>
        <v>347</v>
      </c>
      <c r="AL198" s="627">
        <f t="shared" si="27"/>
        <v>420</v>
      </c>
      <c r="AM198" s="627">
        <f t="shared" si="27"/>
        <v>380</v>
      </c>
      <c r="AN198" s="627">
        <f t="shared" si="27"/>
        <v>467</v>
      </c>
      <c r="AO198" s="627">
        <f t="shared" si="27"/>
        <v>373</v>
      </c>
      <c r="AP198" s="627">
        <f t="shared" si="27"/>
        <v>101</v>
      </c>
      <c r="AQ198" s="627">
        <f t="shared" si="27"/>
        <v>251</v>
      </c>
      <c r="AR198" s="627">
        <f t="shared" si="27"/>
        <v>114</v>
      </c>
      <c r="AS198" s="627">
        <f t="shared" si="27"/>
        <v>130</v>
      </c>
      <c r="AT198" s="627">
        <f t="shared" si="27"/>
        <v>112</v>
      </c>
      <c r="AU198" s="627">
        <f t="shared" si="29"/>
        <v>18</v>
      </c>
      <c r="AV198" s="627">
        <f t="shared" si="29"/>
        <v>73</v>
      </c>
      <c r="AW198" s="627">
        <f t="shared" si="29"/>
        <v>248</v>
      </c>
      <c r="AX198" s="627">
        <f t="shared" si="28"/>
        <v>327</v>
      </c>
      <c r="AY198" s="627">
        <f t="shared" si="28"/>
        <v>337</v>
      </c>
      <c r="AZ198" s="627">
        <f t="shared" si="28"/>
        <v>629</v>
      </c>
      <c r="BA198" s="627">
        <f t="shared" si="28"/>
        <v>518</v>
      </c>
    </row>
    <row r="199" spans="1:53">
      <c r="A199" s="105">
        <f t="shared" si="23"/>
        <v>188</v>
      </c>
      <c r="B199" s="745">
        <v>42557</v>
      </c>
      <c r="C199" s="746" t="s">
        <v>1772</v>
      </c>
      <c r="D199" s="747">
        <v>4879</v>
      </c>
      <c r="E199" s="747">
        <v>4630</v>
      </c>
      <c r="F199" s="747">
        <v>4453</v>
      </c>
      <c r="G199" s="747">
        <v>4377</v>
      </c>
      <c r="H199" s="747">
        <v>4365</v>
      </c>
      <c r="I199" s="747">
        <v>4402</v>
      </c>
      <c r="J199" s="747">
        <v>4649</v>
      </c>
      <c r="K199" s="747">
        <v>4974</v>
      </c>
      <c r="L199" s="747">
        <v>5355</v>
      </c>
      <c r="M199" s="747">
        <v>5742</v>
      </c>
      <c r="N199" s="747">
        <v>6148</v>
      </c>
      <c r="O199" s="747">
        <v>6510</v>
      </c>
      <c r="P199" s="747">
        <v>6849</v>
      </c>
      <c r="Q199" s="747">
        <v>7170</v>
      </c>
      <c r="R199" s="747">
        <v>7386</v>
      </c>
      <c r="S199" s="747">
        <v>7523</v>
      </c>
      <c r="T199" s="747">
        <v>7672</v>
      </c>
      <c r="U199" s="747">
        <v>7765</v>
      </c>
      <c r="V199" s="747">
        <v>7663</v>
      </c>
      <c r="W199" s="747">
        <v>7422</v>
      </c>
      <c r="X199" s="747">
        <v>7063</v>
      </c>
      <c r="Y199" s="747">
        <v>6759</v>
      </c>
      <c r="Z199" s="747">
        <v>6054</v>
      </c>
      <c r="AA199" s="747">
        <v>5409</v>
      </c>
      <c r="AC199" s="628">
        <f t="shared" si="24"/>
        <v>188</v>
      </c>
      <c r="AD199" s="627">
        <f t="shared" si="25"/>
        <v>288</v>
      </c>
      <c r="AE199" s="627">
        <f t="shared" si="27"/>
        <v>249</v>
      </c>
      <c r="AF199" s="627">
        <f t="shared" si="27"/>
        <v>177</v>
      </c>
      <c r="AG199" s="627">
        <f t="shared" si="27"/>
        <v>76</v>
      </c>
      <c r="AH199" s="627">
        <f t="shared" si="27"/>
        <v>12</v>
      </c>
      <c r="AI199" s="627">
        <f t="shared" si="27"/>
        <v>37</v>
      </c>
      <c r="AJ199" s="627">
        <f t="shared" si="27"/>
        <v>247</v>
      </c>
      <c r="AK199" s="627">
        <f t="shared" si="27"/>
        <v>325</v>
      </c>
      <c r="AL199" s="627">
        <f t="shared" si="27"/>
        <v>381</v>
      </c>
      <c r="AM199" s="627">
        <f t="shared" si="27"/>
        <v>387</v>
      </c>
      <c r="AN199" s="627">
        <f t="shared" si="27"/>
        <v>406</v>
      </c>
      <c r="AO199" s="627">
        <f t="shared" si="27"/>
        <v>362</v>
      </c>
      <c r="AP199" s="627">
        <f t="shared" si="27"/>
        <v>339</v>
      </c>
      <c r="AQ199" s="627">
        <f t="shared" ref="AQ199:AW230" si="30">ABS(Q199-P199)</f>
        <v>321</v>
      </c>
      <c r="AR199" s="627">
        <f t="shared" si="30"/>
        <v>216</v>
      </c>
      <c r="AS199" s="627">
        <f t="shared" si="30"/>
        <v>137</v>
      </c>
      <c r="AT199" s="627">
        <f t="shared" si="30"/>
        <v>149</v>
      </c>
      <c r="AU199" s="627">
        <f t="shared" si="29"/>
        <v>93</v>
      </c>
      <c r="AV199" s="627">
        <f t="shared" si="29"/>
        <v>102</v>
      </c>
      <c r="AW199" s="627">
        <f t="shared" si="29"/>
        <v>241</v>
      </c>
      <c r="AX199" s="627">
        <f t="shared" si="28"/>
        <v>359</v>
      </c>
      <c r="AY199" s="627">
        <f t="shared" si="28"/>
        <v>304</v>
      </c>
      <c r="AZ199" s="627">
        <f t="shared" si="28"/>
        <v>705</v>
      </c>
      <c r="BA199" s="627">
        <f t="shared" si="28"/>
        <v>645</v>
      </c>
    </row>
    <row r="200" spans="1:53">
      <c r="A200" s="105">
        <f t="shared" si="23"/>
        <v>189</v>
      </c>
      <c r="B200" s="745">
        <v>42558</v>
      </c>
      <c r="C200" s="746" t="s">
        <v>1772</v>
      </c>
      <c r="D200" s="747">
        <v>5015</v>
      </c>
      <c r="E200" s="747">
        <v>4711</v>
      </c>
      <c r="F200" s="747">
        <v>4596</v>
      </c>
      <c r="G200" s="747">
        <v>4484</v>
      </c>
      <c r="H200" s="747">
        <v>4504</v>
      </c>
      <c r="I200" s="747">
        <v>4530</v>
      </c>
      <c r="J200" s="747">
        <v>4756</v>
      </c>
      <c r="K200" s="747">
        <v>5106</v>
      </c>
      <c r="L200" s="747">
        <v>5399</v>
      </c>
      <c r="M200" s="747">
        <v>5744</v>
      </c>
      <c r="N200" s="747">
        <v>5978</v>
      </c>
      <c r="O200" s="747">
        <v>6197</v>
      </c>
      <c r="P200" s="747">
        <v>6506</v>
      </c>
      <c r="Q200" s="747">
        <v>6718</v>
      </c>
      <c r="R200" s="747">
        <v>6998</v>
      </c>
      <c r="S200" s="747">
        <v>7338</v>
      </c>
      <c r="T200" s="747">
        <v>7586</v>
      </c>
      <c r="U200" s="747">
        <v>7615</v>
      </c>
      <c r="V200" s="747">
        <v>7539</v>
      </c>
      <c r="W200" s="747">
        <v>7307</v>
      </c>
      <c r="X200" s="747">
        <v>6974</v>
      </c>
      <c r="Y200" s="747">
        <v>6663</v>
      </c>
      <c r="Z200" s="747">
        <v>6083</v>
      </c>
      <c r="AA200" s="747">
        <v>5521</v>
      </c>
      <c r="AC200" s="628">
        <f t="shared" si="24"/>
        <v>189</v>
      </c>
      <c r="AD200" s="627">
        <f t="shared" si="25"/>
        <v>394</v>
      </c>
      <c r="AE200" s="627">
        <f t="shared" ref="AE200:AP221" si="31">ABS(E200-D200)</f>
        <v>304</v>
      </c>
      <c r="AF200" s="627">
        <f t="shared" si="31"/>
        <v>115</v>
      </c>
      <c r="AG200" s="627">
        <f t="shared" si="31"/>
        <v>112</v>
      </c>
      <c r="AH200" s="627">
        <f t="shared" si="31"/>
        <v>20</v>
      </c>
      <c r="AI200" s="627">
        <f t="shared" si="31"/>
        <v>26</v>
      </c>
      <c r="AJ200" s="627">
        <f t="shared" si="31"/>
        <v>226</v>
      </c>
      <c r="AK200" s="627">
        <f t="shared" si="31"/>
        <v>350</v>
      </c>
      <c r="AL200" s="627">
        <f t="shared" si="31"/>
        <v>293</v>
      </c>
      <c r="AM200" s="627">
        <f t="shared" si="31"/>
        <v>345</v>
      </c>
      <c r="AN200" s="627">
        <f t="shared" si="31"/>
        <v>234</v>
      </c>
      <c r="AO200" s="627">
        <f t="shared" si="31"/>
        <v>219</v>
      </c>
      <c r="AP200" s="627">
        <f t="shared" si="31"/>
        <v>309</v>
      </c>
      <c r="AQ200" s="627">
        <f t="shared" si="30"/>
        <v>212</v>
      </c>
      <c r="AR200" s="627">
        <f t="shared" si="30"/>
        <v>280</v>
      </c>
      <c r="AS200" s="627">
        <f t="shared" si="30"/>
        <v>340</v>
      </c>
      <c r="AT200" s="627">
        <f t="shared" si="30"/>
        <v>248</v>
      </c>
      <c r="AU200" s="627">
        <f t="shared" si="29"/>
        <v>29</v>
      </c>
      <c r="AV200" s="627">
        <f t="shared" si="29"/>
        <v>76</v>
      </c>
      <c r="AW200" s="627">
        <f t="shared" si="29"/>
        <v>232</v>
      </c>
      <c r="AX200" s="627">
        <f t="shared" si="28"/>
        <v>333</v>
      </c>
      <c r="AY200" s="627">
        <f t="shared" si="28"/>
        <v>311</v>
      </c>
      <c r="AZ200" s="627">
        <f t="shared" si="28"/>
        <v>580</v>
      </c>
      <c r="BA200" s="627">
        <f t="shared" si="28"/>
        <v>562</v>
      </c>
    </row>
    <row r="201" spans="1:53">
      <c r="A201" s="105">
        <f t="shared" si="23"/>
        <v>190</v>
      </c>
      <c r="B201" s="745">
        <v>42559</v>
      </c>
      <c r="C201" s="746" t="s">
        <v>1772</v>
      </c>
      <c r="D201" s="747">
        <v>5197</v>
      </c>
      <c r="E201" s="747">
        <v>4918</v>
      </c>
      <c r="F201" s="747">
        <v>4692</v>
      </c>
      <c r="G201" s="747">
        <v>4569</v>
      </c>
      <c r="H201" s="747">
        <v>4549</v>
      </c>
      <c r="I201" s="747">
        <v>4613</v>
      </c>
      <c r="J201" s="747">
        <v>4825</v>
      </c>
      <c r="K201" s="747">
        <v>5159</v>
      </c>
      <c r="L201" s="747">
        <v>5511</v>
      </c>
      <c r="M201" s="747">
        <v>5796</v>
      </c>
      <c r="N201" s="747">
        <v>6221</v>
      </c>
      <c r="O201" s="747">
        <v>6558</v>
      </c>
      <c r="P201" s="747">
        <v>6867</v>
      </c>
      <c r="Q201" s="747">
        <v>7072</v>
      </c>
      <c r="R201" s="747">
        <v>7101</v>
      </c>
      <c r="S201" s="747">
        <v>7007</v>
      </c>
      <c r="T201" s="747">
        <v>7046</v>
      </c>
      <c r="U201" s="747">
        <v>7030</v>
      </c>
      <c r="V201" s="747">
        <v>6869</v>
      </c>
      <c r="W201" s="747">
        <v>6608</v>
      </c>
      <c r="X201" s="747">
        <v>6331</v>
      </c>
      <c r="Y201" s="747">
        <v>6091</v>
      </c>
      <c r="Z201" s="747">
        <v>5551</v>
      </c>
      <c r="AA201" s="747">
        <v>5166</v>
      </c>
      <c r="AC201" s="628">
        <f t="shared" si="24"/>
        <v>190</v>
      </c>
      <c r="AD201" s="627">
        <f t="shared" si="25"/>
        <v>324</v>
      </c>
      <c r="AE201" s="627">
        <f t="shared" si="31"/>
        <v>279</v>
      </c>
      <c r="AF201" s="627">
        <f t="shared" si="31"/>
        <v>226</v>
      </c>
      <c r="AG201" s="627">
        <f t="shared" si="31"/>
        <v>123</v>
      </c>
      <c r="AH201" s="627">
        <f t="shared" si="31"/>
        <v>20</v>
      </c>
      <c r="AI201" s="627">
        <f t="shared" si="31"/>
        <v>64</v>
      </c>
      <c r="AJ201" s="627">
        <f t="shared" si="31"/>
        <v>212</v>
      </c>
      <c r="AK201" s="627">
        <f t="shared" si="31"/>
        <v>334</v>
      </c>
      <c r="AL201" s="627">
        <f t="shared" si="31"/>
        <v>352</v>
      </c>
      <c r="AM201" s="627">
        <f t="shared" si="31"/>
        <v>285</v>
      </c>
      <c r="AN201" s="627">
        <f t="shared" si="31"/>
        <v>425</v>
      </c>
      <c r="AO201" s="627">
        <f t="shared" si="31"/>
        <v>337</v>
      </c>
      <c r="AP201" s="627">
        <f t="shared" si="31"/>
        <v>309</v>
      </c>
      <c r="AQ201" s="627">
        <f t="shared" si="30"/>
        <v>205</v>
      </c>
      <c r="AR201" s="627">
        <f t="shared" si="30"/>
        <v>29</v>
      </c>
      <c r="AS201" s="627">
        <f t="shared" si="30"/>
        <v>94</v>
      </c>
      <c r="AT201" s="627">
        <f t="shared" si="30"/>
        <v>39</v>
      </c>
      <c r="AU201" s="627">
        <f t="shared" si="29"/>
        <v>16</v>
      </c>
      <c r="AV201" s="627">
        <f t="shared" si="29"/>
        <v>161</v>
      </c>
      <c r="AW201" s="627">
        <f t="shared" si="29"/>
        <v>261</v>
      </c>
      <c r="AX201" s="627">
        <f t="shared" si="28"/>
        <v>277</v>
      </c>
      <c r="AY201" s="627">
        <f t="shared" si="28"/>
        <v>240</v>
      </c>
      <c r="AZ201" s="627">
        <f t="shared" si="28"/>
        <v>540</v>
      </c>
      <c r="BA201" s="627">
        <f t="shared" si="28"/>
        <v>385</v>
      </c>
    </row>
    <row r="202" spans="1:53">
      <c r="A202" s="105">
        <f t="shared" si="23"/>
        <v>191</v>
      </c>
      <c r="B202" s="745">
        <v>42560</v>
      </c>
      <c r="C202" s="746" t="s">
        <v>1772</v>
      </c>
      <c r="D202" s="747">
        <v>4870</v>
      </c>
      <c r="E202" s="747">
        <v>4608</v>
      </c>
      <c r="F202" s="747">
        <v>4422</v>
      </c>
      <c r="G202" s="747">
        <v>4300</v>
      </c>
      <c r="H202" s="747">
        <v>4148</v>
      </c>
      <c r="I202" s="747">
        <v>4117</v>
      </c>
      <c r="J202" s="747">
        <v>4216</v>
      </c>
      <c r="K202" s="747">
        <v>4443</v>
      </c>
      <c r="L202" s="747">
        <v>4848</v>
      </c>
      <c r="M202" s="747">
        <v>5295</v>
      </c>
      <c r="N202" s="747">
        <v>5790</v>
      </c>
      <c r="O202" s="747">
        <v>6218</v>
      </c>
      <c r="P202" s="747">
        <v>6538</v>
      </c>
      <c r="Q202" s="747">
        <v>6823</v>
      </c>
      <c r="R202" s="747">
        <v>7099</v>
      </c>
      <c r="S202" s="747">
        <v>7358</v>
      </c>
      <c r="T202" s="747">
        <v>7530</v>
      </c>
      <c r="U202" s="747">
        <v>7634</v>
      </c>
      <c r="V202" s="747">
        <v>7590</v>
      </c>
      <c r="W202" s="747">
        <v>7330</v>
      </c>
      <c r="X202" s="747">
        <v>6992</v>
      </c>
      <c r="Y202" s="747">
        <v>6738</v>
      </c>
      <c r="Z202" s="747">
        <v>6231</v>
      </c>
      <c r="AA202" s="747">
        <v>5787</v>
      </c>
      <c r="AC202" s="628">
        <f t="shared" si="24"/>
        <v>191</v>
      </c>
      <c r="AD202" s="627">
        <f t="shared" si="25"/>
        <v>296</v>
      </c>
      <c r="AE202" s="627">
        <f t="shared" si="31"/>
        <v>262</v>
      </c>
      <c r="AF202" s="627">
        <f t="shared" si="31"/>
        <v>186</v>
      </c>
      <c r="AG202" s="627">
        <f t="shared" si="31"/>
        <v>122</v>
      </c>
      <c r="AH202" s="627">
        <f t="shared" si="31"/>
        <v>152</v>
      </c>
      <c r="AI202" s="627">
        <f t="shared" si="31"/>
        <v>31</v>
      </c>
      <c r="AJ202" s="627">
        <f t="shared" si="31"/>
        <v>99</v>
      </c>
      <c r="AK202" s="627">
        <f t="shared" si="31"/>
        <v>227</v>
      </c>
      <c r="AL202" s="627">
        <f t="shared" si="31"/>
        <v>405</v>
      </c>
      <c r="AM202" s="627">
        <f t="shared" si="31"/>
        <v>447</v>
      </c>
      <c r="AN202" s="627">
        <f t="shared" si="31"/>
        <v>495</v>
      </c>
      <c r="AO202" s="627">
        <f t="shared" si="31"/>
        <v>428</v>
      </c>
      <c r="AP202" s="627">
        <f t="shared" si="31"/>
        <v>320</v>
      </c>
      <c r="AQ202" s="627">
        <f t="shared" si="30"/>
        <v>285</v>
      </c>
      <c r="AR202" s="627">
        <f t="shared" si="30"/>
        <v>276</v>
      </c>
      <c r="AS202" s="627">
        <f t="shared" si="30"/>
        <v>259</v>
      </c>
      <c r="AT202" s="627">
        <f t="shared" si="30"/>
        <v>172</v>
      </c>
      <c r="AU202" s="627">
        <f t="shared" si="29"/>
        <v>104</v>
      </c>
      <c r="AV202" s="627">
        <f t="shared" si="29"/>
        <v>44</v>
      </c>
      <c r="AW202" s="627">
        <f t="shared" si="29"/>
        <v>260</v>
      </c>
      <c r="AX202" s="627">
        <f t="shared" si="28"/>
        <v>338</v>
      </c>
      <c r="AY202" s="627">
        <f t="shared" si="28"/>
        <v>254</v>
      </c>
      <c r="AZ202" s="627">
        <f t="shared" si="28"/>
        <v>507</v>
      </c>
      <c r="BA202" s="627">
        <f t="shared" si="28"/>
        <v>444</v>
      </c>
    </row>
    <row r="203" spans="1:53">
      <c r="A203" s="105">
        <f t="shared" si="23"/>
        <v>192</v>
      </c>
      <c r="B203" s="745">
        <v>42561</v>
      </c>
      <c r="C203" s="746" t="s">
        <v>1772</v>
      </c>
      <c r="D203" s="747">
        <v>5386</v>
      </c>
      <c r="E203" s="747">
        <v>5021</v>
      </c>
      <c r="F203" s="747">
        <v>4760</v>
      </c>
      <c r="G203" s="747">
        <v>4596</v>
      </c>
      <c r="H203" s="747">
        <v>4385</v>
      </c>
      <c r="I203" s="747">
        <v>4353</v>
      </c>
      <c r="J203" s="747">
        <v>4271</v>
      </c>
      <c r="K203" s="747">
        <v>4499</v>
      </c>
      <c r="L203" s="747">
        <v>4965</v>
      </c>
      <c r="M203" s="747">
        <v>5507</v>
      </c>
      <c r="N203" s="747">
        <v>6050</v>
      </c>
      <c r="O203" s="747">
        <v>6491</v>
      </c>
      <c r="P203" s="747">
        <v>6814</v>
      </c>
      <c r="Q203" s="747">
        <v>7132</v>
      </c>
      <c r="R203" s="747">
        <v>7393</v>
      </c>
      <c r="S203" s="747">
        <v>7621</v>
      </c>
      <c r="T203" s="747">
        <v>7825</v>
      </c>
      <c r="U203" s="747">
        <v>7965</v>
      </c>
      <c r="V203" s="747">
        <v>7924</v>
      </c>
      <c r="W203" s="747">
        <v>7715</v>
      </c>
      <c r="X203" s="747">
        <v>7380</v>
      </c>
      <c r="Y203" s="747">
        <v>7089</v>
      </c>
      <c r="Z203" s="747">
        <v>6412</v>
      </c>
      <c r="AA203" s="747">
        <v>5737</v>
      </c>
      <c r="AC203" s="628">
        <f t="shared" si="24"/>
        <v>192</v>
      </c>
      <c r="AD203" s="627">
        <f t="shared" si="25"/>
        <v>401</v>
      </c>
      <c r="AE203" s="627">
        <f t="shared" si="31"/>
        <v>365</v>
      </c>
      <c r="AF203" s="627">
        <f t="shared" si="31"/>
        <v>261</v>
      </c>
      <c r="AG203" s="627">
        <f t="shared" si="31"/>
        <v>164</v>
      </c>
      <c r="AH203" s="627">
        <f t="shared" si="31"/>
        <v>211</v>
      </c>
      <c r="AI203" s="627">
        <f t="shared" si="31"/>
        <v>32</v>
      </c>
      <c r="AJ203" s="627">
        <f t="shared" si="31"/>
        <v>82</v>
      </c>
      <c r="AK203" s="627">
        <f t="shared" si="31"/>
        <v>228</v>
      </c>
      <c r="AL203" s="627">
        <f t="shared" si="31"/>
        <v>466</v>
      </c>
      <c r="AM203" s="627">
        <f t="shared" si="31"/>
        <v>542</v>
      </c>
      <c r="AN203" s="627">
        <f t="shared" si="31"/>
        <v>543</v>
      </c>
      <c r="AO203" s="627">
        <f t="shared" si="31"/>
        <v>441</v>
      </c>
      <c r="AP203" s="627">
        <f t="shared" si="31"/>
        <v>323</v>
      </c>
      <c r="AQ203" s="627">
        <f t="shared" si="30"/>
        <v>318</v>
      </c>
      <c r="AR203" s="627">
        <f t="shared" si="30"/>
        <v>261</v>
      </c>
      <c r="AS203" s="627">
        <f t="shared" si="30"/>
        <v>228</v>
      </c>
      <c r="AT203" s="627">
        <f t="shared" si="30"/>
        <v>204</v>
      </c>
      <c r="AU203" s="627">
        <f t="shared" si="29"/>
        <v>140</v>
      </c>
      <c r="AV203" s="627">
        <f t="shared" si="29"/>
        <v>41</v>
      </c>
      <c r="AW203" s="627">
        <f t="shared" si="29"/>
        <v>209</v>
      </c>
      <c r="AX203" s="627">
        <f t="shared" si="28"/>
        <v>335</v>
      </c>
      <c r="AY203" s="627">
        <f t="shared" si="28"/>
        <v>291</v>
      </c>
      <c r="AZ203" s="627">
        <f t="shared" si="28"/>
        <v>677</v>
      </c>
      <c r="BA203" s="627">
        <f t="shared" si="28"/>
        <v>675</v>
      </c>
    </row>
    <row r="204" spans="1:53">
      <c r="A204" s="105">
        <f t="shared" si="23"/>
        <v>193</v>
      </c>
      <c r="B204" s="745">
        <v>42562</v>
      </c>
      <c r="C204" s="746" t="s">
        <v>1772</v>
      </c>
      <c r="D204" s="747">
        <v>5333</v>
      </c>
      <c r="E204" s="747">
        <v>5037</v>
      </c>
      <c r="F204" s="747">
        <v>4848</v>
      </c>
      <c r="G204" s="747">
        <v>4719</v>
      </c>
      <c r="H204" s="747">
        <v>4718</v>
      </c>
      <c r="I204" s="747">
        <v>4826</v>
      </c>
      <c r="J204" s="747">
        <v>4988</v>
      </c>
      <c r="K204" s="747">
        <v>5318</v>
      </c>
      <c r="L204" s="747">
        <v>5676</v>
      </c>
      <c r="M204" s="747">
        <v>5843</v>
      </c>
      <c r="N204" s="747">
        <v>6082</v>
      </c>
      <c r="O204" s="747">
        <v>6338</v>
      </c>
      <c r="P204" s="747">
        <v>6546</v>
      </c>
      <c r="Q204" s="747">
        <v>6828</v>
      </c>
      <c r="R204" s="747">
        <v>7089</v>
      </c>
      <c r="S204" s="747">
        <v>7355</v>
      </c>
      <c r="T204" s="747">
        <v>7550</v>
      </c>
      <c r="U204" s="747">
        <v>7623</v>
      </c>
      <c r="V204" s="747">
        <v>7517</v>
      </c>
      <c r="W204" s="747">
        <v>7266</v>
      </c>
      <c r="X204" s="747">
        <v>6895</v>
      </c>
      <c r="Y204" s="747">
        <v>6582</v>
      </c>
      <c r="Z204" s="747">
        <v>6022</v>
      </c>
      <c r="AA204" s="747">
        <v>5519</v>
      </c>
      <c r="AC204" s="628">
        <f t="shared" si="24"/>
        <v>193</v>
      </c>
      <c r="AD204" s="627">
        <f t="shared" si="25"/>
        <v>404</v>
      </c>
      <c r="AE204" s="627">
        <f t="shared" si="31"/>
        <v>296</v>
      </c>
      <c r="AF204" s="627">
        <f t="shared" si="31"/>
        <v>189</v>
      </c>
      <c r="AG204" s="627">
        <f t="shared" si="31"/>
        <v>129</v>
      </c>
      <c r="AH204" s="627">
        <f t="shared" si="31"/>
        <v>1</v>
      </c>
      <c r="AI204" s="627">
        <f t="shared" si="31"/>
        <v>108</v>
      </c>
      <c r="AJ204" s="627">
        <f t="shared" si="31"/>
        <v>162</v>
      </c>
      <c r="AK204" s="627">
        <f t="shared" si="31"/>
        <v>330</v>
      </c>
      <c r="AL204" s="627">
        <f t="shared" si="31"/>
        <v>358</v>
      </c>
      <c r="AM204" s="627">
        <f t="shared" si="31"/>
        <v>167</v>
      </c>
      <c r="AN204" s="627">
        <f t="shared" si="31"/>
        <v>239</v>
      </c>
      <c r="AO204" s="627">
        <f t="shared" si="31"/>
        <v>256</v>
      </c>
      <c r="AP204" s="627">
        <f t="shared" si="31"/>
        <v>208</v>
      </c>
      <c r="AQ204" s="627">
        <f t="shared" si="30"/>
        <v>282</v>
      </c>
      <c r="AR204" s="627">
        <f t="shared" si="30"/>
        <v>261</v>
      </c>
      <c r="AS204" s="627">
        <f t="shared" si="30"/>
        <v>266</v>
      </c>
      <c r="AT204" s="627">
        <f t="shared" si="30"/>
        <v>195</v>
      </c>
      <c r="AU204" s="627">
        <f t="shared" si="29"/>
        <v>73</v>
      </c>
      <c r="AV204" s="627">
        <f t="shared" si="29"/>
        <v>106</v>
      </c>
      <c r="AW204" s="627">
        <f t="shared" si="29"/>
        <v>251</v>
      </c>
      <c r="AX204" s="627">
        <f t="shared" si="28"/>
        <v>371</v>
      </c>
      <c r="AY204" s="627">
        <f t="shared" si="28"/>
        <v>313</v>
      </c>
      <c r="AZ204" s="627">
        <f t="shared" si="28"/>
        <v>560</v>
      </c>
      <c r="BA204" s="627">
        <f t="shared" si="28"/>
        <v>503</v>
      </c>
    </row>
    <row r="205" spans="1:53">
      <c r="A205" s="105">
        <f t="shared" si="23"/>
        <v>194</v>
      </c>
      <c r="B205" s="745">
        <v>42563</v>
      </c>
      <c r="C205" s="746" t="s">
        <v>1772</v>
      </c>
      <c r="D205" s="747">
        <v>5096</v>
      </c>
      <c r="E205" s="747">
        <v>4772</v>
      </c>
      <c r="F205" s="747">
        <v>4602</v>
      </c>
      <c r="G205" s="747">
        <v>4537</v>
      </c>
      <c r="H205" s="747">
        <v>4433</v>
      </c>
      <c r="I205" s="747">
        <v>4583</v>
      </c>
      <c r="J205" s="747">
        <v>4753</v>
      </c>
      <c r="K205" s="747">
        <v>5099</v>
      </c>
      <c r="L205" s="747">
        <v>5411</v>
      </c>
      <c r="M205" s="747">
        <v>5693</v>
      </c>
      <c r="N205" s="747">
        <v>5990</v>
      </c>
      <c r="O205" s="747">
        <v>6263</v>
      </c>
      <c r="P205" s="747">
        <v>6559</v>
      </c>
      <c r="Q205" s="747">
        <v>6870</v>
      </c>
      <c r="R205" s="747">
        <v>7197</v>
      </c>
      <c r="S205" s="747">
        <v>7491</v>
      </c>
      <c r="T205" s="747">
        <v>7756</v>
      </c>
      <c r="U205" s="747">
        <v>7843</v>
      </c>
      <c r="V205" s="747">
        <v>7686</v>
      </c>
      <c r="W205" s="747">
        <v>7441</v>
      </c>
      <c r="X205" s="747">
        <v>7123</v>
      </c>
      <c r="Y205" s="747">
        <v>6800</v>
      </c>
      <c r="Z205" s="747">
        <v>6221</v>
      </c>
      <c r="AA205" s="747">
        <v>5609</v>
      </c>
      <c r="AC205" s="628">
        <f t="shared" si="24"/>
        <v>194</v>
      </c>
      <c r="AD205" s="627">
        <f t="shared" si="25"/>
        <v>423</v>
      </c>
      <c r="AE205" s="627">
        <f t="shared" si="31"/>
        <v>324</v>
      </c>
      <c r="AF205" s="627">
        <f t="shared" si="31"/>
        <v>170</v>
      </c>
      <c r="AG205" s="627">
        <f t="shared" si="31"/>
        <v>65</v>
      </c>
      <c r="AH205" s="627">
        <f t="shared" si="31"/>
        <v>104</v>
      </c>
      <c r="AI205" s="627">
        <f t="shared" si="31"/>
        <v>150</v>
      </c>
      <c r="AJ205" s="627">
        <f t="shared" si="31"/>
        <v>170</v>
      </c>
      <c r="AK205" s="627">
        <f t="shared" si="31"/>
        <v>346</v>
      </c>
      <c r="AL205" s="627">
        <f t="shared" si="31"/>
        <v>312</v>
      </c>
      <c r="AM205" s="627">
        <f t="shared" si="31"/>
        <v>282</v>
      </c>
      <c r="AN205" s="627">
        <f t="shared" si="31"/>
        <v>297</v>
      </c>
      <c r="AO205" s="627">
        <f t="shared" si="31"/>
        <v>273</v>
      </c>
      <c r="AP205" s="627">
        <f t="shared" si="31"/>
        <v>296</v>
      </c>
      <c r="AQ205" s="627">
        <f t="shared" si="30"/>
        <v>311</v>
      </c>
      <c r="AR205" s="627">
        <f t="shared" si="30"/>
        <v>327</v>
      </c>
      <c r="AS205" s="627">
        <f t="shared" si="30"/>
        <v>294</v>
      </c>
      <c r="AT205" s="627">
        <f t="shared" si="30"/>
        <v>265</v>
      </c>
      <c r="AU205" s="627">
        <f t="shared" si="29"/>
        <v>87</v>
      </c>
      <c r="AV205" s="627">
        <f t="shared" si="29"/>
        <v>157</v>
      </c>
      <c r="AW205" s="627">
        <f t="shared" si="29"/>
        <v>245</v>
      </c>
      <c r="AX205" s="627">
        <f t="shared" si="28"/>
        <v>318</v>
      </c>
      <c r="AY205" s="627">
        <f t="shared" si="28"/>
        <v>323</v>
      </c>
      <c r="AZ205" s="627">
        <f t="shared" si="28"/>
        <v>579</v>
      </c>
      <c r="BA205" s="627">
        <f t="shared" si="28"/>
        <v>612</v>
      </c>
    </row>
    <row r="206" spans="1:53">
      <c r="A206" s="105">
        <f t="shared" ref="A206:A269" si="32">A205+1</f>
        <v>195</v>
      </c>
      <c r="B206" s="745">
        <v>42564</v>
      </c>
      <c r="C206" s="746" t="s">
        <v>1772</v>
      </c>
      <c r="D206" s="747">
        <v>5222</v>
      </c>
      <c r="E206" s="747">
        <v>4887</v>
      </c>
      <c r="F206" s="747">
        <v>4673</v>
      </c>
      <c r="G206" s="747">
        <v>4579</v>
      </c>
      <c r="H206" s="747">
        <v>4523</v>
      </c>
      <c r="I206" s="747">
        <v>4582</v>
      </c>
      <c r="J206" s="747">
        <v>4761</v>
      </c>
      <c r="K206" s="747">
        <v>5078</v>
      </c>
      <c r="L206" s="747">
        <v>5430</v>
      </c>
      <c r="M206" s="747">
        <v>5796</v>
      </c>
      <c r="N206" s="747">
        <v>6058</v>
      </c>
      <c r="O206" s="747">
        <v>6306</v>
      </c>
      <c r="P206" s="747">
        <v>6482</v>
      </c>
      <c r="Q206" s="747">
        <v>6799</v>
      </c>
      <c r="R206" s="747">
        <v>7064</v>
      </c>
      <c r="S206" s="747">
        <v>7416</v>
      </c>
      <c r="T206" s="747">
        <v>7727</v>
      </c>
      <c r="U206" s="747">
        <v>7824</v>
      </c>
      <c r="V206" s="747">
        <v>7697</v>
      </c>
      <c r="W206" s="747">
        <v>7372</v>
      </c>
      <c r="X206" s="747">
        <v>7038</v>
      </c>
      <c r="Y206" s="747">
        <v>6739</v>
      </c>
      <c r="Z206" s="747">
        <v>6159</v>
      </c>
      <c r="AA206" s="747">
        <v>5640</v>
      </c>
      <c r="AC206" s="628">
        <f t="shared" ref="AC206:AC269" si="33">AC205+1</f>
        <v>195</v>
      </c>
      <c r="AD206" s="627">
        <f t="shared" ref="AD206:AD269" si="34">ABS(D206-AA205)</f>
        <v>387</v>
      </c>
      <c r="AE206" s="627">
        <f t="shared" si="31"/>
        <v>335</v>
      </c>
      <c r="AF206" s="627">
        <f t="shared" si="31"/>
        <v>214</v>
      </c>
      <c r="AG206" s="627">
        <f t="shared" si="31"/>
        <v>94</v>
      </c>
      <c r="AH206" s="627">
        <f t="shared" si="31"/>
        <v>56</v>
      </c>
      <c r="AI206" s="627">
        <f t="shared" si="31"/>
        <v>59</v>
      </c>
      <c r="AJ206" s="627">
        <f t="shared" si="31"/>
        <v>179</v>
      </c>
      <c r="AK206" s="627">
        <f t="shared" si="31"/>
        <v>317</v>
      </c>
      <c r="AL206" s="627">
        <f t="shared" si="31"/>
        <v>352</v>
      </c>
      <c r="AM206" s="627">
        <f t="shared" si="31"/>
        <v>366</v>
      </c>
      <c r="AN206" s="627">
        <f t="shared" si="31"/>
        <v>262</v>
      </c>
      <c r="AO206" s="627">
        <f t="shared" si="31"/>
        <v>248</v>
      </c>
      <c r="AP206" s="627">
        <f t="shared" si="31"/>
        <v>176</v>
      </c>
      <c r="AQ206" s="627">
        <f t="shared" si="30"/>
        <v>317</v>
      </c>
      <c r="AR206" s="627">
        <f t="shared" si="30"/>
        <v>265</v>
      </c>
      <c r="AS206" s="627">
        <f t="shared" si="30"/>
        <v>352</v>
      </c>
      <c r="AT206" s="627">
        <f t="shared" si="30"/>
        <v>311</v>
      </c>
      <c r="AU206" s="627">
        <f t="shared" si="29"/>
        <v>97</v>
      </c>
      <c r="AV206" s="627">
        <f t="shared" si="29"/>
        <v>127</v>
      </c>
      <c r="AW206" s="627">
        <f t="shared" si="29"/>
        <v>325</v>
      </c>
      <c r="AX206" s="627">
        <f t="shared" si="28"/>
        <v>334</v>
      </c>
      <c r="AY206" s="627">
        <f t="shared" si="28"/>
        <v>299</v>
      </c>
      <c r="AZ206" s="627">
        <f t="shared" si="28"/>
        <v>580</v>
      </c>
      <c r="BA206" s="627">
        <f t="shared" si="28"/>
        <v>519</v>
      </c>
    </row>
    <row r="207" spans="1:53">
      <c r="A207" s="105">
        <f t="shared" si="32"/>
        <v>196</v>
      </c>
      <c r="B207" s="745">
        <v>42565</v>
      </c>
      <c r="C207" s="746" t="s">
        <v>1772</v>
      </c>
      <c r="D207" s="747">
        <v>5199</v>
      </c>
      <c r="E207" s="747">
        <v>4868</v>
      </c>
      <c r="F207" s="747">
        <v>4660</v>
      </c>
      <c r="G207" s="747">
        <v>4536</v>
      </c>
      <c r="H207" s="747">
        <v>4501</v>
      </c>
      <c r="I207" s="747">
        <v>4630</v>
      </c>
      <c r="J207" s="747">
        <v>4807</v>
      </c>
      <c r="K207" s="747">
        <v>5098</v>
      </c>
      <c r="L207" s="747">
        <v>5407</v>
      </c>
      <c r="M207" s="747">
        <v>5650</v>
      </c>
      <c r="N207" s="747">
        <v>5891</v>
      </c>
      <c r="O207" s="747">
        <v>6065</v>
      </c>
      <c r="P207" s="747">
        <v>6286</v>
      </c>
      <c r="Q207" s="747">
        <v>6575</v>
      </c>
      <c r="R207" s="747">
        <v>6888</v>
      </c>
      <c r="S207" s="747">
        <v>7188</v>
      </c>
      <c r="T207" s="747">
        <v>7396</v>
      </c>
      <c r="U207" s="747">
        <v>7357</v>
      </c>
      <c r="V207" s="747">
        <v>7248</v>
      </c>
      <c r="W207" s="747">
        <v>6984</v>
      </c>
      <c r="X207" s="747">
        <v>6741</v>
      </c>
      <c r="Y207" s="747">
        <v>6500</v>
      </c>
      <c r="Z207" s="747">
        <v>6122</v>
      </c>
      <c r="AA207" s="747">
        <v>5548</v>
      </c>
      <c r="AC207" s="628">
        <f t="shared" si="33"/>
        <v>196</v>
      </c>
      <c r="AD207" s="627">
        <f t="shared" si="34"/>
        <v>441</v>
      </c>
      <c r="AE207" s="627">
        <f t="shared" si="31"/>
        <v>331</v>
      </c>
      <c r="AF207" s="627">
        <f t="shared" si="31"/>
        <v>208</v>
      </c>
      <c r="AG207" s="627">
        <f t="shared" si="31"/>
        <v>124</v>
      </c>
      <c r="AH207" s="627">
        <f t="shared" si="31"/>
        <v>35</v>
      </c>
      <c r="AI207" s="627">
        <f t="shared" si="31"/>
        <v>129</v>
      </c>
      <c r="AJ207" s="627">
        <f t="shared" si="31"/>
        <v>177</v>
      </c>
      <c r="AK207" s="627">
        <f t="shared" si="31"/>
        <v>291</v>
      </c>
      <c r="AL207" s="627">
        <f t="shared" si="31"/>
        <v>309</v>
      </c>
      <c r="AM207" s="627">
        <f t="shared" si="31"/>
        <v>243</v>
      </c>
      <c r="AN207" s="627">
        <f t="shared" si="31"/>
        <v>241</v>
      </c>
      <c r="AO207" s="627">
        <f t="shared" si="31"/>
        <v>174</v>
      </c>
      <c r="AP207" s="627">
        <f t="shared" si="31"/>
        <v>221</v>
      </c>
      <c r="AQ207" s="627">
        <f t="shared" si="30"/>
        <v>289</v>
      </c>
      <c r="AR207" s="627">
        <f t="shared" si="30"/>
        <v>313</v>
      </c>
      <c r="AS207" s="627">
        <f t="shared" si="30"/>
        <v>300</v>
      </c>
      <c r="AT207" s="627">
        <f t="shared" si="30"/>
        <v>208</v>
      </c>
      <c r="AU207" s="627">
        <f t="shared" si="29"/>
        <v>39</v>
      </c>
      <c r="AV207" s="627">
        <f t="shared" si="29"/>
        <v>109</v>
      </c>
      <c r="AW207" s="627">
        <f t="shared" si="29"/>
        <v>264</v>
      </c>
      <c r="AX207" s="627">
        <f t="shared" si="28"/>
        <v>243</v>
      </c>
      <c r="AY207" s="627">
        <f t="shared" si="28"/>
        <v>241</v>
      </c>
      <c r="AZ207" s="627">
        <f t="shared" si="28"/>
        <v>378</v>
      </c>
      <c r="BA207" s="627">
        <f t="shared" si="28"/>
        <v>574</v>
      </c>
    </row>
    <row r="208" spans="1:53">
      <c r="A208" s="105">
        <f t="shared" si="32"/>
        <v>197</v>
      </c>
      <c r="B208" s="745">
        <v>42566</v>
      </c>
      <c r="C208" s="746" t="s">
        <v>1772</v>
      </c>
      <c r="D208" s="747">
        <v>5106</v>
      </c>
      <c r="E208" s="747">
        <v>4832</v>
      </c>
      <c r="F208" s="747">
        <v>4651</v>
      </c>
      <c r="G208" s="747">
        <v>4568</v>
      </c>
      <c r="H208" s="747">
        <v>4562</v>
      </c>
      <c r="I208" s="747">
        <v>4635</v>
      </c>
      <c r="J208" s="747">
        <v>4858</v>
      </c>
      <c r="K208" s="747">
        <v>5118</v>
      </c>
      <c r="L208" s="747">
        <v>5563</v>
      </c>
      <c r="M208" s="747">
        <v>5959</v>
      </c>
      <c r="N208" s="747">
        <v>6345</v>
      </c>
      <c r="O208" s="747">
        <v>6672</v>
      </c>
      <c r="P208" s="747">
        <v>6876</v>
      </c>
      <c r="Q208" s="747">
        <v>6999</v>
      </c>
      <c r="R208" s="747">
        <v>7175</v>
      </c>
      <c r="S208" s="747">
        <v>7093</v>
      </c>
      <c r="T208" s="747">
        <v>7073</v>
      </c>
      <c r="U208" s="747">
        <v>6797</v>
      </c>
      <c r="V208" s="747">
        <v>6565</v>
      </c>
      <c r="W208" s="747">
        <v>6283</v>
      </c>
      <c r="X208" s="747">
        <v>6095</v>
      </c>
      <c r="Y208" s="747">
        <v>5935</v>
      </c>
      <c r="Z208" s="747">
        <v>5514</v>
      </c>
      <c r="AA208" s="747">
        <v>5157</v>
      </c>
      <c r="AC208" s="628">
        <f t="shared" si="33"/>
        <v>197</v>
      </c>
      <c r="AD208" s="627">
        <f t="shared" si="34"/>
        <v>442</v>
      </c>
      <c r="AE208" s="627">
        <f t="shared" si="31"/>
        <v>274</v>
      </c>
      <c r="AF208" s="627">
        <f t="shared" si="31"/>
        <v>181</v>
      </c>
      <c r="AG208" s="627">
        <f t="shared" si="31"/>
        <v>83</v>
      </c>
      <c r="AH208" s="627">
        <f t="shared" si="31"/>
        <v>6</v>
      </c>
      <c r="AI208" s="627">
        <f t="shared" si="31"/>
        <v>73</v>
      </c>
      <c r="AJ208" s="627">
        <f t="shared" si="31"/>
        <v>223</v>
      </c>
      <c r="AK208" s="627">
        <f t="shared" si="31"/>
        <v>260</v>
      </c>
      <c r="AL208" s="627">
        <f t="shared" si="31"/>
        <v>445</v>
      </c>
      <c r="AM208" s="627">
        <f t="shared" si="31"/>
        <v>396</v>
      </c>
      <c r="AN208" s="627">
        <f t="shared" si="31"/>
        <v>386</v>
      </c>
      <c r="AO208" s="627">
        <f t="shared" si="31"/>
        <v>327</v>
      </c>
      <c r="AP208" s="627">
        <f t="shared" si="31"/>
        <v>204</v>
      </c>
      <c r="AQ208" s="627">
        <f t="shared" si="30"/>
        <v>123</v>
      </c>
      <c r="AR208" s="627">
        <f t="shared" si="30"/>
        <v>176</v>
      </c>
      <c r="AS208" s="627">
        <f t="shared" si="30"/>
        <v>82</v>
      </c>
      <c r="AT208" s="627">
        <f t="shared" si="30"/>
        <v>20</v>
      </c>
      <c r="AU208" s="627">
        <f t="shared" si="29"/>
        <v>276</v>
      </c>
      <c r="AV208" s="627">
        <f t="shared" si="29"/>
        <v>232</v>
      </c>
      <c r="AW208" s="627">
        <f t="shared" si="29"/>
        <v>282</v>
      </c>
      <c r="AX208" s="627">
        <f t="shared" si="28"/>
        <v>188</v>
      </c>
      <c r="AY208" s="627">
        <f t="shared" si="28"/>
        <v>160</v>
      </c>
      <c r="AZ208" s="627">
        <f t="shared" si="28"/>
        <v>421</v>
      </c>
      <c r="BA208" s="627">
        <f t="shared" si="28"/>
        <v>357</v>
      </c>
    </row>
    <row r="209" spans="1:53">
      <c r="A209" s="105">
        <f t="shared" si="32"/>
        <v>198</v>
      </c>
      <c r="B209" s="745">
        <v>42567</v>
      </c>
      <c r="C209" s="746" t="s">
        <v>1772</v>
      </c>
      <c r="D209" s="747">
        <v>4930</v>
      </c>
      <c r="E209" s="747">
        <v>4629</v>
      </c>
      <c r="F209" s="747">
        <v>4503</v>
      </c>
      <c r="G209" s="747">
        <v>4345</v>
      </c>
      <c r="H209" s="747">
        <v>4298</v>
      </c>
      <c r="I209" s="747">
        <v>4230</v>
      </c>
      <c r="J209" s="747">
        <v>4248</v>
      </c>
      <c r="K209" s="747">
        <v>4453</v>
      </c>
      <c r="L209" s="747">
        <v>4686</v>
      </c>
      <c r="M209" s="747">
        <v>4996</v>
      </c>
      <c r="N209" s="747">
        <v>5342</v>
      </c>
      <c r="O209" s="747">
        <v>5698</v>
      </c>
      <c r="P209" s="747">
        <v>6055</v>
      </c>
      <c r="Q209" s="747">
        <v>6356</v>
      </c>
      <c r="R209" s="747">
        <v>6656</v>
      </c>
      <c r="S209" s="747">
        <v>6939</v>
      </c>
      <c r="T209" s="747">
        <v>7136</v>
      </c>
      <c r="U209" s="747">
        <v>7185</v>
      </c>
      <c r="V209" s="747">
        <v>7059</v>
      </c>
      <c r="W209" s="747">
        <v>6745</v>
      </c>
      <c r="X209" s="747">
        <v>6563</v>
      </c>
      <c r="Y209" s="747">
        <v>6341</v>
      </c>
      <c r="Z209" s="747">
        <v>5839</v>
      </c>
      <c r="AA209" s="747">
        <v>5311</v>
      </c>
      <c r="AC209" s="628">
        <f t="shared" si="33"/>
        <v>198</v>
      </c>
      <c r="AD209" s="627">
        <f t="shared" si="34"/>
        <v>227</v>
      </c>
      <c r="AE209" s="627">
        <f t="shared" si="31"/>
        <v>301</v>
      </c>
      <c r="AF209" s="627">
        <f t="shared" si="31"/>
        <v>126</v>
      </c>
      <c r="AG209" s="627">
        <f t="shared" si="31"/>
        <v>158</v>
      </c>
      <c r="AH209" s="627">
        <f t="shared" si="31"/>
        <v>47</v>
      </c>
      <c r="AI209" s="627">
        <f t="shared" si="31"/>
        <v>68</v>
      </c>
      <c r="AJ209" s="627">
        <f t="shared" si="31"/>
        <v>18</v>
      </c>
      <c r="AK209" s="627">
        <f t="shared" si="31"/>
        <v>205</v>
      </c>
      <c r="AL209" s="627">
        <f t="shared" si="31"/>
        <v>233</v>
      </c>
      <c r="AM209" s="627">
        <f t="shared" si="31"/>
        <v>310</v>
      </c>
      <c r="AN209" s="627">
        <f t="shared" si="31"/>
        <v>346</v>
      </c>
      <c r="AO209" s="627">
        <f t="shared" si="31"/>
        <v>356</v>
      </c>
      <c r="AP209" s="627">
        <f t="shared" si="31"/>
        <v>357</v>
      </c>
      <c r="AQ209" s="627">
        <f t="shared" si="30"/>
        <v>301</v>
      </c>
      <c r="AR209" s="627">
        <f t="shared" si="30"/>
        <v>300</v>
      </c>
      <c r="AS209" s="627">
        <f t="shared" si="30"/>
        <v>283</v>
      </c>
      <c r="AT209" s="627">
        <f t="shared" si="30"/>
        <v>197</v>
      </c>
      <c r="AU209" s="627">
        <f t="shared" si="29"/>
        <v>49</v>
      </c>
      <c r="AV209" s="627">
        <f t="shared" si="29"/>
        <v>126</v>
      </c>
      <c r="AW209" s="627">
        <f t="shared" si="29"/>
        <v>314</v>
      </c>
      <c r="AX209" s="627">
        <f t="shared" si="28"/>
        <v>182</v>
      </c>
      <c r="AY209" s="627">
        <f t="shared" si="28"/>
        <v>222</v>
      </c>
      <c r="AZ209" s="627">
        <f t="shared" si="28"/>
        <v>502</v>
      </c>
      <c r="BA209" s="627">
        <f t="shared" si="28"/>
        <v>528</v>
      </c>
    </row>
    <row r="210" spans="1:53">
      <c r="A210" s="105">
        <f t="shared" si="32"/>
        <v>199</v>
      </c>
      <c r="B210" s="745">
        <v>42568</v>
      </c>
      <c r="C210" s="746" t="s">
        <v>1772</v>
      </c>
      <c r="D210" s="747">
        <v>4906</v>
      </c>
      <c r="E210" s="747">
        <v>4779</v>
      </c>
      <c r="F210" s="747">
        <v>4650</v>
      </c>
      <c r="G210" s="747">
        <v>4498</v>
      </c>
      <c r="H210" s="747">
        <v>4409</v>
      </c>
      <c r="I210" s="747">
        <v>4377</v>
      </c>
      <c r="J210" s="747">
        <v>4377</v>
      </c>
      <c r="K210" s="747">
        <v>4512</v>
      </c>
      <c r="L210" s="747">
        <v>4876</v>
      </c>
      <c r="M210" s="747">
        <v>5257</v>
      </c>
      <c r="N210" s="747">
        <v>5570</v>
      </c>
      <c r="O210" s="747">
        <v>5937</v>
      </c>
      <c r="P210" s="747">
        <v>6286</v>
      </c>
      <c r="Q210" s="747">
        <v>6606</v>
      </c>
      <c r="R210" s="747">
        <v>6894</v>
      </c>
      <c r="S210" s="747">
        <v>7048</v>
      </c>
      <c r="T210" s="747">
        <v>7104</v>
      </c>
      <c r="U210" s="747">
        <v>7231</v>
      </c>
      <c r="V210" s="747">
        <v>7189</v>
      </c>
      <c r="W210" s="747">
        <v>6945</v>
      </c>
      <c r="X210" s="747">
        <v>6608</v>
      </c>
      <c r="Y210" s="747">
        <v>6377</v>
      </c>
      <c r="Z210" s="747">
        <v>5788</v>
      </c>
      <c r="AA210" s="747">
        <v>5332</v>
      </c>
      <c r="AC210" s="628">
        <f t="shared" si="33"/>
        <v>199</v>
      </c>
      <c r="AD210" s="627">
        <f t="shared" si="34"/>
        <v>405</v>
      </c>
      <c r="AE210" s="627">
        <f t="shared" si="31"/>
        <v>127</v>
      </c>
      <c r="AF210" s="627">
        <f t="shared" si="31"/>
        <v>129</v>
      </c>
      <c r="AG210" s="627">
        <f t="shared" si="31"/>
        <v>152</v>
      </c>
      <c r="AH210" s="627">
        <f t="shared" si="31"/>
        <v>89</v>
      </c>
      <c r="AI210" s="627">
        <f t="shared" si="31"/>
        <v>32</v>
      </c>
      <c r="AJ210" s="627">
        <f t="shared" si="31"/>
        <v>0</v>
      </c>
      <c r="AK210" s="627">
        <f t="shared" si="31"/>
        <v>135</v>
      </c>
      <c r="AL210" s="627">
        <f t="shared" si="31"/>
        <v>364</v>
      </c>
      <c r="AM210" s="627">
        <f t="shared" si="31"/>
        <v>381</v>
      </c>
      <c r="AN210" s="627">
        <f t="shared" si="31"/>
        <v>313</v>
      </c>
      <c r="AO210" s="627">
        <f t="shared" si="31"/>
        <v>367</v>
      </c>
      <c r="AP210" s="627">
        <f t="shared" si="31"/>
        <v>349</v>
      </c>
      <c r="AQ210" s="627">
        <f t="shared" si="30"/>
        <v>320</v>
      </c>
      <c r="AR210" s="627">
        <f t="shared" si="30"/>
        <v>288</v>
      </c>
      <c r="AS210" s="627">
        <f t="shared" si="30"/>
        <v>154</v>
      </c>
      <c r="AT210" s="627">
        <f t="shared" si="30"/>
        <v>56</v>
      </c>
      <c r="AU210" s="627">
        <f t="shared" si="29"/>
        <v>127</v>
      </c>
      <c r="AV210" s="627">
        <f t="shared" si="29"/>
        <v>42</v>
      </c>
      <c r="AW210" s="627">
        <f t="shared" si="29"/>
        <v>244</v>
      </c>
      <c r="AX210" s="627">
        <f t="shared" si="28"/>
        <v>337</v>
      </c>
      <c r="AY210" s="627">
        <f t="shared" si="28"/>
        <v>231</v>
      </c>
      <c r="AZ210" s="627">
        <f t="shared" si="28"/>
        <v>589</v>
      </c>
      <c r="BA210" s="627">
        <f t="shared" si="28"/>
        <v>456</v>
      </c>
    </row>
    <row r="211" spans="1:53">
      <c r="A211" s="105">
        <f t="shared" si="32"/>
        <v>200</v>
      </c>
      <c r="B211" s="745">
        <v>42569</v>
      </c>
      <c r="C211" s="746" t="s">
        <v>1772</v>
      </c>
      <c r="D211" s="747">
        <v>5018</v>
      </c>
      <c r="E211" s="747">
        <v>4762</v>
      </c>
      <c r="F211" s="747">
        <v>4595</v>
      </c>
      <c r="G211" s="747">
        <v>4520</v>
      </c>
      <c r="H211" s="747">
        <v>4542</v>
      </c>
      <c r="I211" s="747">
        <v>4609</v>
      </c>
      <c r="J211" s="747">
        <v>4865</v>
      </c>
      <c r="K211" s="747">
        <v>5223</v>
      </c>
      <c r="L211" s="747">
        <v>5595</v>
      </c>
      <c r="M211" s="747">
        <v>5981</v>
      </c>
      <c r="N211" s="747">
        <v>6383</v>
      </c>
      <c r="O211" s="747">
        <v>6730</v>
      </c>
      <c r="P211" s="747">
        <v>7191</v>
      </c>
      <c r="Q211" s="747">
        <v>7510</v>
      </c>
      <c r="R211" s="747">
        <v>7620</v>
      </c>
      <c r="S211" s="747">
        <v>7530</v>
      </c>
      <c r="T211" s="747">
        <v>7627</v>
      </c>
      <c r="U211" s="747">
        <v>7407</v>
      </c>
      <c r="V211" s="747">
        <v>6954</v>
      </c>
      <c r="W211" s="747">
        <v>6584</v>
      </c>
      <c r="X211" s="747">
        <v>6408</v>
      </c>
      <c r="Y211" s="747">
        <v>6239</v>
      </c>
      <c r="Z211" s="747">
        <v>5678</v>
      </c>
      <c r="AA211" s="747">
        <v>5155</v>
      </c>
      <c r="AC211" s="628">
        <f t="shared" si="33"/>
        <v>200</v>
      </c>
      <c r="AD211" s="627">
        <f t="shared" si="34"/>
        <v>314</v>
      </c>
      <c r="AE211" s="627">
        <f t="shared" si="31"/>
        <v>256</v>
      </c>
      <c r="AF211" s="627">
        <f t="shared" si="31"/>
        <v>167</v>
      </c>
      <c r="AG211" s="627">
        <f t="shared" si="31"/>
        <v>75</v>
      </c>
      <c r="AH211" s="627">
        <f t="shared" si="31"/>
        <v>22</v>
      </c>
      <c r="AI211" s="627">
        <f t="shared" si="31"/>
        <v>67</v>
      </c>
      <c r="AJ211" s="627">
        <f t="shared" si="31"/>
        <v>256</v>
      </c>
      <c r="AK211" s="627">
        <f t="shared" si="31"/>
        <v>358</v>
      </c>
      <c r="AL211" s="627">
        <f t="shared" si="31"/>
        <v>372</v>
      </c>
      <c r="AM211" s="627">
        <f t="shared" si="31"/>
        <v>386</v>
      </c>
      <c r="AN211" s="627">
        <f t="shared" si="31"/>
        <v>402</v>
      </c>
      <c r="AO211" s="627">
        <f t="shared" si="31"/>
        <v>347</v>
      </c>
      <c r="AP211" s="627">
        <f t="shared" si="31"/>
        <v>461</v>
      </c>
      <c r="AQ211" s="627">
        <f t="shared" si="30"/>
        <v>319</v>
      </c>
      <c r="AR211" s="627">
        <f t="shared" si="30"/>
        <v>110</v>
      </c>
      <c r="AS211" s="627">
        <f t="shared" si="30"/>
        <v>90</v>
      </c>
      <c r="AT211" s="627">
        <f t="shared" si="30"/>
        <v>97</v>
      </c>
      <c r="AU211" s="627">
        <f t="shared" si="29"/>
        <v>220</v>
      </c>
      <c r="AV211" s="627">
        <f t="shared" si="29"/>
        <v>453</v>
      </c>
      <c r="AW211" s="627">
        <f t="shared" si="29"/>
        <v>370</v>
      </c>
      <c r="AX211" s="627">
        <f t="shared" si="28"/>
        <v>176</v>
      </c>
      <c r="AY211" s="627">
        <f t="shared" si="28"/>
        <v>169</v>
      </c>
      <c r="AZ211" s="627">
        <f t="shared" si="28"/>
        <v>561</v>
      </c>
      <c r="BA211" s="627">
        <f t="shared" si="28"/>
        <v>523</v>
      </c>
    </row>
    <row r="212" spans="1:53">
      <c r="A212" s="105">
        <f t="shared" si="32"/>
        <v>201</v>
      </c>
      <c r="B212" s="745">
        <v>42570</v>
      </c>
      <c r="C212" s="746" t="s">
        <v>1772</v>
      </c>
      <c r="D212" s="747">
        <v>4896</v>
      </c>
      <c r="E212" s="747">
        <v>4718</v>
      </c>
      <c r="F212" s="747">
        <v>4681</v>
      </c>
      <c r="G212" s="747">
        <v>4633</v>
      </c>
      <c r="H212" s="747">
        <v>4706</v>
      </c>
      <c r="I212" s="747">
        <v>4885</v>
      </c>
      <c r="J212" s="747">
        <v>5045</v>
      </c>
      <c r="K212" s="747">
        <v>5326</v>
      </c>
      <c r="L212" s="747">
        <v>5654</v>
      </c>
      <c r="M212" s="747">
        <v>6022</v>
      </c>
      <c r="N212" s="747">
        <v>6386</v>
      </c>
      <c r="O212" s="747">
        <v>6758</v>
      </c>
      <c r="P212" s="747">
        <v>7136</v>
      </c>
      <c r="Q212" s="747">
        <v>7487</v>
      </c>
      <c r="R212" s="747">
        <v>7719</v>
      </c>
      <c r="S212" s="747">
        <v>7904</v>
      </c>
      <c r="T212" s="747">
        <v>8064</v>
      </c>
      <c r="U212" s="747">
        <v>7986</v>
      </c>
      <c r="V212" s="747">
        <v>7607</v>
      </c>
      <c r="W212" s="747">
        <v>6978</v>
      </c>
      <c r="X212" s="747">
        <v>6722</v>
      </c>
      <c r="Y212" s="747">
        <v>6417</v>
      </c>
      <c r="Z212" s="747">
        <v>5912</v>
      </c>
      <c r="AA212" s="747">
        <v>5496</v>
      </c>
      <c r="AC212" s="628">
        <f t="shared" si="33"/>
        <v>201</v>
      </c>
      <c r="AD212" s="627">
        <f t="shared" si="34"/>
        <v>259</v>
      </c>
      <c r="AE212" s="627">
        <f t="shared" si="31"/>
        <v>178</v>
      </c>
      <c r="AF212" s="627">
        <f t="shared" si="31"/>
        <v>37</v>
      </c>
      <c r="AG212" s="627">
        <f t="shared" si="31"/>
        <v>48</v>
      </c>
      <c r="AH212" s="627">
        <f t="shared" si="31"/>
        <v>73</v>
      </c>
      <c r="AI212" s="627">
        <f t="shared" si="31"/>
        <v>179</v>
      </c>
      <c r="AJ212" s="627">
        <f t="shared" si="31"/>
        <v>160</v>
      </c>
      <c r="AK212" s="627">
        <f t="shared" si="31"/>
        <v>281</v>
      </c>
      <c r="AL212" s="627">
        <f t="shared" si="31"/>
        <v>328</v>
      </c>
      <c r="AM212" s="627">
        <f t="shared" si="31"/>
        <v>368</v>
      </c>
      <c r="AN212" s="627">
        <f t="shared" si="31"/>
        <v>364</v>
      </c>
      <c r="AO212" s="627">
        <f t="shared" si="31"/>
        <v>372</v>
      </c>
      <c r="AP212" s="627">
        <f t="shared" si="31"/>
        <v>378</v>
      </c>
      <c r="AQ212" s="627">
        <f t="shared" si="30"/>
        <v>351</v>
      </c>
      <c r="AR212" s="627">
        <f t="shared" si="30"/>
        <v>232</v>
      </c>
      <c r="AS212" s="627">
        <f t="shared" si="30"/>
        <v>185</v>
      </c>
      <c r="AT212" s="627">
        <f t="shared" si="30"/>
        <v>160</v>
      </c>
      <c r="AU212" s="627">
        <f t="shared" si="29"/>
        <v>78</v>
      </c>
      <c r="AV212" s="627">
        <f t="shared" si="29"/>
        <v>379</v>
      </c>
      <c r="AW212" s="627">
        <f t="shared" si="29"/>
        <v>629</v>
      </c>
      <c r="AX212" s="627">
        <f t="shared" si="28"/>
        <v>256</v>
      </c>
      <c r="AY212" s="627">
        <f t="shared" si="28"/>
        <v>305</v>
      </c>
      <c r="AZ212" s="627">
        <f t="shared" si="28"/>
        <v>505</v>
      </c>
      <c r="BA212" s="627">
        <f t="shared" si="28"/>
        <v>416</v>
      </c>
    </row>
    <row r="213" spans="1:53">
      <c r="A213" s="105">
        <f t="shared" si="32"/>
        <v>202</v>
      </c>
      <c r="B213" s="745">
        <v>42571</v>
      </c>
      <c r="C213" s="746" t="s">
        <v>1772</v>
      </c>
      <c r="D213" s="747">
        <v>5094</v>
      </c>
      <c r="E213" s="747">
        <v>4791</v>
      </c>
      <c r="F213" s="747">
        <v>4676</v>
      </c>
      <c r="G213" s="747">
        <v>4569</v>
      </c>
      <c r="H213" s="747">
        <v>4518</v>
      </c>
      <c r="I213" s="747">
        <v>4699</v>
      </c>
      <c r="J213" s="747">
        <v>4981</v>
      </c>
      <c r="K213" s="747">
        <v>5313</v>
      </c>
      <c r="L213" s="747">
        <v>5700</v>
      </c>
      <c r="M213" s="747">
        <v>6173</v>
      </c>
      <c r="N213" s="747">
        <v>6621</v>
      </c>
      <c r="O213" s="747">
        <v>6973</v>
      </c>
      <c r="P213" s="747">
        <v>7295</v>
      </c>
      <c r="Q213" s="747">
        <v>7596</v>
      </c>
      <c r="R213" s="747">
        <v>7919</v>
      </c>
      <c r="S213" s="747">
        <v>7874</v>
      </c>
      <c r="T213" s="747">
        <v>7695</v>
      </c>
      <c r="U213" s="747">
        <v>7518</v>
      </c>
      <c r="V213" s="747">
        <v>7247</v>
      </c>
      <c r="W213" s="747">
        <v>7008</v>
      </c>
      <c r="X213" s="747">
        <v>6863</v>
      </c>
      <c r="Y213" s="747">
        <v>6538</v>
      </c>
      <c r="Z213" s="747">
        <v>5983</v>
      </c>
      <c r="AA213" s="747">
        <v>5540</v>
      </c>
      <c r="AC213" s="628">
        <f t="shared" si="33"/>
        <v>202</v>
      </c>
      <c r="AD213" s="627">
        <f t="shared" si="34"/>
        <v>402</v>
      </c>
      <c r="AE213" s="627">
        <f t="shared" si="31"/>
        <v>303</v>
      </c>
      <c r="AF213" s="627">
        <f t="shared" si="31"/>
        <v>115</v>
      </c>
      <c r="AG213" s="627">
        <f t="shared" si="31"/>
        <v>107</v>
      </c>
      <c r="AH213" s="627">
        <f t="shared" si="31"/>
        <v>51</v>
      </c>
      <c r="AI213" s="627">
        <f t="shared" si="31"/>
        <v>181</v>
      </c>
      <c r="AJ213" s="627">
        <f t="shared" si="31"/>
        <v>282</v>
      </c>
      <c r="AK213" s="627">
        <f t="shared" si="31"/>
        <v>332</v>
      </c>
      <c r="AL213" s="627">
        <f t="shared" si="31"/>
        <v>387</v>
      </c>
      <c r="AM213" s="627">
        <f t="shared" si="31"/>
        <v>473</v>
      </c>
      <c r="AN213" s="627">
        <f t="shared" si="31"/>
        <v>448</v>
      </c>
      <c r="AO213" s="627">
        <f t="shared" si="31"/>
        <v>352</v>
      </c>
      <c r="AP213" s="627">
        <f t="shared" si="31"/>
        <v>322</v>
      </c>
      <c r="AQ213" s="627">
        <f t="shared" si="30"/>
        <v>301</v>
      </c>
      <c r="AR213" s="627">
        <f t="shared" si="30"/>
        <v>323</v>
      </c>
      <c r="AS213" s="627">
        <f t="shared" si="30"/>
        <v>45</v>
      </c>
      <c r="AT213" s="627">
        <f t="shared" si="30"/>
        <v>179</v>
      </c>
      <c r="AU213" s="627">
        <f t="shared" si="29"/>
        <v>177</v>
      </c>
      <c r="AV213" s="627">
        <f t="shared" si="29"/>
        <v>271</v>
      </c>
      <c r="AW213" s="627">
        <f t="shared" si="29"/>
        <v>239</v>
      </c>
      <c r="AX213" s="627">
        <f t="shared" si="28"/>
        <v>145</v>
      </c>
      <c r="AY213" s="627">
        <f t="shared" si="28"/>
        <v>325</v>
      </c>
      <c r="AZ213" s="627">
        <f t="shared" si="28"/>
        <v>555</v>
      </c>
      <c r="BA213" s="627">
        <f t="shared" si="28"/>
        <v>443</v>
      </c>
    </row>
    <row r="214" spans="1:53">
      <c r="A214" s="105">
        <f t="shared" si="32"/>
        <v>203</v>
      </c>
      <c r="B214" s="745">
        <v>42572</v>
      </c>
      <c r="C214" s="746" t="s">
        <v>1772</v>
      </c>
      <c r="D214" s="747">
        <v>5229</v>
      </c>
      <c r="E214" s="747">
        <v>4963</v>
      </c>
      <c r="F214" s="747">
        <v>4697</v>
      </c>
      <c r="G214" s="747">
        <v>4668</v>
      </c>
      <c r="H214" s="747">
        <v>4673</v>
      </c>
      <c r="I214" s="747">
        <v>4760</v>
      </c>
      <c r="J214" s="747">
        <v>5022</v>
      </c>
      <c r="K214" s="747">
        <v>5415</v>
      </c>
      <c r="L214" s="747">
        <v>5889</v>
      </c>
      <c r="M214" s="747">
        <v>6222</v>
      </c>
      <c r="N214" s="747">
        <v>6638</v>
      </c>
      <c r="O214" s="747">
        <v>7073</v>
      </c>
      <c r="P214" s="747">
        <v>7406</v>
      </c>
      <c r="Q214" s="747">
        <v>7711</v>
      </c>
      <c r="R214" s="747">
        <v>7958</v>
      </c>
      <c r="S214" s="747">
        <v>8160</v>
      </c>
      <c r="T214" s="747">
        <v>8095</v>
      </c>
      <c r="U214" s="747">
        <v>7823</v>
      </c>
      <c r="V214" s="747">
        <v>7452</v>
      </c>
      <c r="W214" s="747">
        <v>7169</v>
      </c>
      <c r="X214" s="747">
        <v>6924</v>
      </c>
      <c r="Y214" s="747">
        <v>6701</v>
      </c>
      <c r="Z214" s="747">
        <v>6114</v>
      </c>
      <c r="AA214" s="747">
        <v>5645</v>
      </c>
      <c r="AC214" s="628">
        <f t="shared" si="33"/>
        <v>203</v>
      </c>
      <c r="AD214" s="627">
        <f t="shared" si="34"/>
        <v>311</v>
      </c>
      <c r="AE214" s="627">
        <f t="shared" si="31"/>
        <v>266</v>
      </c>
      <c r="AF214" s="627">
        <f t="shared" si="31"/>
        <v>266</v>
      </c>
      <c r="AG214" s="627">
        <f t="shared" si="31"/>
        <v>29</v>
      </c>
      <c r="AH214" s="627">
        <f t="shared" si="31"/>
        <v>5</v>
      </c>
      <c r="AI214" s="627">
        <f t="shared" si="31"/>
        <v>87</v>
      </c>
      <c r="AJ214" s="627">
        <f t="shared" si="31"/>
        <v>262</v>
      </c>
      <c r="AK214" s="627">
        <f t="shared" si="31"/>
        <v>393</v>
      </c>
      <c r="AL214" s="627">
        <f t="shared" si="31"/>
        <v>474</v>
      </c>
      <c r="AM214" s="627">
        <f t="shared" si="31"/>
        <v>333</v>
      </c>
      <c r="AN214" s="627">
        <f t="shared" si="31"/>
        <v>416</v>
      </c>
      <c r="AO214" s="627">
        <f t="shared" si="31"/>
        <v>435</v>
      </c>
      <c r="AP214" s="627">
        <f t="shared" si="31"/>
        <v>333</v>
      </c>
      <c r="AQ214" s="627">
        <f t="shared" si="30"/>
        <v>305</v>
      </c>
      <c r="AR214" s="627">
        <f t="shared" si="30"/>
        <v>247</v>
      </c>
      <c r="AS214" s="627">
        <f t="shared" si="30"/>
        <v>202</v>
      </c>
      <c r="AT214" s="627">
        <f t="shared" si="30"/>
        <v>65</v>
      </c>
      <c r="AU214" s="627">
        <f t="shared" si="29"/>
        <v>272</v>
      </c>
      <c r="AV214" s="627">
        <f t="shared" si="29"/>
        <v>371</v>
      </c>
      <c r="AW214" s="627">
        <f t="shared" si="29"/>
        <v>283</v>
      </c>
      <c r="AX214" s="627">
        <f t="shared" si="28"/>
        <v>245</v>
      </c>
      <c r="AY214" s="627">
        <f t="shared" si="28"/>
        <v>223</v>
      </c>
      <c r="AZ214" s="627">
        <f t="shared" si="28"/>
        <v>587</v>
      </c>
      <c r="BA214" s="627">
        <f t="shared" si="28"/>
        <v>469</v>
      </c>
    </row>
    <row r="215" spans="1:53">
      <c r="A215" s="105">
        <f t="shared" si="32"/>
        <v>204</v>
      </c>
      <c r="B215" s="745">
        <v>42573</v>
      </c>
      <c r="C215" s="746" t="s">
        <v>1772</v>
      </c>
      <c r="D215" s="747">
        <v>5383</v>
      </c>
      <c r="E215" s="747">
        <v>5117</v>
      </c>
      <c r="F215" s="747">
        <v>4948</v>
      </c>
      <c r="G215" s="747">
        <v>4776</v>
      </c>
      <c r="H215" s="747">
        <v>4864</v>
      </c>
      <c r="I215" s="747">
        <v>4891</v>
      </c>
      <c r="J215" s="747">
        <v>5137</v>
      </c>
      <c r="K215" s="747">
        <v>5609</v>
      </c>
      <c r="L215" s="747">
        <v>5966</v>
      </c>
      <c r="M215" s="747">
        <v>6409</v>
      </c>
      <c r="N215" s="747">
        <v>6845</v>
      </c>
      <c r="O215" s="747">
        <v>7221</v>
      </c>
      <c r="P215" s="747">
        <v>7572</v>
      </c>
      <c r="Q215" s="747">
        <v>7857</v>
      </c>
      <c r="R215" s="747">
        <v>7915</v>
      </c>
      <c r="S215" s="747">
        <v>7883</v>
      </c>
      <c r="T215" s="747">
        <v>8049</v>
      </c>
      <c r="U215" s="747">
        <v>7933</v>
      </c>
      <c r="V215" s="747">
        <v>7570</v>
      </c>
      <c r="W215" s="747">
        <v>7235</v>
      </c>
      <c r="X215" s="747">
        <v>7000</v>
      </c>
      <c r="Y215" s="747">
        <v>6713</v>
      </c>
      <c r="Z215" s="747">
        <v>6176</v>
      </c>
      <c r="AA215" s="747">
        <v>5534</v>
      </c>
      <c r="AC215" s="628">
        <f t="shared" si="33"/>
        <v>204</v>
      </c>
      <c r="AD215" s="627">
        <f t="shared" si="34"/>
        <v>262</v>
      </c>
      <c r="AE215" s="627">
        <f t="shared" si="31"/>
        <v>266</v>
      </c>
      <c r="AF215" s="627">
        <f t="shared" si="31"/>
        <v>169</v>
      </c>
      <c r="AG215" s="627">
        <f t="shared" si="31"/>
        <v>172</v>
      </c>
      <c r="AH215" s="627">
        <f t="shared" si="31"/>
        <v>88</v>
      </c>
      <c r="AI215" s="627">
        <f t="shared" si="31"/>
        <v>27</v>
      </c>
      <c r="AJ215" s="627">
        <f t="shared" si="31"/>
        <v>246</v>
      </c>
      <c r="AK215" s="627">
        <f t="shared" si="31"/>
        <v>472</v>
      </c>
      <c r="AL215" s="627">
        <f t="shared" si="31"/>
        <v>357</v>
      </c>
      <c r="AM215" s="627">
        <f t="shared" si="31"/>
        <v>443</v>
      </c>
      <c r="AN215" s="627">
        <f t="shared" si="31"/>
        <v>436</v>
      </c>
      <c r="AO215" s="627">
        <f t="shared" si="31"/>
        <v>376</v>
      </c>
      <c r="AP215" s="627">
        <f t="shared" si="31"/>
        <v>351</v>
      </c>
      <c r="AQ215" s="627">
        <f t="shared" si="30"/>
        <v>285</v>
      </c>
      <c r="AR215" s="627">
        <f t="shared" si="30"/>
        <v>58</v>
      </c>
      <c r="AS215" s="627">
        <f t="shared" si="30"/>
        <v>32</v>
      </c>
      <c r="AT215" s="627">
        <f t="shared" si="30"/>
        <v>166</v>
      </c>
      <c r="AU215" s="627">
        <f t="shared" si="29"/>
        <v>116</v>
      </c>
      <c r="AV215" s="627">
        <f t="shared" si="29"/>
        <v>363</v>
      </c>
      <c r="AW215" s="627">
        <f t="shared" si="29"/>
        <v>335</v>
      </c>
      <c r="AX215" s="627">
        <f t="shared" si="28"/>
        <v>235</v>
      </c>
      <c r="AY215" s="627">
        <f t="shared" si="28"/>
        <v>287</v>
      </c>
      <c r="AZ215" s="627">
        <f t="shared" si="28"/>
        <v>537</v>
      </c>
      <c r="BA215" s="627">
        <f t="shared" si="28"/>
        <v>642</v>
      </c>
    </row>
    <row r="216" spans="1:53">
      <c r="A216" s="105">
        <f t="shared" si="32"/>
        <v>205</v>
      </c>
      <c r="B216" s="745">
        <v>42574</v>
      </c>
      <c r="C216" s="746" t="s">
        <v>1772</v>
      </c>
      <c r="D216" s="747">
        <v>5143</v>
      </c>
      <c r="E216" s="747">
        <v>4781</v>
      </c>
      <c r="F216" s="747">
        <v>4753</v>
      </c>
      <c r="G216" s="747">
        <v>4633</v>
      </c>
      <c r="H216" s="747">
        <v>4559</v>
      </c>
      <c r="I216" s="747">
        <v>4541</v>
      </c>
      <c r="J216" s="747">
        <v>4523</v>
      </c>
      <c r="K216" s="747">
        <v>4863</v>
      </c>
      <c r="L216" s="747">
        <v>5322</v>
      </c>
      <c r="M216" s="747">
        <v>5769</v>
      </c>
      <c r="N216" s="747">
        <v>6280</v>
      </c>
      <c r="O216" s="747">
        <v>6700</v>
      </c>
      <c r="P216" s="747">
        <v>7021</v>
      </c>
      <c r="Q216" s="747">
        <v>7281</v>
      </c>
      <c r="R216" s="747">
        <v>7488</v>
      </c>
      <c r="S216" s="747">
        <v>7599</v>
      </c>
      <c r="T216" s="747">
        <v>7649</v>
      </c>
      <c r="U216" s="747">
        <v>7482</v>
      </c>
      <c r="V216" s="747">
        <v>7107</v>
      </c>
      <c r="W216" s="747">
        <v>6771</v>
      </c>
      <c r="X216" s="747">
        <v>6552</v>
      </c>
      <c r="Y216" s="747">
        <v>6314</v>
      </c>
      <c r="Z216" s="747">
        <v>5835</v>
      </c>
      <c r="AA216" s="747">
        <v>5310</v>
      </c>
      <c r="AC216" s="628">
        <f t="shared" si="33"/>
        <v>205</v>
      </c>
      <c r="AD216" s="627">
        <f t="shared" si="34"/>
        <v>391</v>
      </c>
      <c r="AE216" s="627">
        <f t="shared" si="31"/>
        <v>362</v>
      </c>
      <c r="AF216" s="627">
        <f t="shared" si="31"/>
        <v>28</v>
      </c>
      <c r="AG216" s="627">
        <f t="shared" si="31"/>
        <v>120</v>
      </c>
      <c r="AH216" s="627">
        <f t="shared" si="31"/>
        <v>74</v>
      </c>
      <c r="AI216" s="627">
        <f t="shared" si="31"/>
        <v>18</v>
      </c>
      <c r="AJ216" s="627">
        <f t="shared" si="31"/>
        <v>18</v>
      </c>
      <c r="AK216" s="627">
        <f t="shared" si="31"/>
        <v>340</v>
      </c>
      <c r="AL216" s="627">
        <f t="shared" si="31"/>
        <v>459</v>
      </c>
      <c r="AM216" s="627">
        <f t="shared" si="31"/>
        <v>447</v>
      </c>
      <c r="AN216" s="627">
        <f t="shared" si="31"/>
        <v>511</v>
      </c>
      <c r="AO216" s="627">
        <f t="shared" si="31"/>
        <v>420</v>
      </c>
      <c r="AP216" s="627">
        <f t="shared" si="31"/>
        <v>321</v>
      </c>
      <c r="AQ216" s="627">
        <f t="shared" si="30"/>
        <v>260</v>
      </c>
      <c r="AR216" s="627">
        <f t="shared" si="30"/>
        <v>207</v>
      </c>
      <c r="AS216" s="627">
        <f t="shared" si="30"/>
        <v>111</v>
      </c>
      <c r="AT216" s="627">
        <f t="shared" si="30"/>
        <v>50</v>
      </c>
      <c r="AU216" s="627">
        <f t="shared" si="29"/>
        <v>167</v>
      </c>
      <c r="AV216" s="627">
        <f t="shared" si="29"/>
        <v>375</v>
      </c>
      <c r="AW216" s="627">
        <f t="shared" si="29"/>
        <v>336</v>
      </c>
      <c r="AX216" s="627">
        <f t="shared" si="28"/>
        <v>219</v>
      </c>
      <c r="AY216" s="627">
        <f t="shared" si="28"/>
        <v>238</v>
      </c>
      <c r="AZ216" s="627">
        <f t="shared" si="28"/>
        <v>479</v>
      </c>
      <c r="BA216" s="627">
        <f t="shared" si="28"/>
        <v>525</v>
      </c>
    </row>
    <row r="217" spans="1:53">
      <c r="A217" s="105">
        <f t="shared" si="32"/>
        <v>206</v>
      </c>
      <c r="B217" s="745">
        <v>42575</v>
      </c>
      <c r="C217" s="746" t="s">
        <v>1772</v>
      </c>
      <c r="D217" s="747">
        <v>5024</v>
      </c>
      <c r="E217" s="747">
        <v>4783</v>
      </c>
      <c r="F217" s="747">
        <v>4653</v>
      </c>
      <c r="G217" s="747">
        <v>4508</v>
      </c>
      <c r="H217" s="747">
        <v>4440</v>
      </c>
      <c r="I217" s="747">
        <v>4446</v>
      </c>
      <c r="J217" s="747">
        <v>4439</v>
      </c>
      <c r="K217" s="747">
        <v>4567</v>
      </c>
      <c r="L217" s="747">
        <v>4963</v>
      </c>
      <c r="M217" s="747">
        <v>5325</v>
      </c>
      <c r="N217" s="747">
        <v>5638</v>
      </c>
      <c r="O217" s="747">
        <v>5973</v>
      </c>
      <c r="P217" s="747">
        <v>6438</v>
      </c>
      <c r="Q217" s="747">
        <v>6717</v>
      </c>
      <c r="R217" s="747">
        <v>6927</v>
      </c>
      <c r="S217" s="747">
        <v>6928</v>
      </c>
      <c r="T217" s="747">
        <v>7025</v>
      </c>
      <c r="U217" s="747">
        <v>7018</v>
      </c>
      <c r="V217" s="747">
        <v>6803</v>
      </c>
      <c r="W217" s="747">
        <v>6464</v>
      </c>
      <c r="X217" s="747">
        <v>6282</v>
      </c>
      <c r="Y217" s="747">
        <v>6063</v>
      </c>
      <c r="Z217" s="747">
        <v>5600</v>
      </c>
      <c r="AA217" s="747">
        <v>5212</v>
      </c>
      <c r="AC217" s="628">
        <f t="shared" si="33"/>
        <v>206</v>
      </c>
      <c r="AD217" s="627">
        <f t="shared" si="34"/>
        <v>286</v>
      </c>
      <c r="AE217" s="627">
        <f t="shared" si="31"/>
        <v>241</v>
      </c>
      <c r="AF217" s="627">
        <f t="shared" si="31"/>
        <v>130</v>
      </c>
      <c r="AG217" s="627">
        <f t="shared" si="31"/>
        <v>145</v>
      </c>
      <c r="AH217" s="627">
        <f t="shared" si="31"/>
        <v>68</v>
      </c>
      <c r="AI217" s="627">
        <f t="shared" si="31"/>
        <v>6</v>
      </c>
      <c r="AJ217" s="627">
        <f t="shared" si="31"/>
        <v>7</v>
      </c>
      <c r="AK217" s="627">
        <f t="shared" si="31"/>
        <v>128</v>
      </c>
      <c r="AL217" s="627">
        <f t="shared" si="31"/>
        <v>396</v>
      </c>
      <c r="AM217" s="627">
        <f t="shared" si="31"/>
        <v>362</v>
      </c>
      <c r="AN217" s="627">
        <f t="shared" si="31"/>
        <v>313</v>
      </c>
      <c r="AO217" s="627">
        <f t="shared" si="31"/>
        <v>335</v>
      </c>
      <c r="AP217" s="627">
        <f t="shared" si="31"/>
        <v>465</v>
      </c>
      <c r="AQ217" s="627">
        <f t="shared" si="30"/>
        <v>279</v>
      </c>
      <c r="AR217" s="627">
        <f t="shared" si="30"/>
        <v>210</v>
      </c>
      <c r="AS217" s="627">
        <f t="shared" si="30"/>
        <v>1</v>
      </c>
      <c r="AT217" s="627">
        <f t="shared" si="30"/>
        <v>97</v>
      </c>
      <c r="AU217" s="627">
        <f t="shared" si="29"/>
        <v>7</v>
      </c>
      <c r="AV217" s="627">
        <f t="shared" si="29"/>
        <v>215</v>
      </c>
      <c r="AW217" s="627">
        <f t="shared" si="29"/>
        <v>339</v>
      </c>
      <c r="AX217" s="627">
        <f t="shared" si="28"/>
        <v>182</v>
      </c>
      <c r="AY217" s="627">
        <f t="shared" si="28"/>
        <v>219</v>
      </c>
      <c r="AZ217" s="627">
        <f t="shared" si="28"/>
        <v>463</v>
      </c>
      <c r="BA217" s="627">
        <f t="shared" si="28"/>
        <v>388</v>
      </c>
    </row>
    <row r="218" spans="1:53">
      <c r="A218" s="105">
        <f t="shared" si="32"/>
        <v>207</v>
      </c>
      <c r="B218" s="745">
        <v>42576</v>
      </c>
      <c r="C218" s="746" t="s">
        <v>1772</v>
      </c>
      <c r="D218" s="747">
        <v>4847</v>
      </c>
      <c r="E218" s="747">
        <v>4600</v>
      </c>
      <c r="F218" s="747">
        <v>4460</v>
      </c>
      <c r="G218" s="747">
        <v>4392</v>
      </c>
      <c r="H218" s="747">
        <v>4403</v>
      </c>
      <c r="I218" s="747">
        <v>4499</v>
      </c>
      <c r="J218" s="747">
        <v>4749</v>
      </c>
      <c r="K218" s="747">
        <v>5140</v>
      </c>
      <c r="L218" s="747">
        <v>5444</v>
      </c>
      <c r="M218" s="747">
        <v>5779</v>
      </c>
      <c r="N218" s="747">
        <v>6143</v>
      </c>
      <c r="O218" s="747">
        <v>6461</v>
      </c>
      <c r="P218" s="747">
        <v>6839</v>
      </c>
      <c r="Q218" s="747">
        <v>7224</v>
      </c>
      <c r="R218" s="747">
        <v>7550</v>
      </c>
      <c r="S218" s="747">
        <v>7818</v>
      </c>
      <c r="T218" s="747">
        <v>7946</v>
      </c>
      <c r="U218" s="747">
        <v>8018</v>
      </c>
      <c r="V218" s="747">
        <v>7805</v>
      </c>
      <c r="W218" s="747">
        <v>7439</v>
      </c>
      <c r="X218" s="747">
        <v>7112</v>
      </c>
      <c r="Y218" s="747">
        <v>6726</v>
      </c>
      <c r="Z218" s="747">
        <v>6181</v>
      </c>
      <c r="AA218" s="747">
        <v>5705</v>
      </c>
      <c r="AC218" s="628">
        <f t="shared" si="33"/>
        <v>207</v>
      </c>
      <c r="AD218" s="627">
        <f t="shared" si="34"/>
        <v>365</v>
      </c>
      <c r="AE218" s="627">
        <f t="shared" si="31"/>
        <v>247</v>
      </c>
      <c r="AF218" s="627">
        <f t="shared" si="31"/>
        <v>140</v>
      </c>
      <c r="AG218" s="627">
        <f t="shared" si="31"/>
        <v>68</v>
      </c>
      <c r="AH218" s="627">
        <f t="shared" si="31"/>
        <v>11</v>
      </c>
      <c r="AI218" s="627">
        <f t="shared" si="31"/>
        <v>96</v>
      </c>
      <c r="AJ218" s="627">
        <f t="shared" si="31"/>
        <v>250</v>
      </c>
      <c r="AK218" s="627">
        <f t="shared" si="31"/>
        <v>391</v>
      </c>
      <c r="AL218" s="627">
        <f t="shared" si="31"/>
        <v>304</v>
      </c>
      <c r="AM218" s="627">
        <f t="shared" si="31"/>
        <v>335</v>
      </c>
      <c r="AN218" s="627">
        <f t="shared" si="31"/>
        <v>364</v>
      </c>
      <c r="AO218" s="627">
        <f t="shared" si="31"/>
        <v>318</v>
      </c>
      <c r="AP218" s="627">
        <f t="shared" si="31"/>
        <v>378</v>
      </c>
      <c r="AQ218" s="627">
        <f t="shared" si="30"/>
        <v>385</v>
      </c>
      <c r="AR218" s="627">
        <f t="shared" si="30"/>
        <v>326</v>
      </c>
      <c r="AS218" s="627">
        <f t="shared" si="30"/>
        <v>268</v>
      </c>
      <c r="AT218" s="627">
        <f t="shared" si="30"/>
        <v>128</v>
      </c>
      <c r="AU218" s="627">
        <f t="shared" si="30"/>
        <v>72</v>
      </c>
      <c r="AV218" s="627">
        <f t="shared" si="30"/>
        <v>213</v>
      </c>
      <c r="AW218" s="627">
        <f t="shared" si="30"/>
        <v>366</v>
      </c>
      <c r="AX218" s="627">
        <f t="shared" si="28"/>
        <v>327</v>
      </c>
      <c r="AY218" s="627">
        <f t="shared" si="28"/>
        <v>386</v>
      </c>
      <c r="AZ218" s="627">
        <f t="shared" si="28"/>
        <v>545</v>
      </c>
      <c r="BA218" s="627">
        <f t="shared" si="28"/>
        <v>476</v>
      </c>
    </row>
    <row r="219" spans="1:53">
      <c r="A219" s="105">
        <f t="shared" si="32"/>
        <v>208</v>
      </c>
      <c r="B219" s="745">
        <v>42577</v>
      </c>
      <c r="C219" s="746" t="s">
        <v>1772</v>
      </c>
      <c r="D219" s="747">
        <v>5296</v>
      </c>
      <c r="E219" s="747">
        <v>5012</v>
      </c>
      <c r="F219" s="747">
        <v>4814</v>
      </c>
      <c r="G219" s="747">
        <v>4698</v>
      </c>
      <c r="H219" s="747">
        <v>4599</v>
      </c>
      <c r="I219" s="747">
        <v>4784</v>
      </c>
      <c r="J219" s="747">
        <v>5005</v>
      </c>
      <c r="K219" s="747">
        <v>5286</v>
      </c>
      <c r="L219" s="747">
        <v>5676</v>
      </c>
      <c r="M219" s="747">
        <v>6095</v>
      </c>
      <c r="N219" s="747">
        <v>6480</v>
      </c>
      <c r="O219" s="747">
        <v>6802</v>
      </c>
      <c r="P219" s="747">
        <v>6948</v>
      </c>
      <c r="Q219" s="747">
        <v>7084</v>
      </c>
      <c r="R219" s="747">
        <v>7253</v>
      </c>
      <c r="S219" s="747">
        <v>7364</v>
      </c>
      <c r="T219" s="747">
        <v>7333</v>
      </c>
      <c r="U219" s="747">
        <v>7278</v>
      </c>
      <c r="V219" s="747">
        <v>7064</v>
      </c>
      <c r="W219" s="747">
        <v>6777</v>
      </c>
      <c r="X219" s="747">
        <v>6624</v>
      </c>
      <c r="Y219" s="747">
        <v>6408</v>
      </c>
      <c r="Z219" s="747">
        <v>5837</v>
      </c>
      <c r="AA219" s="747">
        <v>5438</v>
      </c>
      <c r="AC219" s="628">
        <f t="shared" si="33"/>
        <v>208</v>
      </c>
      <c r="AD219" s="627">
        <f t="shared" si="34"/>
        <v>409</v>
      </c>
      <c r="AE219" s="627">
        <f t="shared" si="31"/>
        <v>284</v>
      </c>
      <c r="AF219" s="627">
        <f t="shared" si="31"/>
        <v>198</v>
      </c>
      <c r="AG219" s="627">
        <f t="shared" si="31"/>
        <v>116</v>
      </c>
      <c r="AH219" s="627">
        <f t="shared" si="31"/>
        <v>99</v>
      </c>
      <c r="AI219" s="627">
        <f t="shared" si="31"/>
        <v>185</v>
      </c>
      <c r="AJ219" s="627">
        <f t="shared" si="31"/>
        <v>221</v>
      </c>
      <c r="AK219" s="627">
        <f t="shared" si="31"/>
        <v>281</v>
      </c>
      <c r="AL219" s="627">
        <f t="shared" si="31"/>
        <v>390</v>
      </c>
      <c r="AM219" s="627">
        <f t="shared" si="31"/>
        <v>419</v>
      </c>
      <c r="AN219" s="627">
        <f t="shared" si="31"/>
        <v>385</v>
      </c>
      <c r="AO219" s="627">
        <f t="shared" si="31"/>
        <v>322</v>
      </c>
      <c r="AP219" s="627">
        <f t="shared" si="31"/>
        <v>146</v>
      </c>
      <c r="AQ219" s="627">
        <f t="shared" si="30"/>
        <v>136</v>
      </c>
      <c r="AR219" s="627">
        <f t="shared" si="30"/>
        <v>169</v>
      </c>
      <c r="AS219" s="627">
        <f t="shared" si="30"/>
        <v>111</v>
      </c>
      <c r="AT219" s="627">
        <f t="shared" si="30"/>
        <v>31</v>
      </c>
      <c r="AU219" s="627">
        <f t="shared" si="30"/>
        <v>55</v>
      </c>
      <c r="AV219" s="627">
        <f t="shared" si="30"/>
        <v>214</v>
      </c>
      <c r="AW219" s="627">
        <f t="shared" si="30"/>
        <v>287</v>
      </c>
      <c r="AX219" s="627">
        <f t="shared" si="28"/>
        <v>153</v>
      </c>
      <c r="AY219" s="627">
        <f t="shared" si="28"/>
        <v>216</v>
      </c>
      <c r="AZ219" s="627">
        <f t="shared" si="28"/>
        <v>571</v>
      </c>
      <c r="BA219" s="627">
        <f t="shared" si="28"/>
        <v>399</v>
      </c>
    </row>
    <row r="220" spans="1:53">
      <c r="A220" s="105">
        <f t="shared" si="32"/>
        <v>209</v>
      </c>
      <c r="B220" s="745">
        <v>42578</v>
      </c>
      <c r="C220" s="746" t="s">
        <v>1772</v>
      </c>
      <c r="D220" s="747">
        <v>4988</v>
      </c>
      <c r="E220" s="747">
        <v>4749</v>
      </c>
      <c r="F220" s="747">
        <v>4529</v>
      </c>
      <c r="G220" s="747">
        <v>4440</v>
      </c>
      <c r="H220" s="747">
        <v>4502</v>
      </c>
      <c r="I220" s="747">
        <v>4606</v>
      </c>
      <c r="J220" s="747">
        <v>4805</v>
      </c>
      <c r="K220" s="747">
        <v>5020</v>
      </c>
      <c r="L220" s="747">
        <v>5390</v>
      </c>
      <c r="M220" s="747">
        <v>5722</v>
      </c>
      <c r="N220" s="747">
        <v>5999</v>
      </c>
      <c r="O220" s="747">
        <v>6348</v>
      </c>
      <c r="P220" s="747">
        <v>6632</v>
      </c>
      <c r="Q220" s="747">
        <v>6978</v>
      </c>
      <c r="R220" s="747">
        <v>7377</v>
      </c>
      <c r="S220" s="747">
        <v>7699</v>
      </c>
      <c r="T220" s="747">
        <v>8018</v>
      </c>
      <c r="U220" s="747">
        <v>8133</v>
      </c>
      <c r="V220" s="747">
        <v>8008</v>
      </c>
      <c r="W220" s="747">
        <v>7626</v>
      </c>
      <c r="X220" s="747">
        <v>7378</v>
      </c>
      <c r="Y220" s="747">
        <v>6985</v>
      </c>
      <c r="Z220" s="747">
        <v>6289</v>
      </c>
      <c r="AA220" s="747">
        <v>5867</v>
      </c>
      <c r="AC220" s="628">
        <f t="shared" si="33"/>
        <v>209</v>
      </c>
      <c r="AD220" s="627">
        <f t="shared" si="34"/>
        <v>450</v>
      </c>
      <c r="AE220" s="627">
        <f t="shared" si="31"/>
        <v>239</v>
      </c>
      <c r="AF220" s="627">
        <f t="shared" si="31"/>
        <v>220</v>
      </c>
      <c r="AG220" s="627">
        <f t="shared" si="31"/>
        <v>89</v>
      </c>
      <c r="AH220" s="627">
        <f t="shared" si="31"/>
        <v>62</v>
      </c>
      <c r="AI220" s="627">
        <f t="shared" si="31"/>
        <v>104</v>
      </c>
      <c r="AJ220" s="627">
        <f t="shared" si="31"/>
        <v>199</v>
      </c>
      <c r="AK220" s="627">
        <f t="shared" si="31"/>
        <v>215</v>
      </c>
      <c r="AL220" s="627">
        <f t="shared" si="31"/>
        <v>370</v>
      </c>
      <c r="AM220" s="627">
        <f t="shared" si="31"/>
        <v>332</v>
      </c>
      <c r="AN220" s="627">
        <f t="shared" si="31"/>
        <v>277</v>
      </c>
      <c r="AO220" s="627">
        <f t="shared" si="31"/>
        <v>349</v>
      </c>
      <c r="AP220" s="627">
        <f t="shared" si="31"/>
        <v>284</v>
      </c>
      <c r="AQ220" s="627">
        <f t="shared" si="30"/>
        <v>346</v>
      </c>
      <c r="AR220" s="627">
        <f t="shared" si="30"/>
        <v>399</v>
      </c>
      <c r="AS220" s="627">
        <f t="shared" si="30"/>
        <v>322</v>
      </c>
      <c r="AT220" s="627">
        <f t="shared" si="30"/>
        <v>319</v>
      </c>
      <c r="AU220" s="627">
        <f t="shared" si="30"/>
        <v>115</v>
      </c>
      <c r="AV220" s="627">
        <f t="shared" si="30"/>
        <v>125</v>
      </c>
      <c r="AW220" s="627">
        <f t="shared" si="30"/>
        <v>382</v>
      </c>
      <c r="AX220" s="627">
        <f t="shared" si="28"/>
        <v>248</v>
      </c>
      <c r="AY220" s="627">
        <f t="shared" si="28"/>
        <v>393</v>
      </c>
      <c r="AZ220" s="627">
        <f t="shared" si="28"/>
        <v>696</v>
      </c>
      <c r="BA220" s="627">
        <f t="shared" si="28"/>
        <v>422</v>
      </c>
    </row>
    <row r="221" spans="1:53">
      <c r="A221" s="105">
        <f t="shared" si="32"/>
        <v>210</v>
      </c>
      <c r="B221" s="745">
        <v>42579</v>
      </c>
      <c r="C221" s="746" t="s">
        <v>1772</v>
      </c>
      <c r="D221" s="747">
        <v>5415</v>
      </c>
      <c r="E221" s="747">
        <v>5081</v>
      </c>
      <c r="F221" s="747">
        <v>4858</v>
      </c>
      <c r="G221" s="747">
        <v>4760</v>
      </c>
      <c r="H221" s="747">
        <v>4760</v>
      </c>
      <c r="I221" s="747">
        <v>4817</v>
      </c>
      <c r="J221" s="747">
        <v>5042</v>
      </c>
      <c r="K221" s="747">
        <v>5286</v>
      </c>
      <c r="L221" s="747">
        <v>5696</v>
      </c>
      <c r="M221" s="747">
        <v>6053</v>
      </c>
      <c r="N221" s="747">
        <v>6274</v>
      </c>
      <c r="O221" s="747">
        <v>6532</v>
      </c>
      <c r="P221" s="747">
        <v>6797</v>
      </c>
      <c r="Q221" s="747">
        <v>7012</v>
      </c>
      <c r="R221" s="747">
        <v>7211</v>
      </c>
      <c r="S221" s="747">
        <v>7419</v>
      </c>
      <c r="T221" s="747">
        <v>7550</v>
      </c>
      <c r="U221" s="747">
        <v>7543</v>
      </c>
      <c r="V221" s="747">
        <v>7306</v>
      </c>
      <c r="W221" s="747">
        <v>6928</v>
      </c>
      <c r="X221" s="747">
        <v>6691</v>
      </c>
      <c r="Y221" s="747">
        <v>6396</v>
      </c>
      <c r="Z221" s="747">
        <v>5811</v>
      </c>
      <c r="AA221" s="747">
        <v>5379</v>
      </c>
      <c r="AC221" s="628">
        <f t="shared" si="33"/>
        <v>210</v>
      </c>
      <c r="AD221" s="627">
        <f t="shared" si="34"/>
        <v>452</v>
      </c>
      <c r="AE221" s="627">
        <f t="shared" si="31"/>
        <v>334</v>
      </c>
      <c r="AF221" s="627">
        <f t="shared" si="31"/>
        <v>223</v>
      </c>
      <c r="AG221" s="627">
        <f t="shared" si="31"/>
        <v>98</v>
      </c>
      <c r="AH221" s="627">
        <f t="shared" ref="AE221:AT239" si="35">ABS(H221-G221)</f>
        <v>0</v>
      </c>
      <c r="AI221" s="627">
        <f t="shared" si="35"/>
        <v>57</v>
      </c>
      <c r="AJ221" s="627">
        <f t="shared" si="35"/>
        <v>225</v>
      </c>
      <c r="AK221" s="627">
        <f t="shared" si="35"/>
        <v>244</v>
      </c>
      <c r="AL221" s="627">
        <f t="shared" si="35"/>
        <v>410</v>
      </c>
      <c r="AM221" s="627">
        <f t="shared" si="35"/>
        <v>357</v>
      </c>
      <c r="AN221" s="627">
        <f t="shared" si="35"/>
        <v>221</v>
      </c>
      <c r="AO221" s="627">
        <f t="shared" si="35"/>
        <v>258</v>
      </c>
      <c r="AP221" s="627">
        <f t="shared" si="35"/>
        <v>265</v>
      </c>
      <c r="AQ221" s="627">
        <f t="shared" si="30"/>
        <v>215</v>
      </c>
      <c r="AR221" s="627">
        <f t="shared" si="30"/>
        <v>199</v>
      </c>
      <c r="AS221" s="627">
        <f t="shared" si="30"/>
        <v>208</v>
      </c>
      <c r="AT221" s="627">
        <f t="shared" si="30"/>
        <v>131</v>
      </c>
      <c r="AU221" s="627">
        <f t="shared" si="30"/>
        <v>7</v>
      </c>
      <c r="AV221" s="627">
        <f t="shared" si="30"/>
        <v>237</v>
      </c>
      <c r="AW221" s="627">
        <f t="shared" si="30"/>
        <v>378</v>
      </c>
      <c r="AX221" s="627">
        <f t="shared" si="28"/>
        <v>237</v>
      </c>
      <c r="AY221" s="627">
        <f t="shared" si="28"/>
        <v>295</v>
      </c>
      <c r="AZ221" s="627">
        <f t="shared" si="28"/>
        <v>585</v>
      </c>
      <c r="BA221" s="627">
        <f t="shared" si="28"/>
        <v>432</v>
      </c>
    </row>
    <row r="222" spans="1:53">
      <c r="A222" s="105">
        <f t="shared" si="32"/>
        <v>211</v>
      </c>
      <c r="B222" s="745">
        <v>42580</v>
      </c>
      <c r="C222" s="746" t="s">
        <v>1772</v>
      </c>
      <c r="D222" s="747">
        <v>5205</v>
      </c>
      <c r="E222" s="747">
        <v>4959</v>
      </c>
      <c r="F222" s="747">
        <v>4788</v>
      </c>
      <c r="G222" s="747">
        <v>4602</v>
      </c>
      <c r="H222" s="747">
        <v>4600</v>
      </c>
      <c r="I222" s="747">
        <v>4724</v>
      </c>
      <c r="J222" s="747">
        <v>4877</v>
      </c>
      <c r="K222" s="747">
        <v>5227</v>
      </c>
      <c r="L222" s="747">
        <v>5563</v>
      </c>
      <c r="M222" s="747">
        <v>5894</v>
      </c>
      <c r="N222" s="747">
        <v>6155</v>
      </c>
      <c r="O222" s="747">
        <v>6422</v>
      </c>
      <c r="P222" s="747">
        <v>6664</v>
      </c>
      <c r="Q222" s="747">
        <v>6965</v>
      </c>
      <c r="R222" s="747">
        <v>7210</v>
      </c>
      <c r="S222" s="747">
        <v>7454</v>
      </c>
      <c r="T222" s="747">
        <v>7592</v>
      </c>
      <c r="U222" s="747">
        <v>7645</v>
      </c>
      <c r="V222" s="747">
        <v>7375</v>
      </c>
      <c r="W222" s="747">
        <v>7071</v>
      </c>
      <c r="X222" s="747">
        <v>6759</v>
      </c>
      <c r="Y222" s="747">
        <v>6412</v>
      </c>
      <c r="Z222" s="747">
        <v>5852</v>
      </c>
      <c r="AA222" s="747">
        <v>5414</v>
      </c>
      <c r="AC222" s="628">
        <f t="shared" si="33"/>
        <v>211</v>
      </c>
      <c r="AD222" s="627">
        <f t="shared" si="34"/>
        <v>174</v>
      </c>
      <c r="AE222" s="627">
        <f t="shared" si="35"/>
        <v>246</v>
      </c>
      <c r="AF222" s="627">
        <f t="shared" si="35"/>
        <v>171</v>
      </c>
      <c r="AG222" s="627">
        <f t="shared" si="35"/>
        <v>186</v>
      </c>
      <c r="AH222" s="627">
        <f t="shared" si="35"/>
        <v>2</v>
      </c>
      <c r="AI222" s="627">
        <f t="shared" si="35"/>
        <v>124</v>
      </c>
      <c r="AJ222" s="627">
        <f t="shared" si="35"/>
        <v>153</v>
      </c>
      <c r="AK222" s="627">
        <f t="shared" si="35"/>
        <v>350</v>
      </c>
      <c r="AL222" s="627">
        <f t="shared" si="35"/>
        <v>336</v>
      </c>
      <c r="AM222" s="627">
        <f t="shared" si="35"/>
        <v>331</v>
      </c>
      <c r="AN222" s="627">
        <f t="shared" si="35"/>
        <v>261</v>
      </c>
      <c r="AO222" s="627">
        <f t="shared" si="35"/>
        <v>267</v>
      </c>
      <c r="AP222" s="627">
        <f t="shared" si="35"/>
        <v>242</v>
      </c>
      <c r="AQ222" s="627">
        <f t="shared" si="30"/>
        <v>301</v>
      </c>
      <c r="AR222" s="627">
        <f t="shared" si="30"/>
        <v>245</v>
      </c>
      <c r="AS222" s="627">
        <f t="shared" si="30"/>
        <v>244</v>
      </c>
      <c r="AT222" s="627">
        <f t="shared" si="30"/>
        <v>138</v>
      </c>
      <c r="AU222" s="627">
        <f t="shared" si="30"/>
        <v>53</v>
      </c>
      <c r="AV222" s="627">
        <f t="shared" si="30"/>
        <v>270</v>
      </c>
      <c r="AW222" s="627">
        <f t="shared" si="30"/>
        <v>304</v>
      </c>
      <c r="AX222" s="627">
        <f t="shared" si="28"/>
        <v>312</v>
      </c>
      <c r="AY222" s="627">
        <f t="shared" si="28"/>
        <v>347</v>
      </c>
      <c r="AZ222" s="627">
        <f t="shared" si="28"/>
        <v>560</v>
      </c>
      <c r="BA222" s="627">
        <f t="shared" si="28"/>
        <v>438</v>
      </c>
    </row>
    <row r="223" spans="1:53">
      <c r="A223" s="105">
        <f t="shared" si="32"/>
        <v>212</v>
      </c>
      <c r="B223" s="745">
        <v>42581</v>
      </c>
      <c r="C223" s="746" t="s">
        <v>1772</v>
      </c>
      <c r="D223" s="747">
        <v>5096</v>
      </c>
      <c r="E223" s="747">
        <v>4801</v>
      </c>
      <c r="F223" s="747">
        <v>4678</v>
      </c>
      <c r="G223" s="747">
        <v>4572</v>
      </c>
      <c r="H223" s="747">
        <v>4518</v>
      </c>
      <c r="I223" s="747">
        <v>4535</v>
      </c>
      <c r="J223" s="747">
        <v>4549</v>
      </c>
      <c r="K223" s="747">
        <v>4735</v>
      </c>
      <c r="L223" s="747">
        <v>5119</v>
      </c>
      <c r="M223" s="747">
        <v>5457</v>
      </c>
      <c r="N223" s="747">
        <v>5691</v>
      </c>
      <c r="O223" s="747">
        <v>6020</v>
      </c>
      <c r="P223" s="747">
        <v>6338</v>
      </c>
      <c r="Q223" s="747">
        <v>6627</v>
      </c>
      <c r="R223" s="747">
        <v>6934</v>
      </c>
      <c r="S223" s="747">
        <v>7160</v>
      </c>
      <c r="T223" s="747">
        <v>7303</v>
      </c>
      <c r="U223" s="747">
        <v>7315</v>
      </c>
      <c r="V223" s="747">
        <v>7171</v>
      </c>
      <c r="W223" s="747">
        <v>6891</v>
      </c>
      <c r="X223" s="747">
        <v>6700</v>
      </c>
      <c r="Y223" s="747">
        <v>6395</v>
      </c>
      <c r="Z223" s="747">
        <v>5841</v>
      </c>
      <c r="AA223" s="747">
        <v>5390</v>
      </c>
      <c r="AC223" s="628">
        <f t="shared" si="33"/>
        <v>212</v>
      </c>
      <c r="AD223" s="627">
        <f t="shared" si="34"/>
        <v>318</v>
      </c>
      <c r="AE223" s="627">
        <f t="shared" si="35"/>
        <v>295</v>
      </c>
      <c r="AF223" s="627">
        <f t="shared" si="35"/>
        <v>123</v>
      </c>
      <c r="AG223" s="627">
        <f t="shared" si="35"/>
        <v>106</v>
      </c>
      <c r="AH223" s="627">
        <f t="shared" si="35"/>
        <v>54</v>
      </c>
      <c r="AI223" s="627">
        <f t="shared" si="35"/>
        <v>17</v>
      </c>
      <c r="AJ223" s="627">
        <f t="shared" si="35"/>
        <v>14</v>
      </c>
      <c r="AK223" s="627">
        <f t="shared" si="35"/>
        <v>186</v>
      </c>
      <c r="AL223" s="627">
        <f t="shared" si="35"/>
        <v>384</v>
      </c>
      <c r="AM223" s="627">
        <f t="shared" si="35"/>
        <v>338</v>
      </c>
      <c r="AN223" s="627">
        <f t="shared" si="35"/>
        <v>234</v>
      </c>
      <c r="AO223" s="627">
        <f t="shared" si="35"/>
        <v>329</v>
      </c>
      <c r="AP223" s="627">
        <f t="shared" si="35"/>
        <v>318</v>
      </c>
      <c r="AQ223" s="627">
        <f t="shared" si="30"/>
        <v>289</v>
      </c>
      <c r="AR223" s="627">
        <f t="shared" si="30"/>
        <v>307</v>
      </c>
      <c r="AS223" s="627">
        <f t="shared" si="30"/>
        <v>226</v>
      </c>
      <c r="AT223" s="627">
        <f t="shared" si="30"/>
        <v>143</v>
      </c>
      <c r="AU223" s="627">
        <f t="shared" si="30"/>
        <v>12</v>
      </c>
      <c r="AV223" s="627">
        <f t="shared" si="30"/>
        <v>144</v>
      </c>
      <c r="AW223" s="627">
        <f t="shared" si="30"/>
        <v>280</v>
      </c>
      <c r="AX223" s="627">
        <f t="shared" si="28"/>
        <v>191</v>
      </c>
      <c r="AY223" s="627">
        <f t="shared" si="28"/>
        <v>305</v>
      </c>
      <c r="AZ223" s="627">
        <f t="shared" si="28"/>
        <v>554</v>
      </c>
      <c r="BA223" s="627">
        <f t="shared" si="28"/>
        <v>451</v>
      </c>
    </row>
    <row r="224" spans="1:53">
      <c r="A224" s="105">
        <f t="shared" si="32"/>
        <v>213</v>
      </c>
      <c r="B224" s="745">
        <v>42582</v>
      </c>
      <c r="C224" s="746" t="s">
        <v>1772</v>
      </c>
      <c r="D224" s="747">
        <v>5154</v>
      </c>
      <c r="E224" s="747">
        <v>4859</v>
      </c>
      <c r="F224" s="747">
        <v>4641</v>
      </c>
      <c r="G224" s="747">
        <v>4446</v>
      </c>
      <c r="H224" s="747">
        <v>4371</v>
      </c>
      <c r="I224" s="747">
        <v>4361</v>
      </c>
      <c r="J224" s="747">
        <v>4263</v>
      </c>
      <c r="K224" s="747">
        <v>4517</v>
      </c>
      <c r="L224" s="747">
        <v>4874</v>
      </c>
      <c r="M224" s="747">
        <v>5300</v>
      </c>
      <c r="N224" s="747">
        <v>5798</v>
      </c>
      <c r="O224" s="747">
        <v>6319</v>
      </c>
      <c r="P224" s="747">
        <v>6649</v>
      </c>
      <c r="Q224" s="747">
        <v>6785</v>
      </c>
      <c r="R224" s="747">
        <v>6820</v>
      </c>
      <c r="S224" s="747">
        <v>6640</v>
      </c>
      <c r="T224" s="747">
        <v>6432</v>
      </c>
      <c r="U224" s="747">
        <v>6339</v>
      </c>
      <c r="V224" s="747">
        <v>6212</v>
      </c>
      <c r="W224" s="747">
        <v>6044</v>
      </c>
      <c r="X224" s="747">
        <v>6049</v>
      </c>
      <c r="Y224" s="747">
        <v>5910</v>
      </c>
      <c r="Z224" s="747">
        <v>5579</v>
      </c>
      <c r="AA224" s="747">
        <v>5136</v>
      </c>
      <c r="AC224" s="628">
        <f t="shared" si="33"/>
        <v>213</v>
      </c>
      <c r="AD224" s="627">
        <f t="shared" si="34"/>
        <v>236</v>
      </c>
      <c r="AE224" s="627">
        <f t="shared" si="35"/>
        <v>295</v>
      </c>
      <c r="AF224" s="627">
        <f t="shared" si="35"/>
        <v>218</v>
      </c>
      <c r="AG224" s="627">
        <f t="shared" si="35"/>
        <v>195</v>
      </c>
      <c r="AH224" s="627">
        <f t="shared" si="35"/>
        <v>75</v>
      </c>
      <c r="AI224" s="627">
        <f t="shared" si="35"/>
        <v>10</v>
      </c>
      <c r="AJ224" s="627">
        <f t="shared" si="35"/>
        <v>98</v>
      </c>
      <c r="AK224" s="627">
        <f t="shared" si="35"/>
        <v>254</v>
      </c>
      <c r="AL224" s="627">
        <f t="shared" si="35"/>
        <v>357</v>
      </c>
      <c r="AM224" s="627">
        <f t="shared" si="35"/>
        <v>426</v>
      </c>
      <c r="AN224" s="627">
        <f t="shared" si="35"/>
        <v>498</v>
      </c>
      <c r="AO224" s="627">
        <f t="shared" si="35"/>
        <v>521</v>
      </c>
      <c r="AP224" s="627">
        <f t="shared" si="35"/>
        <v>330</v>
      </c>
      <c r="AQ224" s="627">
        <f t="shared" si="30"/>
        <v>136</v>
      </c>
      <c r="AR224" s="627">
        <f t="shared" si="30"/>
        <v>35</v>
      </c>
      <c r="AS224" s="627">
        <f t="shared" si="30"/>
        <v>180</v>
      </c>
      <c r="AT224" s="627">
        <f t="shared" si="30"/>
        <v>208</v>
      </c>
      <c r="AU224" s="627">
        <f t="shared" si="30"/>
        <v>93</v>
      </c>
      <c r="AV224" s="627">
        <f t="shared" si="30"/>
        <v>127</v>
      </c>
      <c r="AW224" s="627">
        <f t="shared" si="30"/>
        <v>168</v>
      </c>
      <c r="AX224" s="627">
        <f t="shared" si="28"/>
        <v>5</v>
      </c>
      <c r="AY224" s="627">
        <f t="shared" si="28"/>
        <v>139</v>
      </c>
      <c r="AZ224" s="627">
        <f t="shared" si="28"/>
        <v>331</v>
      </c>
      <c r="BA224" s="627">
        <f t="shared" si="28"/>
        <v>443</v>
      </c>
    </row>
    <row r="225" spans="1:53">
      <c r="A225" s="105">
        <f t="shared" si="32"/>
        <v>214</v>
      </c>
      <c r="B225" s="745">
        <v>42583</v>
      </c>
      <c r="C225" s="746" t="s">
        <v>1772</v>
      </c>
      <c r="D225" s="747">
        <v>4890</v>
      </c>
      <c r="E225" s="747">
        <v>4655</v>
      </c>
      <c r="F225" s="747">
        <v>4509</v>
      </c>
      <c r="G225" s="747">
        <v>4446</v>
      </c>
      <c r="H225" s="747">
        <v>4394</v>
      </c>
      <c r="I225" s="747">
        <v>4579</v>
      </c>
      <c r="J225" s="747">
        <v>4840</v>
      </c>
      <c r="K225" s="747">
        <v>5219</v>
      </c>
      <c r="L225" s="747">
        <v>5597</v>
      </c>
      <c r="M225" s="747">
        <v>6065</v>
      </c>
      <c r="N225" s="747">
        <v>6454</v>
      </c>
      <c r="O225" s="747">
        <v>6848</v>
      </c>
      <c r="P225" s="747">
        <v>7216</v>
      </c>
      <c r="Q225" s="747">
        <v>7529</v>
      </c>
      <c r="R225" s="747">
        <v>7798</v>
      </c>
      <c r="S225" s="747">
        <v>8013</v>
      </c>
      <c r="T225" s="747">
        <v>8156</v>
      </c>
      <c r="U225" s="747">
        <v>8144</v>
      </c>
      <c r="V225" s="747">
        <v>7886</v>
      </c>
      <c r="W225" s="747">
        <v>7470</v>
      </c>
      <c r="X225" s="747">
        <v>7232</v>
      </c>
      <c r="Y225" s="747">
        <v>6781</v>
      </c>
      <c r="Z225" s="747">
        <v>6079</v>
      </c>
      <c r="AA225" s="747">
        <v>5483</v>
      </c>
      <c r="AB225" s="627">
        <f>MAX(D225:AA255)</f>
        <v>8407</v>
      </c>
      <c r="AC225" s="628">
        <f t="shared" si="33"/>
        <v>214</v>
      </c>
      <c r="AD225" s="627">
        <f t="shared" si="34"/>
        <v>246</v>
      </c>
      <c r="AE225" s="627">
        <f t="shared" si="35"/>
        <v>235</v>
      </c>
      <c r="AF225" s="627">
        <f t="shared" si="35"/>
        <v>146</v>
      </c>
      <c r="AG225" s="627">
        <f t="shared" si="35"/>
        <v>63</v>
      </c>
      <c r="AH225" s="627">
        <f t="shared" si="35"/>
        <v>52</v>
      </c>
      <c r="AI225" s="627">
        <f t="shared" si="35"/>
        <v>185</v>
      </c>
      <c r="AJ225" s="627">
        <f t="shared" si="35"/>
        <v>261</v>
      </c>
      <c r="AK225" s="627">
        <f t="shared" si="35"/>
        <v>379</v>
      </c>
      <c r="AL225" s="627">
        <f t="shared" si="35"/>
        <v>378</v>
      </c>
      <c r="AM225" s="627">
        <f t="shared" si="35"/>
        <v>468</v>
      </c>
      <c r="AN225" s="627">
        <f t="shared" si="35"/>
        <v>389</v>
      </c>
      <c r="AO225" s="627">
        <f t="shared" si="35"/>
        <v>394</v>
      </c>
      <c r="AP225" s="627">
        <f t="shared" si="35"/>
        <v>368</v>
      </c>
      <c r="AQ225" s="627">
        <f t="shared" si="30"/>
        <v>313</v>
      </c>
      <c r="AR225" s="627">
        <f t="shared" si="30"/>
        <v>269</v>
      </c>
      <c r="AS225" s="627">
        <f t="shared" si="30"/>
        <v>215</v>
      </c>
      <c r="AT225" s="627">
        <f t="shared" si="30"/>
        <v>143</v>
      </c>
      <c r="AU225" s="627">
        <f t="shared" si="30"/>
        <v>12</v>
      </c>
      <c r="AV225" s="627">
        <f t="shared" si="30"/>
        <v>258</v>
      </c>
      <c r="AW225" s="627">
        <f t="shared" si="30"/>
        <v>416</v>
      </c>
      <c r="AX225" s="627">
        <f t="shared" si="28"/>
        <v>238</v>
      </c>
      <c r="AY225" s="627">
        <f t="shared" si="28"/>
        <v>451</v>
      </c>
      <c r="AZ225" s="627">
        <f t="shared" si="28"/>
        <v>702</v>
      </c>
      <c r="BA225" s="627">
        <f t="shared" si="28"/>
        <v>596</v>
      </c>
    </row>
    <row r="226" spans="1:53">
      <c r="A226" s="105">
        <f t="shared" si="32"/>
        <v>215</v>
      </c>
      <c r="B226" s="745">
        <v>42584</v>
      </c>
      <c r="C226" s="746" t="s">
        <v>1772</v>
      </c>
      <c r="D226" s="747">
        <v>5152</v>
      </c>
      <c r="E226" s="747">
        <v>4895</v>
      </c>
      <c r="F226" s="747">
        <v>4674</v>
      </c>
      <c r="G226" s="747">
        <v>4592</v>
      </c>
      <c r="H226" s="747">
        <v>4615</v>
      </c>
      <c r="I226" s="747">
        <v>4684</v>
      </c>
      <c r="J226" s="747">
        <v>4983</v>
      </c>
      <c r="K226" s="747">
        <v>5335</v>
      </c>
      <c r="L226" s="747">
        <v>5573</v>
      </c>
      <c r="M226" s="747">
        <v>5942</v>
      </c>
      <c r="N226" s="747">
        <v>6310</v>
      </c>
      <c r="O226" s="747">
        <v>6699</v>
      </c>
      <c r="P226" s="747">
        <v>7030</v>
      </c>
      <c r="Q226" s="747">
        <v>7419</v>
      </c>
      <c r="R226" s="747">
        <v>7773</v>
      </c>
      <c r="S226" s="747">
        <v>7927</v>
      </c>
      <c r="T226" s="747">
        <v>7873</v>
      </c>
      <c r="U226" s="747">
        <v>7672</v>
      </c>
      <c r="V226" s="747">
        <v>7323</v>
      </c>
      <c r="W226" s="747">
        <v>6953</v>
      </c>
      <c r="X226" s="747">
        <v>6772</v>
      </c>
      <c r="Y226" s="747">
        <v>6478</v>
      </c>
      <c r="Z226" s="747">
        <v>5992</v>
      </c>
      <c r="AA226" s="747">
        <v>5533</v>
      </c>
      <c r="AC226" s="628">
        <f t="shared" si="33"/>
        <v>215</v>
      </c>
      <c r="AD226" s="627">
        <f t="shared" si="34"/>
        <v>331</v>
      </c>
      <c r="AE226" s="627">
        <f t="shared" si="35"/>
        <v>257</v>
      </c>
      <c r="AF226" s="627">
        <f t="shared" si="35"/>
        <v>221</v>
      </c>
      <c r="AG226" s="627">
        <f t="shared" si="35"/>
        <v>82</v>
      </c>
      <c r="AH226" s="627">
        <f t="shared" si="35"/>
        <v>23</v>
      </c>
      <c r="AI226" s="627">
        <f t="shared" si="35"/>
        <v>69</v>
      </c>
      <c r="AJ226" s="627">
        <f t="shared" si="35"/>
        <v>299</v>
      </c>
      <c r="AK226" s="627">
        <f t="shared" si="35"/>
        <v>352</v>
      </c>
      <c r="AL226" s="627">
        <f t="shared" si="35"/>
        <v>238</v>
      </c>
      <c r="AM226" s="627">
        <f t="shared" si="35"/>
        <v>369</v>
      </c>
      <c r="AN226" s="627">
        <f t="shared" si="35"/>
        <v>368</v>
      </c>
      <c r="AO226" s="627">
        <f t="shared" si="35"/>
        <v>389</v>
      </c>
      <c r="AP226" s="627">
        <f t="shared" si="35"/>
        <v>331</v>
      </c>
      <c r="AQ226" s="627">
        <f t="shared" si="30"/>
        <v>389</v>
      </c>
      <c r="AR226" s="627">
        <f t="shared" si="30"/>
        <v>354</v>
      </c>
      <c r="AS226" s="627">
        <f t="shared" si="30"/>
        <v>154</v>
      </c>
      <c r="AT226" s="627">
        <f t="shared" si="30"/>
        <v>54</v>
      </c>
      <c r="AU226" s="627">
        <f t="shared" si="30"/>
        <v>201</v>
      </c>
      <c r="AV226" s="627">
        <f t="shared" si="30"/>
        <v>349</v>
      </c>
      <c r="AW226" s="627">
        <f t="shared" si="30"/>
        <v>370</v>
      </c>
      <c r="AX226" s="627">
        <f t="shared" si="28"/>
        <v>181</v>
      </c>
      <c r="AY226" s="627">
        <f t="shared" si="28"/>
        <v>294</v>
      </c>
      <c r="AZ226" s="627">
        <f t="shared" si="28"/>
        <v>486</v>
      </c>
      <c r="BA226" s="627">
        <f t="shared" si="28"/>
        <v>459</v>
      </c>
    </row>
    <row r="227" spans="1:53">
      <c r="A227" s="105">
        <f t="shared" si="32"/>
        <v>216</v>
      </c>
      <c r="B227" s="745">
        <v>42585</v>
      </c>
      <c r="C227" s="746" t="s">
        <v>1772</v>
      </c>
      <c r="D227" s="747">
        <v>5141</v>
      </c>
      <c r="E227" s="747">
        <v>4861</v>
      </c>
      <c r="F227" s="747">
        <v>4724</v>
      </c>
      <c r="G227" s="747">
        <v>4632</v>
      </c>
      <c r="H227" s="747">
        <v>4558</v>
      </c>
      <c r="I227" s="747">
        <v>4762</v>
      </c>
      <c r="J227" s="747">
        <v>4961</v>
      </c>
      <c r="K227" s="747">
        <v>5272</v>
      </c>
      <c r="L227" s="747">
        <v>5643</v>
      </c>
      <c r="M227" s="747">
        <v>6031</v>
      </c>
      <c r="N227" s="747">
        <v>6376</v>
      </c>
      <c r="O227" s="747">
        <v>6800</v>
      </c>
      <c r="P227" s="747">
        <v>7203</v>
      </c>
      <c r="Q227" s="747">
        <v>7603</v>
      </c>
      <c r="R227" s="747">
        <v>7985</v>
      </c>
      <c r="S227" s="747">
        <v>8251</v>
      </c>
      <c r="T227" s="747">
        <v>8407</v>
      </c>
      <c r="U227" s="747">
        <v>8329</v>
      </c>
      <c r="V227" s="747">
        <v>7960</v>
      </c>
      <c r="W227" s="747">
        <v>7600</v>
      </c>
      <c r="X227" s="747">
        <v>7317</v>
      </c>
      <c r="Y227" s="747">
        <v>6921</v>
      </c>
      <c r="Z227" s="747">
        <v>6263</v>
      </c>
      <c r="AA227" s="747">
        <v>5638</v>
      </c>
      <c r="AC227" s="628">
        <f t="shared" si="33"/>
        <v>216</v>
      </c>
      <c r="AD227" s="627">
        <f t="shared" si="34"/>
        <v>392</v>
      </c>
      <c r="AE227" s="627">
        <f t="shared" si="35"/>
        <v>280</v>
      </c>
      <c r="AF227" s="627">
        <f t="shared" si="35"/>
        <v>137</v>
      </c>
      <c r="AG227" s="627">
        <f t="shared" si="35"/>
        <v>92</v>
      </c>
      <c r="AH227" s="627">
        <f t="shared" si="35"/>
        <v>74</v>
      </c>
      <c r="AI227" s="627">
        <f t="shared" si="35"/>
        <v>204</v>
      </c>
      <c r="AJ227" s="627">
        <f t="shared" si="35"/>
        <v>199</v>
      </c>
      <c r="AK227" s="627">
        <f t="shared" si="35"/>
        <v>311</v>
      </c>
      <c r="AL227" s="627">
        <f t="shared" si="35"/>
        <v>371</v>
      </c>
      <c r="AM227" s="627">
        <f t="shared" si="35"/>
        <v>388</v>
      </c>
      <c r="AN227" s="627">
        <f t="shared" si="35"/>
        <v>345</v>
      </c>
      <c r="AO227" s="627">
        <f t="shared" si="35"/>
        <v>424</v>
      </c>
      <c r="AP227" s="627">
        <f t="shared" si="35"/>
        <v>403</v>
      </c>
      <c r="AQ227" s="627">
        <f t="shared" si="30"/>
        <v>400</v>
      </c>
      <c r="AR227" s="627">
        <f t="shared" si="30"/>
        <v>382</v>
      </c>
      <c r="AS227" s="627">
        <f t="shared" si="30"/>
        <v>266</v>
      </c>
      <c r="AT227" s="627">
        <f t="shared" si="30"/>
        <v>156</v>
      </c>
      <c r="AU227" s="627">
        <f t="shared" si="30"/>
        <v>78</v>
      </c>
      <c r="AV227" s="627">
        <f t="shared" si="30"/>
        <v>369</v>
      </c>
      <c r="AW227" s="627">
        <f t="shared" si="30"/>
        <v>360</v>
      </c>
      <c r="AX227" s="627">
        <f t="shared" si="28"/>
        <v>283</v>
      </c>
      <c r="AY227" s="627">
        <f t="shared" si="28"/>
        <v>396</v>
      </c>
      <c r="AZ227" s="627">
        <f t="shared" si="28"/>
        <v>658</v>
      </c>
      <c r="BA227" s="627">
        <f t="shared" si="28"/>
        <v>625</v>
      </c>
    </row>
    <row r="228" spans="1:53">
      <c r="A228" s="105">
        <f t="shared" si="32"/>
        <v>217</v>
      </c>
      <c r="B228" s="745">
        <v>42586</v>
      </c>
      <c r="C228" s="746" t="s">
        <v>1772</v>
      </c>
      <c r="D228" s="747">
        <v>5200</v>
      </c>
      <c r="E228" s="747">
        <v>4970</v>
      </c>
      <c r="F228" s="747">
        <v>4926</v>
      </c>
      <c r="G228" s="747">
        <v>4841</v>
      </c>
      <c r="H228" s="747">
        <v>4898</v>
      </c>
      <c r="I228" s="747">
        <v>5102</v>
      </c>
      <c r="J228" s="747">
        <v>5369</v>
      </c>
      <c r="K228" s="747">
        <v>5473</v>
      </c>
      <c r="L228" s="747">
        <v>5632</v>
      </c>
      <c r="M228" s="747">
        <v>5788</v>
      </c>
      <c r="N228" s="747">
        <v>5627</v>
      </c>
      <c r="O228" s="747">
        <v>5736</v>
      </c>
      <c r="P228" s="747">
        <v>5936</v>
      </c>
      <c r="Q228" s="747">
        <v>6070</v>
      </c>
      <c r="R228" s="747">
        <v>6129</v>
      </c>
      <c r="S228" s="747">
        <v>6106</v>
      </c>
      <c r="T228" s="747">
        <v>6024</v>
      </c>
      <c r="U228" s="747">
        <v>5875</v>
      </c>
      <c r="V228" s="747">
        <v>5718</v>
      </c>
      <c r="W228" s="747">
        <v>5554</v>
      </c>
      <c r="X228" s="747">
        <v>5617</v>
      </c>
      <c r="Y228" s="747">
        <v>5433</v>
      </c>
      <c r="Z228" s="747">
        <v>5028</v>
      </c>
      <c r="AA228" s="747">
        <v>4643</v>
      </c>
      <c r="AC228" s="628">
        <f t="shared" si="33"/>
        <v>217</v>
      </c>
      <c r="AD228" s="627">
        <f t="shared" si="34"/>
        <v>438</v>
      </c>
      <c r="AE228" s="627">
        <f t="shared" si="35"/>
        <v>230</v>
      </c>
      <c r="AF228" s="627">
        <f t="shared" si="35"/>
        <v>44</v>
      </c>
      <c r="AG228" s="627">
        <f t="shared" si="35"/>
        <v>85</v>
      </c>
      <c r="AH228" s="627">
        <f t="shared" si="35"/>
        <v>57</v>
      </c>
      <c r="AI228" s="627">
        <f t="shared" si="35"/>
        <v>204</v>
      </c>
      <c r="AJ228" s="627">
        <f t="shared" si="35"/>
        <v>267</v>
      </c>
      <c r="AK228" s="627">
        <f t="shared" si="35"/>
        <v>104</v>
      </c>
      <c r="AL228" s="627">
        <f t="shared" si="35"/>
        <v>159</v>
      </c>
      <c r="AM228" s="627">
        <f t="shared" si="35"/>
        <v>156</v>
      </c>
      <c r="AN228" s="627">
        <f t="shared" si="35"/>
        <v>161</v>
      </c>
      <c r="AO228" s="627">
        <f t="shared" si="35"/>
        <v>109</v>
      </c>
      <c r="AP228" s="627">
        <f t="shared" si="35"/>
        <v>200</v>
      </c>
      <c r="AQ228" s="627">
        <f t="shared" si="30"/>
        <v>134</v>
      </c>
      <c r="AR228" s="627">
        <f t="shared" si="30"/>
        <v>59</v>
      </c>
      <c r="AS228" s="627">
        <f t="shared" si="30"/>
        <v>23</v>
      </c>
      <c r="AT228" s="627">
        <f t="shared" si="30"/>
        <v>82</v>
      </c>
      <c r="AU228" s="627">
        <f t="shared" si="30"/>
        <v>149</v>
      </c>
      <c r="AV228" s="627">
        <f t="shared" si="30"/>
        <v>157</v>
      </c>
      <c r="AW228" s="627">
        <f t="shared" si="30"/>
        <v>164</v>
      </c>
      <c r="AX228" s="627">
        <f t="shared" si="28"/>
        <v>63</v>
      </c>
      <c r="AY228" s="627">
        <f t="shared" si="28"/>
        <v>184</v>
      </c>
      <c r="AZ228" s="627">
        <f t="shared" si="28"/>
        <v>405</v>
      </c>
      <c r="BA228" s="627">
        <f t="shared" si="28"/>
        <v>385</v>
      </c>
    </row>
    <row r="229" spans="1:53">
      <c r="A229" s="105">
        <f t="shared" si="32"/>
        <v>218</v>
      </c>
      <c r="B229" s="745">
        <v>42587</v>
      </c>
      <c r="C229" s="746" t="s">
        <v>1772</v>
      </c>
      <c r="D229" s="747">
        <v>4457</v>
      </c>
      <c r="E229" s="747">
        <v>4254</v>
      </c>
      <c r="F229" s="747">
        <v>4168</v>
      </c>
      <c r="G229" s="747">
        <v>4147</v>
      </c>
      <c r="H229" s="747">
        <v>4165</v>
      </c>
      <c r="I229" s="747">
        <v>4425</v>
      </c>
      <c r="J229" s="747">
        <v>4636</v>
      </c>
      <c r="K229" s="747">
        <v>4832</v>
      </c>
      <c r="L229" s="747">
        <v>5042</v>
      </c>
      <c r="M229" s="747">
        <v>5217</v>
      </c>
      <c r="N229" s="747">
        <v>5343</v>
      </c>
      <c r="O229" s="747">
        <v>5484</v>
      </c>
      <c r="P229" s="747">
        <v>5537</v>
      </c>
      <c r="Q229" s="747">
        <v>5660</v>
      </c>
      <c r="R229" s="747">
        <v>5764</v>
      </c>
      <c r="S229" s="747">
        <v>5806</v>
      </c>
      <c r="T229" s="747">
        <v>5701</v>
      </c>
      <c r="U229" s="747">
        <v>5669</v>
      </c>
      <c r="V229" s="747">
        <v>5568</v>
      </c>
      <c r="W229" s="747">
        <v>5462</v>
      </c>
      <c r="X229" s="747">
        <v>5503</v>
      </c>
      <c r="Y229" s="747">
        <v>5356</v>
      </c>
      <c r="Z229" s="747">
        <v>5020</v>
      </c>
      <c r="AA229" s="747">
        <v>4614</v>
      </c>
      <c r="AC229" s="628">
        <f t="shared" si="33"/>
        <v>218</v>
      </c>
      <c r="AD229" s="627">
        <f t="shared" si="34"/>
        <v>186</v>
      </c>
      <c r="AE229" s="627">
        <f t="shared" si="35"/>
        <v>203</v>
      </c>
      <c r="AF229" s="627">
        <f t="shared" si="35"/>
        <v>86</v>
      </c>
      <c r="AG229" s="627">
        <f t="shared" si="35"/>
        <v>21</v>
      </c>
      <c r="AH229" s="627">
        <f t="shared" si="35"/>
        <v>18</v>
      </c>
      <c r="AI229" s="627">
        <f t="shared" si="35"/>
        <v>260</v>
      </c>
      <c r="AJ229" s="627">
        <f t="shared" si="35"/>
        <v>211</v>
      </c>
      <c r="AK229" s="627">
        <f t="shared" si="35"/>
        <v>196</v>
      </c>
      <c r="AL229" s="627">
        <f t="shared" si="35"/>
        <v>210</v>
      </c>
      <c r="AM229" s="627">
        <f t="shared" si="35"/>
        <v>175</v>
      </c>
      <c r="AN229" s="627">
        <f t="shared" si="35"/>
        <v>126</v>
      </c>
      <c r="AO229" s="627">
        <f t="shared" si="35"/>
        <v>141</v>
      </c>
      <c r="AP229" s="627">
        <f t="shared" si="35"/>
        <v>53</v>
      </c>
      <c r="AQ229" s="627">
        <f t="shared" si="30"/>
        <v>123</v>
      </c>
      <c r="AR229" s="627">
        <f t="shared" si="30"/>
        <v>104</v>
      </c>
      <c r="AS229" s="627">
        <f t="shared" si="30"/>
        <v>42</v>
      </c>
      <c r="AT229" s="627">
        <f t="shared" si="30"/>
        <v>105</v>
      </c>
      <c r="AU229" s="627">
        <f t="shared" si="30"/>
        <v>32</v>
      </c>
      <c r="AV229" s="627">
        <f t="shared" si="30"/>
        <v>101</v>
      </c>
      <c r="AW229" s="627">
        <f t="shared" si="30"/>
        <v>106</v>
      </c>
      <c r="AX229" s="627">
        <f t="shared" si="28"/>
        <v>41</v>
      </c>
      <c r="AY229" s="627">
        <f t="shared" si="28"/>
        <v>147</v>
      </c>
      <c r="AZ229" s="627">
        <f t="shared" si="28"/>
        <v>336</v>
      </c>
      <c r="BA229" s="627">
        <f t="shared" si="28"/>
        <v>406</v>
      </c>
    </row>
    <row r="230" spans="1:53">
      <c r="A230" s="105">
        <f t="shared" si="32"/>
        <v>219</v>
      </c>
      <c r="B230" s="745">
        <v>42588</v>
      </c>
      <c r="C230" s="746" t="s">
        <v>1772</v>
      </c>
      <c r="D230" s="747">
        <v>4518</v>
      </c>
      <c r="E230" s="747">
        <v>4407</v>
      </c>
      <c r="F230" s="747">
        <v>4239</v>
      </c>
      <c r="G230" s="747">
        <v>4176</v>
      </c>
      <c r="H230" s="747">
        <v>4153</v>
      </c>
      <c r="I230" s="747">
        <v>4127</v>
      </c>
      <c r="J230" s="747">
        <v>4202</v>
      </c>
      <c r="K230" s="747">
        <v>4367</v>
      </c>
      <c r="L230" s="747">
        <v>4586</v>
      </c>
      <c r="M230" s="747">
        <v>4875</v>
      </c>
      <c r="N230" s="747">
        <v>5087</v>
      </c>
      <c r="O230" s="747">
        <v>5173</v>
      </c>
      <c r="P230" s="747">
        <v>5198</v>
      </c>
      <c r="Q230" s="747">
        <v>5188</v>
      </c>
      <c r="R230" s="747">
        <v>5281</v>
      </c>
      <c r="S230" s="747">
        <v>5500</v>
      </c>
      <c r="T230" s="747">
        <v>5726</v>
      </c>
      <c r="U230" s="747">
        <v>5919</v>
      </c>
      <c r="V230" s="747">
        <v>5904</v>
      </c>
      <c r="W230" s="747">
        <v>5764</v>
      </c>
      <c r="X230" s="747">
        <v>5763</v>
      </c>
      <c r="Y230" s="747">
        <v>5568</v>
      </c>
      <c r="Z230" s="747">
        <v>5214</v>
      </c>
      <c r="AA230" s="747">
        <v>4977</v>
      </c>
      <c r="AC230" s="628">
        <f t="shared" si="33"/>
        <v>219</v>
      </c>
      <c r="AD230" s="627">
        <f t="shared" si="34"/>
        <v>96</v>
      </c>
      <c r="AE230" s="627">
        <f t="shared" si="35"/>
        <v>111</v>
      </c>
      <c r="AF230" s="627">
        <f t="shared" si="35"/>
        <v>168</v>
      </c>
      <c r="AG230" s="627">
        <f t="shared" si="35"/>
        <v>63</v>
      </c>
      <c r="AH230" s="627">
        <f t="shared" si="35"/>
        <v>23</v>
      </c>
      <c r="AI230" s="627">
        <f t="shared" si="35"/>
        <v>26</v>
      </c>
      <c r="AJ230" s="627">
        <f t="shared" si="35"/>
        <v>75</v>
      </c>
      <c r="AK230" s="627">
        <f t="shared" si="35"/>
        <v>165</v>
      </c>
      <c r="AL230" s="627">
        <f t="shared" si="35"/>
        <v>219</v>
      </c>
      <c r="AM230" s="627">
        <f t="shared" si="35"/>
        <v>289</v>
      </c>
      <c r="AN230" s="627">
        <f t="shared" si="35"/>
        <v>212</v>
      </c>
      <c r="AO230" s="627">
        <f t="shared" si="35"/>
        <v>86</v>
      </c>
      <c r="AP230" s="627">
        <f t="shared" si="35"/>
        <v>25</v>
      </c>
      <c r="AQ230" s="627">
        <f t="shared" si="30"/>
        <v>10</v>
      </c>
      <c r="AR230" s="627">
        <f t="shared" si="30"/>
        <v>93</v>
      </c>
      <c r="AS230" s="627">
        <f t="shared" si="30"/>
        <v>219</v>
      </c>
      <c r="AT230" s="627">
        <f t="shared" si="30"/>
        <v>226</v>
      </c>
      <c r="AU230" s="627">
        <f t="shared" si="30"/>
        <v>193</v>
      </c>
      <c r="AV230" s="627">
        <f t="shared" si="30"/>
        <v>15</v>
      </c>
      <c r="AW230" s="627">
        <f t="shared" si="30"/>
        <v>140</v>
      </c>
      <c r="AX230" s="627">
        <f t="shared" si="28"/>
        <v>1</v>
      </c>
      <c r="AY230" s="627">
        <f t="shared" si="28"/>
        <v>195</v>
      </c>
      <c r="AZ230" s="627">
        <f t="shared" si="28"/>
        <v>354</v>
      </c>
      <c r="BA230" s="627">
        <f t="shared" si="28"/>
        <v>237</v>
      </c>
    </row>
    <row r="231" spans="1:53">
      <c r="A231" s="105">
        <f t="shared" si="32"/>
        <v>220</v>
      </c>
      <c r="B231" s="745">
        <v>42589</v>
      </c>
      <c r="C231" s="746" t="s">
        <v>1772</v>
      </c>
      <c r="D231" s="747">
        <v>4664</v>
      </c>
      <c r="E231" s="747">
        <v>4414</v>
      </c>
      <c r="F231" s="747">
        <v>4248</v>
      </c>
      <c r="G231" s="747">
        <v>4147</v>
      </c>
      <c r="H231" s="747">
        <v>4072</v>
      </c>
      <c r="I231" s="747">
        <v>4018</v>
      </c>
      <c r="J231" s="747">
        <v>4020</v>
      </c>
      <c r="K231" s="747">
        <v>4155</v>
      </c>
      <c r="L231" s="747">
        <v>4368</v>
      </c>
      <c r="M231" s="747">
        <v>4662</v>
      </c>
      <c r="N231" s="747">
        <v>4947</v>
      </c>
      <c r="O231" s="747">
        <v>5259</v>
      </c>
      <c r="P231" s="747">
        <v>5582</v>
      </c>
      <c r="Q231" s="747">
        <v>5928</v>
      </c>
      <c r="R231" s="747">
        <v>6239</v>
      </c>
      <c r="S231" s="747">
        <v>6517</v>
      </c>
      <c r="T231" s="747">
        <v>6776</v>
      </c>
      <c r="U231" s="747">
        <v>6891</v>
      </c>
      <c r="V231" s="747">
        <v>6786</v>
      </c>
      <c r="W231" s="747">
        <v>6562</v>
      </c>
      <c r="X231" s="747">
        <v>6489</v>
      </c>
      <c r="Y231" s="747">
        <v>6156</v>
      </c>
      <c r="Z231" s="747">
        <v>5704</v>
      </c>
      <c r="AA231" s="747">
        <v>5278</v>
      </c>
      <c r="AC231" s="628">
        <f t="shared" si="33"/>
        <v>220</v>
      </c>
      <c r="AD231" s="627">
        <f t="shared" si="34"/>
        <v>313</v>
      </c>
      <c r="AE231" s="627">
        <f t="shared" si="35"/>
        <v>250</v>
      </c>
      <c r="AF231" s="627">
        <f t="shared" si="35"/>
        <v>166</v>
      </c>
      <c r="AG231" s="627">
        <f t="shared" si="35"/>
        <v>101</v>
      </c>
      <c r="AH231" s="627">
        <f t="shared" si="35"/>
        <v>75</v>
      </c>
      <c r="AI231" s="627">
        <f t="shared" si="35"/>
        <v>54</v>
      </c>
      <c r="AJ231" s="627">
        <f t="shared" si="35"/>
        <v>2</v>
      </c>
      <c r="AK231" s="627">
        <f t="shared" si="35"/>
        <v>135</v>
      </c>
      <c r="AL231" s="627">
        <f t="shared" si="35"/>
        <v>213</v>
      </c>
      <c r="AM231" s="627">
        <f t="shared" si="35"/>
        <v>294</v>
      </c>
      <c r="AN231" s="627">
        <f t="shared" si="35"/>
        <v>285</v>
      </c>
      <c r="AO231" s="627">
        <f t="shared" si="35"/>
        <v>312</v>
      </c>
      <c r="AP231" s="627">
        <f t="shared" si="35"/>
        <v>323</v>
      </c>
      <c r="AQ231" s="627">
        <f t="shared" si="35"/>
        <v>346</v>
      </c>
      <c r="AR231" s="627">
        <f t="shared" si="35"/>
        <v>311</v>
      </c>
      <c r="AS231" s="627">
        <f t="shared" si="35"/>
        <v>278</v>
      </c>
      <c r="AT231" s="627">
        <f t="shared" si="35"/>
        <v>259</v>
      </c>
      <c r="AU231" s="627">
        <f t="shared" ref="AU231:BA263" si="36">ABS(U231-T231)</f>
        <v>115</v>
      </c>
      <c r="AV231" s="627">
        <f t="shared" si="36"/>
        <v>105</v>
      </c>
      <c r="AW231" s="627">
        <f t="shared" si="36"/>
        <v>224</v>
      </c>
      <c r="AX231" s="627">
        <f t="shared" si="28"/>
        <v>73</v>
      </c>
      <c r="AY231" s="627">
        <f t="shared" si="28"/>
        <v>333</v>
      </c>
      <c r="AZ231" s="627">
        <f t="shared" si="28"/>
        <v>452</v>
      </c>
      <c r="BA231" s="627">
        <f t="shared" si="28"/>
        <v>426</v>
      </c>
    </row>
    <row r="232" spans="1:53">
      <c r="A232" s="105">
        <f t="shared" si="32"/>
        <v>221</v>
      </c>
      <c r="B232" s="745">
        <v>42590</v>
      </c>
      <c r="C232" s="746" t="s">
        <v>1772</v>
      </c>
      <c r="D232" s="747">
        <v>4896</v>
      </c>
      <c r="E232" s="747">
        <v>4646</v>
      </c>
      <c r="F232" s="747">
        <v>4493</v>
      </c>
      <c r="G232" s="747">
        <v>4381</v>
      </c>
      <c r="H232" s="747">
        <v>4375</v>
      </c>
      <c r="I232" s="747">
        <v>4576</v>
      </c>
      <c r="J232" s="747">
        <v>4785</v>
      </c>
      <c r="K232" s="747">
        <v>5128</v>
      </c>
      <c r="L232" s="747">
        <v>5532</v>
      </c>
      <c r="M232" s="747">
        <v>5884</v>
      </c>
      <c r="N232" s="747">
        <v>6216</v>
      </c>
      <c r="O232" s="747">
        <v>6538</v>
      </c>
      <c r="P232" s="747">
        <v>6790</v>
      </c>
      <c r="Q232" s="747">
        <v>6849</v>
      </c>
      <c r="R232" s="747">
        <v>6942</v>
      </c>
      <c r="S232" s="747">
        <v>7204</v>
      </c>
      <c r="T232" s="747">
        <v>7396</v>
      </c>
      <c r="U232" s="747">
        <v>7538</v>
      </c>
      <c r="V232" s="747">
        <v>7283</v>
      </c>
      <c r="W232" s="747">
        <v>6930</v>
      </c>
      <c r="X232" s="747">
        <v>6716</v>
      </c>
      <c r="Y232" s="747">
        <v>6270</v>
      </c>
      <c r="Z232" s="747">
        <v>5741</v>
      </c>
      <c r="AA232" s="747">
        <v>5336</v>
      </c>
      <c r="AC232" s="628">
        <f t="shared" si="33"/>
        <v>221</v>
      </c>
      <c r="AD232" s="627">
        <f t="shared" si="34"/>
        <v>382</v>
      </c>
      <c r="AE232" s="627">
        <f t="shared" si="35"/>
        <v>250</v>
      </c>
      <c r="AF232" s="627">
        <f t="shared" si="35"/>
        <v>153</v>
      </c>
      <c r="AG232" s="627">
        <f t="shared" si="35"/>
        <v>112</v>
      </c>
      <c r="AH232" s="627">
        <f t="shared" si="35"/>
        <v>6</v>
      </c>
      <c r="AI232" s="627">
        <f t="shared" si="35"/>
        <v>201</v>
      </c>
      <c r="AJ232" s="627">
        <f t="shared" si="35"/>
        <v>209</v>
      </c>
      <c r="AK232" s="627">
        <f t="shared" si="35"/>
        <v>343</v>
      </c>
      <c r="AL232" s="627">
        <f t="shared" si="35"/>
        <v>404</v>
      </c>
      <c r="AM232" s="627">
        <f t="shared" si="35"/>
        <v>352</v>
      </c>
      <c r="AN232" s="627">
        <f t="shared" si="35"/>
        <v>332</v>
      </c>
      <c r="AO232" s="627">
        <f t="shared" si="35"/>
        <v>322</v>
      </c>
      <c r="AP232" s="627">
        <f t="shared" si="35"/>
        <v>252</v>
      </c>
      <c r="AQ232" s="627">
        <f t="shared" si="35"/>
        <v>59</v>
      </c>
      <c r="AR232" s="627">
        <f t="shared" si="35"/>
        <v>93</v>
      </c>
      <c r="AS232" s="627">
        <f t="shared" si="35"/>
        <v>262</v>
      </c>
      <c r="AT232" s="627">
        <f t="shared" si="35"/>
        <v>192</v>
      </c>
      <c r="AU232" s="627">
        <f t="shared" si="36"/>
        <v>142</v>
      </c>
      <c r="AV232" s="627">
        <f t="shared" si="36"/>
        <v>255</v>
      </c>
      <c r="AW232" s="627">
        <f t="shared" si="36"/>
        <v>353</v>
      </c>
      <c r="AX232" s="627">
        <f t="shared" si="28"/>
        <v>214</v>
      </c>
      <c r="AY232" s="627">
        <f t="shared" si="28"/>
        <v>446</v>
      </c>
      <c r="AZ232" s="627">
        <f t="shared" si="28"/>
        <v>529</v>
      </c>
      <c r="BA232" s="627">
        <f t="shared" si="28"/>
        <v>405</v>
      </c>
    </row>
    <row r="233" spans="1:53">
      <c r="A233" s="105">
        <f t="shared" si="32"/>
        <v>222</v>
      </c>
      <c r="B233" s="745">
        <v>42591</v>
      </c>
      <c r="C233" s="746" t="s">
        <v>1772</v>
      </c>
      <c r="D233" s="747">
        <v>4907</v>
      </c>
      <c r="E233" s="747">
        <v>4650</v>
      </c>
      <c r="F233" s="747">
        <v>4427</v>
      </c>
      <c r="G233" s="747">
        <v>4374</v>
      </c>
      <c r="H233" s="747">
        <v>4393</v>
      </c>
      <c r="I233" s="747">
        <v>4551</v>
      </c>
      <c r="J233" s="747">
        <v>4808</v>
      </c>
      <c r="K233" s="747">
        <v>5093</v>
      </c>
      <c r="L233" s="747">
        <v>5439</v>
      </c>
      <c r="M233" s="747">
        <v>5791</v>
      </c>
      <c r="N233" s="747">
        <v>5708</v>
      </c>
      <c r="O233" s="747">
        <v>6590</v>
      </c>
      <c r="P233" s="747">
        <v>7005</v>
      </c>
      <c r="Q233" s="747">
        <v>7362</v>
      </c>
      <c r="R233" s="747">
        <v>7707</v>
      </c>
      <c r="S233" s="747">
        <v>8004</v>
      </c>
      <c r="T233" s="747">
        <v>8098</v>
      </c>
      <c r="U233" s="747">
        <v>7906</v>
      </c>
      <c r="V233" s="747">
        <v>7492</v>
      </c>
      <c r="W233" s="747">
        <v>7035</v>
      </c>
      <c r="X233" s="747">
        <v>6789</v>
      </c>
      <c r="Y233" s="747">
        <v>6336</v>
      </c>
      <c r="Z233" s="747">
        <v>5779</v>
      </c>
      <c r="AA233" s="747">
        <v>5346</v>
      </c>
      <c r="AC233" s="628">
        <f t="shared" si="33"/>
        <v>222</v>
      </c>
      <c r="AD233" s="627">
        <f t="shared" si="34"/>
        <v>429</v>
      </c>
      <c r="AE233" s="627">
        <f t="shared" si="35"/>
        <v>257</v>
      </c>
      <c r="AF233" s="627">
        <f t="shared" si="35"/>
        <v>223</v>
      </c>
      <c r="AG233" s="627">
        <f t="shared" si="35"/>
        <v>53</v>
      </c>
      <c r="AH233" s="627">
        <f t="shared" si="35"/>
        <v>19</v>
      </c>
      <c r="AI233" s="627">
        <f t="shared" si="35"/>
        <v>158</v>
      </c>
      <c r="AJ233" s="627">
        <f t="shared" si="35"/>
        <v>257</v>
      </c>
      <c r="AK233" s="627">
        <f t="shared" si="35"/>
        <v>285</v>
      </c>
      <c r="AL233" s="627">
        <f t="shared" si="35"/>
        <v>346</v>
      </c>
      <c r="AM233" s="627">
        <f t="shared" si="35"/>
        <v>352</v>
      </c>
      <c r="AN233" s="627">
        <f t="shared" si="35"/>
        <v>83</v>
      </c>
      <c r="AO233" s="627">
        <f t="shared" si="35"/>
        <v>882</v>
      </c>
      <c r="AP233" s="627">
        <f t="shared" si="35"/>
        <v>415</v>
      </c>
      <c r="AQ233" s="627">
        <f t="shared" si="35"/>
        <v>357</v>
      </c>
      <c r="AR233" s="627">
        <f t="shared" si="35"/>
        <v>345</v>
      </c>
      <c r="AS233" s="627">
        <f t="shared" si="35"/>
        <v>297</v>
      </c>
      <c r="AT233" s="627">
        <f t="shared" si="35"/>
        <v>94</v>
      </c>
      <c r="AU233" s="627">
        <f t="shared" si="36"/>
        <v>192</v>
      </c>
      <c r="AV233" s="627">
        <f t="shared" si="36"/>
        <v>414</v>
      </c>
      <c r="AW233" s="627">
        <f t="shared" si="36"/>
        <v>457</v>
      </c>
      <c r="AX233" s="627">
        <f t="shared" si="28"/>
        <v>246</v>
      </c>
      <c r="AY233" s="627">
        <f t="shared" si="28"/>
        <v>453</v>
      </c>
      <c r="AZ233" s="627">
        <f t="shared" si="28"/>
        <v>557</v>
      </c>
      <c r="BA233" s="627">
        <f t="shared" si="28"/>
        <v>433</v>
      </c>
    </row>
    <row r="234" spans="1:53">
      <c r="A234" s="105">
        <f t="shared" si="32"/>
        <v>223</v>
      </c>
      <c r="B234" s="745">
        <v>42592</v>
      </c>
      <c r="C234" s="746" t="s">
        <v>1772</v>
      </c>
      <c r="D234" s="747">
        <v>4991</v>
      </c>
      <c r="E234" s="747">
        <v>4710</v>
      </c>
      <c r="F234" s="747">
        <v>4512</v>
      </c>
      <c r="G234" s="747">
        <v>4428</v>
      </c>
      <c r="H234" s="747">
        <v>4436</v>
      </c>
      <c r="I234" s="747">
        <v>4660</v>
      </c>
      <c r="J234" s="747">
        <v>4882</v>
      </c>
      <c r="K234" s="747">
        <v>5210</v>
      </c>
      <c r="L234" s="747">
        <v>5523</v>
      </c>
      <c r="M234" s="747">
        <v>5895</v>
      </c>
      <c r="N234" s="747">
        <v>6340</v>
      </c>
      <c r="O234" s="747">
        <v>6770</v>
      </c>
      <c r="P234" s="747">
        <v>7118</v>
      </c>
      <c r="Q234" s="747">
        <v>7282</v>
      </c>
      <c r="R234" s="747">
        <v>7337</v>
      </c>
      <c r="S234" s="747">
        <v>7517</v>
      </c>
      <c r="T234" s="747">
        <v>7601</v>
      </c>
      <c r="U234" s="747">
        <v>7449</v>
      </c>
      <c r="V234" s="747">
        <v>7041</v>
      </c>
      <c r="W234" s="747">
        <v>6729</v>
      </c>
      <c r="X234" s="747">
        <v>6634</v>
      </c>
      <c r="Y234" s="747">
        <v>6225</v>
      </c>
      <c r="Z234" s="747">
        <v>5587</v>
      </c>
      <c r="AA234" s="747">
        <v>5008</v>
      </c>
      <c r="AC234" s="628">
        <f t="shared" si="33"/>
        <v>223</v>
      </c>
      <c r="AD234" s="627">
        <f t="shared" si="34"/>
        <v>355</v>
      </c>
      <c r="AE234" s="627">
        <f t="shared" si="35"/>
        <v>281</v>
      </c>
      <c r="AF234" s="627">
        <f t="shared" si="35"/>
        <v>198</v>
      </c>
      <c r="AG234" s="627">
        <f t="shared" si="35"/>
        <v>84</v>
      </c>
      <c r="AH234" s="627">
        <f t="shared" si="35"/>
        <v>8</v>
      </c>
      <c r="AI234" s="627">
        <f t="shared" si="35"/>
        <v>224</v>
      </c>
      <c r="AJ234" s="627">
        <f t="shared" si="35"/>
        <v>222</v>
      </c>
      <c r="AK234" s="627">
        <f t="shared" si="35"/>
        <v>328</v>
      </c>
      <c r="AL234" s="627">
        <f t="shared" si="35"/>
        <v>313</v>
      </c>
      <c r="AM234" s="627">
        <f t="shared" si="35"/>
        <v>372</v>
      </c>
      <c r="AN234" s="627">
        <f t="shared" si="35"/>
        <v>445</v>
      </c>
      <c r="AO234" s="627">
        <f t="shared" si="35"/>
        <v>430</v>
      </c>
      <c r="AP234" s="627">
        <f t="shared" si="35"/>
        <v>348</v>
      </c>
      <c r="AQ234" s="627">
        <f t="shared" si="35"/>
        <v>164</v>
      </c>
      <c r="AR234" s="627">
        <f t="shared" si="35"/>
        <v>55</v>
      </c>
      <c r="AS234" s="627">
        <f t="shared" si="35"/>
        <v>180</v>
      </c>
      <c r="AT234" s="627">
        <f t="shared" si="35"/>
        <v>84</v>
      </c>
      <c r="AU234" s="627">
        <f t="shared" si="36"/>
        <v>152</v>
      </c>
      <c r="AV234" s="627">
        <f t="shared" si="36"/>
        <v>408</v>
      </c>
      <c r="AW234" s="627">
        <f t="shared" si="36"/>
        <v>312</v>
      </c>
      <c r="AX234" s="627">
        <f t="shared" si="36"/>
        <v>95</v>
      </c>
      <c r="AY234" s="627">
        <f t="shared" si="36"/>
        <v>409</v>
      </c>
      <c r="AZ234" s="627">
        <f t="shared" si="36"/>
        <v>638</v>
      </c>
      <c r="BA234" s="627">
        <f t="shared" si="36"/>
        <v>579</v>
      </c>
    </row>
    <row r="235" spans="1:53">
      <c r="A235" s="105">
        <f t="shared" si="32"/>
        <v>224</v>
      </c>
      <c r="B235" s="745">
        <v>42593</v>
      </c>
      <c r="C235" s="746" t="s">
        <v>1772</v>
      </c>
      <c r="D235" s="747">
        <v>4664</v>
      </c>
      <c r="E235" s="747">
        <v>4472</v>
      </c>
      <c r="F235" s="747">
        <v>4386</v>
      </c>
      <c r="G235" s="747">
        <v>4359</v>
      </c>
      <c r="H235" s="747">
        <v>4437</v>
      </c>
      <c r="I235" s="747">
        <v>4748</v>
      </c>
      <c r="J235" s="747">
        <v>4954</v>
      </c>
      <c r="K235" s="747">
        <v>5188</v>
      </c>
      <c r="L235" s="747">
        <v>5505</v>
      </c>
      <c r="M235" s="747">
        <v>5752</v>
      </c>
      <c r="N235" s="747">
        <v>6059</v>
      </c>
      <c r="O235" s="747">
        <v>6370</v>
      </c>
      <c r="P235" s="747">
        <v>6675</v>
      </c>
      <c r="Q235" s="747">
        <v>6971</v>
      </c>
      <c r="R235" s="747">
        <v>7225</v>
      </c>
      <c r="S235" s="747">
        <v>7374</v>
      </c>
      <c r="T235" s="747">
        <v>7451</v>
      </c>
      <c r="U235" s="747">
        <v>7341</v>
      </c>
      <c r="V235" s="747">
        <v>7012</v>
      </c>
      <c r="W235" s="747">
        <v>6525</v>
      </c>
      <c r="X235" s="747">
        <v>6414</v>
      </c>
      <c r="Y235" s="747">
        <v>6028</v>
      </c>
      <c r="Z235" s="747">
        <v>5533</v>
      </c>
      <c r="AA235" s="747">
        <v>5085</v>
      </c>
      <c r="AC235" s="628">
        <f t="shared" si="33"/>
        <v>224</v>
      </c>
      <c r="AD235" s="627">
        <f t="shared" si="34"/>
        <v>344</v>
      </c>
      <c r="AE235" s="627">
        <f t="shared" si="35"/>
        <v>192</v>
      </c>
      <c r="AF235" s="627">
        <f t="shared" si="35"/>
        <v>86</v>
      </c>
      <c r="AG235" s="627">
        <f t="shared" si="35"/>
        <v>27</v>
      </c>
      <c r="AH235" s="627">
        <f t="shared" si="35"/>
        <v>78</v>
      </c>
      <c r="AI235" s="627">
        <f t="shared" si="35"/>
        <v>311</v>
      </c>
      <c r="AJ235" s="627">
        <f t="shared" si="35"/>
        <v>206</v>
      </c>
      <c r="AK235" s="627">
        <f t="shared" si="35"/>
        <v>234</v>
      </c>
      <c r="AL235" s="627">
        <f t="shared" si="35"/>
        <v>317</v>
      </c>
      <c r="AM235" s="627">
        <f t="shared" si="35"/>
        <v>247</v>
      </c>
      <c r="AN235" s="627">
        <f t="shared" si="35"/>
        <v>307</v>
      </c>
      <c r="AO235" s="627">
        <f t="shared" si="35"/>
        <v>311</v>
      </c>
      <c r="AP235" s="627">
        <f t="shared" si="35"/>
        <v>305</v>
      </c>
      <c r="AQ235" s="627">
        <f t="shared" si="35"/>
        <v>296</v>
      </c>
      <c r="AR235" s="627">
        <f t="shared" si="35"/>
        <v>254</v>
      </c>
      <c r="AS235" s="627">
        <f t="shared" si="35"/>
        <v>149</v>
      </c>
      <c r="AT235" s="627">
        <f t="shared" si="35"/>
        <v>77</v>
      </c>
      <c r="AU235" s="627">
        <f t="shared" si="36"/>
        <v>110</v>
      </c>
      <c r="AV235" s="627">
        <f t="shared" si="36"/>
        <v>329</v>
      </c>
      <c r="AW235" s="627">
        <f t="shared" si="36"/>
        <v>487</v>
      </c>
      <c r="AX235" s="627">
        <f t="shared" si="36"/>
        <v>111</v>
      </c>
      <c r="AY235" s="627">
        <f t="shared" si="36"/>
        <v>386</v>
      </c>
      <c r="AZ235" s="627">
        <f t="shared" si="36"/>
        <v>495</v>
      </c>
      <c r="BA235" s="627">
        <f t="shared" si="36"/>
        <v>448</v>
      </c>
    </row>
    <row r="236" spans="1:53">
      <c r="A236" s="105">
        <f t="shared" si="32"/>
        <v>225</v>
      </c>
      <c r="B236" s="745">
        <v>42594</v>
      </c>
      <c r="C236" s="746" t="s">
        <v>1772</v>
      </c>
      <c r="D236" s="747">
        <v>4800</v>
      </c>
      <c r="E236" s="747">
        <v>4489</v>
      </c>
      <c r="F236" s="747">
        <v>4345</v>
      </c>
      <c r="G236" s="747">
        <v>4287</v>
      </c>
      <c r="H236" s="747">
        <v>4358</v>
      </c>
      <c r="I236" s="747">
        <v>4427</v>
      </c>
      <c r="J236" s="747">
        <v>4674</v>
      </c>
      <c r="K236" s="747">
        <v>4926</v>
      </c>
      <c r="L236" s="747">
        <v>5102</v>
      </c>
      <c r="M236" s="747">
        <v>5377</v>
      </c>
      <c r="N236" s="747">
        <v>5618</v>
      </c>
      <c r="O236" s="747">
        <v>5810</v>
      </c>
      <c r="P236" s="747">
        <v>5987</v>
      </c>
      <c r="Q236" s="747">
        <v>6213</v>
      </c>
      <c r="R236" s="747">
        <v>6453</v>
      </c>
      <c r="S236" s="747">
        <v>6628</v>
      </c>
      <c r="T236" s="747">
        <v>6754</v>
      </c>
      <c r="U236" s="747">
        <v>6793</v>
      </c>
      <c r="V236" s="747">
        <v>6617</v>
      </c>
      <c r="W236" s="747">
        <v>6322</v>
      </c>
      <c r="X236" s="747">
        <v>6105</v>
      </c>
      <c r="Y236" s="747">
        <v>5843</v>
      </c>
      <c r="Z236" s="747">
        <v>5327</v>
      </c>
      <c r="AA236" s="747">
        <v>4953</v>
      </c>
      <c r="AC236" s="628">
        <f t="shared" si="33"/>
        <v>225</v>
      </c>
      <c r="AD236" s="627">
        <f t="shared" si="34"/>
        <v>285</v>
      </c>
      <c r="AE236" s="627">
        <f t="shared" si="35"/>
        <v>311</v>
      </c>
      <c r="AF236" s="627">
        <f t="shared" si="35"/>
        <v>144</v>
      </c>
      <c r="AG236" s="627">
        <f t="shared" si="35"/>
        <v>58</v>
      </c>
      <c r="AH236" s="627">
        <f t="shared" si="35"/>
        <v>71</v>
      </c>
      <c r="AI236" s="627">
        <f t="shared" si="35"/>
        <v>69</v>
      </c>
      <c r="AJ236" s="627">
        <f t="shared" si="35"/>
        <v>247</v>
      </c>
      <c r="AK236" s="627">
        <f t="shared" si="35"/>
        <v>252</v>
      </c>
      <c r="AL236" s="627">
        <f t="shared" si="35"/>
        <v>176</v>
      </c>
      <c r="AM236" s="627">
        <f t="shared" si="35"/>
        <v>275</v>
      </c>
      <c r="AN236" s="627">
        <f t="shared" si="35"/>
        <v>241</v>
      </c>
      <c r="AO236" s="627">
        <f t="shared" si="35"/>
        <v>192</v>
      </c>
      <c r="AP236" s="627">
        <f t="shared" si="35"/>
        <v>177</v>
      </c>
      <c r="AQ236" s="627">
        <f t="shared" si="35"/>
        <v>226</v>
      </c>
      <c r="AR236" s="627">
        <f t="shared" si="35"/>
        <v>240</v>
      </c>
      <c r="AS236" s="627">
        <f t="shared" si="35"/>
        <v>175</v>
      </c>
      <c r="AT236" s="627">
        <f t="shared" si="35"/>
        <v>126</v>
      </c>
      <c r="AU236" s="627">
        <f t="shared" si="36"/>
        <v>39</v>
      </c>
      <c r="AV236" s="627">
        <f t="shared" si="36"/>
        <v>176</v>
      </c>
      <c r="AW236" s="627">
        <f t="shared" si="36"/>
        <v>295</v>
      </c>
      <c r="AX236" s="627">
        <f t="shared" si="36"/>
        <v>217</v>
      </c>
      <c r="AY236" s="627">
        <f t="shared" si="36"/>
        <v>262</v>
      </c>
      <c r="AZ236" s="627">
        <f t="shared" si="36"/>
        <v>516</v>
      </c>
      <c r="BA236" s="627">
        <f t="shared" si="36"/>
        <v>374</v>
      </c>
    </row>
    <row r="237" spans="1:53">
      <c r="A237" s="105">
        <f t="shared" si="32"/>
        <v>226</v>
      </c>
      <c r="B237" s="745">
        <v>42595</v>
      </c>
      <c r="C237" s="746" t="s">
        <v>1772</v>
      </c>
      <c r="D237" s="747">
        <v>4646</v>
      </c>
      <c r="E237" s="747">
        <v>4487</v>
      </c>
      <c r="F237" s="747">
        <v>4283</v>
      </c>
      <c r="G237" s="747">
        <v>4172</v>
      </c>
      <c r="H237" s="747">
        <v>4146</v>
      </c>
      <c r="I237" s="747">
        <v>4061</v>
      </c>
      <c r="J237" s="747">
        <v>4122</v>
      </c>
      <c r="K237" s="747">
        <v>4314</v>
      </c>
      <c r="L237" s="747">
        <v>4533</v>
      </c>
      <c r="M237" s="747">
        <v>4846</v>
      </c>
      <c r="N237" s="747">
        <v>5147</v>
      </c>
      <c r="O237" s="747">
        <v>5414</v>
      </c>
      <c r="P237" s="747">
        <v>5651</v>
      </c>
      <c r="Q237" s="747">
        <v>5828</v>
      </c>
      <c r="R237" s="747">
        <v>6097</v>
      </c>
      <c r="S237" s="747">
        <v>6374</v>
      </c>
      <c r="T237" s="747">
        <v>6570</v>
      </c>
      <c r="U237" s="747">
        <v>6582</v>
      </c>
      <c r="V237" s="747">
        <v>6478</v>
      </c>
      <c r="W237" s="747">
        <v>6182</v>
      </c>
      <c r="X237" s="747">
        <v>6018</v>
      </c>
      <c r="Y237" s="747">
        <v>5707</v>
      </c>
      <c r="Z237" s="747">
        <v>5360</v>
      </c>
      <c r="AA237" s="747">
        <v>4903</v>
      </c>
      <c r="AC237" s="628">
        <f t="shared" si="33"/>
        <v>226</v>
      </c>
      <c r="AD237" s="627">
        <f t="shared" si="34"/>
        <v>307</v>
      </c>
      <c r="AE237" s="627">
        <f t="shared" si="35"/>
        <v>159</v>
      </c>
      <c r="AF237" s="627">
        <f t="shared" si="35"/>
        <v>204</v>
      </c>
      <c r="AG237" s="627">
        <f t="shared" si="35"/>
        <v>111</v>
      </c>
      <c r="AH237" s="627">
        <f t="shared" si="35"/>
        <v>26</v>
      </c>
      <c r="AI237" s="627">
        <f t="shared" si="35"/>
        <v>85</v>
      </c>
      <c r="AJ237" s="627">
        <f t="shared" si="35"/>
        <v>61</v>
      </c>
      <c r="AK237" s="627">
        <f t="shared" si="35"/>
        <v>192</v>
      </c>
      <c r="AL237" s="627">
        <f t="shared" si="35"/>
        <v>219</v>
      </c>
      <c r="AM237" s="627">
        <f t="shared" si="35"/>
        <v>313</v>
      </c>
      <c r="AN237" s="627">
        <f t="shared" si="35"/>
        <v>301</v>
      </c>
      <c r="AO237" s="627">
        <f t="shared" si="35"/>
        <v>267</v>
      </c>
      <c r="AP237" s="627">
        <f t="shared" si="35"/>
        <v>237</v>
      </c>
      <c r="AQ237" s="627">
        <f t="shared" si="35"/>
        <v>177</v>
      </c>
      <c r="AR237" s="627">
        <f t="shared" si="35"/>
        <v>269</v>
      </c>
      <c r="AS237" s="627">
        <f t="shared" si="35"/>
        <v>277</v>
      </c>
      <c r="AT237" s="627">
        <f t="shared" si="35"/>
        <v>196</v>
      </c>
      <c r="AU237" s="627">
        <f t="shared" si="36"/>
        <v>12</v>
      </c>
      <c r="AV237" s="627">
        <f t="shared" si="36"/>
        <v>104</v>
      </c>
      <c r="AW237" s="627">
        <f t="shared" si="36"/>
        <v>296</v>
      </c>
      <c r="AX237" s="627">
        <f t="shared" si="36"/>
        <v>164</v>
      </c>
      <c r="AY237" s="627">
        <f t="shared" si="36"/>
        <v>311</v>
      </c>
      <c r="AZ237" s="627">
        <f t="shared" si="36"/>
        <v>347</v>
      </c>
      <c r="BA237" s="627">
        <f t="shared" si="36"/>
        <v>457</v>
      </c>
    </row>
    <row r="238" spans="1:53">
      <c r="A238" s="105">
        <f t="shared" si="32"/>
        <v>227</v>
      </c>
      <c r="B238" s="745">
        <v>42596</v>
      </c>
      <c r="C238" s="746" t="s">
        <v>1772</v>
      </c>
      <c r="D238" s="747">
        <v>4654</v>
      </c>
      <c r="E238" s="747">
        <v>4350</v>
      </c>
      <c r="F238" s="747">
        <v>4152</v>
      </c>
      <c r="G238" s="747">
        <v>4031</v>
      </c>
      <c r="H238" s="747">
        <v>4000</v>
      </c>
      <c r="I238" s="747">
        <v>4033</v>
      </c>
      <c r="J238" s="747">
        <v>4034</v>
      </c>
      <c r="K238" s="747">
        <v>4198</v>
      </c>
      <c r="L238" s="747">
        <v>4498</v>
      </c>
      <c r="M238" s="747">
        <v>4836</v>
      </c>
      <c r="N238" s="747">
        <v>5091</v>
      </c>
      <c r="O238" s="747">
        <v>5319</v>
      </c>
      <c r="P238" s="747">
        <v>5597</v>
      </c>
      <c r="Q238" s="747">
        <v>5947</v>
      </c>
      <c r="R238" s="747">
        <v>6265</v>
      </c>
      <c r="S238" s="747">
        <v>6588</v>
      </c>
      <c r="T238" s="747">
        <v>6848</v>
      </c>
      <c r="U238" s="747">
        <v>6961</v>
      </c>
      <c r="V238" s="747">
        <v>6957</v>
      </c>
      <c r="W238" s="747">
        <v>6677</v>
      </c>
      <c r="X238" s="747">
        <v>6525</v>
      </c>
      <c r="Y238" s="747">
        <v>6125</v>
      </c>
      <c r="Z238" s="747">
        <v>5540</v>
      </c>
      <c r="AA238" s="747">
        <v>5103</v>
      </c>
      <c r="AC238" s="628">
        <f t="shared" si="33"/>
        <v>227</v>
      </c>
      <c r="AD238" s="627">
        <f t="shared" si="34"/>
        <v>249</v>
      </c>
      <c r="AE238" s="627">
        <f t="shared" si="35"/>
        <v>304</v>
      </c>
      <c r="AF238" s="627">
        <f t="shared" si="35"/>
        <v>198</v>
      </c>
      <c r="AG238" s="627">
        <f t="shared" si="35"/>
        <v>121</v>
      </c>
      <c r="AH238" s="627">
        <f t="shared" si="35"/>
        <v>31</v>
      </c>
      <c r="AI238" s="627">
        <f t="shared" si="35"/>
        <v>33</v>
      </c>
      <c r="AJ238" s="627">
        <f t="shared" si="35"/>
        <v>1</v>
      </c>
      <c r="AK238" s="627">
        <f t="shared" si="35"/>
        <v>164</v>
      </c>
      <c r="AL238" s="627">
        <f t="shared" si="35"/>
        <v>300</v>
      </c>
      <c r="AM238" s="627">
        <f t="shared" si="35"/>
        <v>338</v>
      </c>
      <c r="AN238" s="627">
        <f t="shared" si="35"/>
        <v>255</v>
      </c>
      <c r="AO238" s="627">
        <f t="shared" si="35"/>
        <v>228</v>
      </c>
      <c r="AP238" s="627">
        <f t="shared" si="35"/>
        <v>278</v>
      </c>
      <c r="AQ238" s="627">
        <f t="shared" si="35"/>
        <v>350</v>
      </c>
      <c r="AR238" s="627">
        <f t="shared" si="35"/>
        <v>318</v>
      </c>
      <c r="AS238" s="627">
        <f t="shared" si="35"/>
        <v>323</v>
      </c>
      <c r="AT238" s="627">
        <f t="shared" si="35"/>
        <v>260</v>
      </c>
      <c r="AU238" s="627">
        <f t="shared" si="36"/>
        <v>113</v>
      </c>
      <c r="AV238" s="627">
        <f t="shared" si="36"/>
        <v>4</v>
      </c>
      <c r="AW238" s="627">
        <f t="shared" si="36"/>
        <v>280</v>
      </c>
      <c r="AX238" s="627">
        <f t="shared" si="36"/>
        <v>152</v>
      </c>
      <c r="AY238" s="627">
        <f t="shared" si="36"/>
        <v>400</v>
      </c>
      <c r="AZ238" s="627">
        <f t="shared" si="36"/>
        <v>585</v>
      </c>
      <c r="BA238" s="627">
        <f t="shared" si="36"/>
        <v>437</v>
      </c>
    </row>
    <row r="239" spans="1:53">
      <c r="A239" s="105">
        <f t="shared" si="32"/>
        <v>228</v>
      </c>
      <c r="B239" s="745">
        <v>42597</v>
      </c>
      <c r="C239" s="746" t="s">
        <v>1772</v>
      </c>
      <c r="D239" s="747">
        <v>4755</v>
      </c>
      <c r="E239" s="747">
        <v>4520</v>
      </c>
      <c r="F239" s="747">
        <v>4378</v>
      </c>
      <c r="G239" s="747">
        <v>4260</v>
      </c>
      <c r="H239" s="747">
        <v>4242</v>
      </c>
      <c r="I239" s="747">
        <v>4442</v>
      </c>
      <c r="J239" s="747">
        <v>4672</v>
      </c>
      <c r="K239" s="747">
        <v>4973</v>
      </c>
      <c r="L239" s="747">
        <v>5323</v>
      </c>
      <c r="M239" s="747">
        <v>5697</v>
      </c>
      <c r="N239" s="747">
        <v>6058</v>
      </c>
      <c r="O239" s="747">
        <v>6379</v>
      </c>
      <c r="P239" s="747">
        <v>6693</v>
      </c>
      <c r="Q239" s="747">
        <v>6992</v>
      </c>
      <c r="R239" s="747">
        <v>7270</v>
      </c>
      <c r="S239" s="747">
        <v>7336</v>
      </c>
      <c r="T239" s="747">
        <v>7285</v>
      </c>
      <c r="U239" s="747">
        <v>7070</v>
      </c>
      <c r="V239" s="747">
        <v>6800</v>
      </c>
      <c r="W239" s="747">
        <v>6588</v>
      </c>
      <c r="X239" s="747">
        <v>6516</v>
      </c>
      <c r="Y239" s="747">
        <v>6156</v>
      </c>
      <c r="Z239" s="747">
        <v>5638</v>
      </c>
      <c r="AA239" s="747">
        <v>5190</v>
      </c>
      <c r="AC239" s="628">
        <f t="shared" si="33"/>
        <v>228</v>
      </c>
      <c r="AD239" s="627">
        <f t="shared" si="34"/>
        <v>348</v>
      </c>
      <c r="AE239" s="627">
        <f t="shared" si="35"/>
        <v>235</v>
      </c>
      <c r="AF239" s="627">
        <f t="shared" si="35"/>
        <v>142</v>
      </c>
      <c r="AG239" s="627">
        <f t="shared" si="35"/>
        <v>118</v>
      </c>
      <c r="AH239" s="627">
        <f t="shared" si="35"/>
        <v>18</v>
      </c>
      <c r="AI239" s="627">
        <f t="shared" si="35"/>
        <v>200</v>
      </c>
      <c r="AJ239" s="627">
        <f t="shared" si="35"/>
        <v>230</v>
      </c>
      <c r="AK239" s="627">
        <f t="shared" si="35"/>
        <v>301</v>
      </c>
      <c r="AL239" s="627">
        <f t="shared" si="35"/>
        <v>350</v>
      </c>
      <c r="AM239" s="627">
        <f t="shared" si="35"/>
        <v>374</v>
      </c>
      <c r="AN239" s="627">
        <f t="shared" si="35"/>
        <v>361</v>
      </c>
      <c r="AO239" s="627">
        <f t="shared" ref="AO239:BA266" si="37">ABS(O239-N239)</f>
        <v>321</v>
      </c>
      <c r="AP239" s="627">
        <f t="shared" si="37"/>
        <v>314</v>
      </c>
      <c r="AQ239" s="627">
        <f t="shared" si="37"/>
        <v>299</v>
      </c>
      <c r="AR239" s="627">
        <f t="shared" si="37"/>
        <v>278</v>
      </c>
      <c r="AS239" s="627">
        <f t="shared" si="37"/>
        <v>66</v>
      </c>
      <c r="AT239" s="627">
        <f t="shared" si="37"/>
        <v>51</v>
      </c>
      <c r="AU239" s="627">
        <f t="shared" si="36"/>
        <v>215</v>
      </c>
      <c r="AV239" s="627">
        <f t="shared" si="36"/>
        <v>270</v>
      </c>
      <c r="AW239" s="627">
        <f t="shared" si="36"/>
        <v>212</v>
      </c>
      <c r="AX239" s="627">
        <f t="shared" si="36"/>
        <v>72</v>
      </c>
      <c r="AY239" s="627">
        <f t="shared" si="36"/>
        <v>360</v>
      </c>
      <c r="AZ239" s="627">
        <f t="shared" si="36"/>
        <v>518</v>
      </c>
      <c r="BA239" s="627">
        <f t="shared" si="36"/>
        <v>448</v>
      </c>
    </row>
    <row r="240" spans="1:53">
      <c r="A240" s="105">
        <f t="shared" si="32"/>
        <v>229</v>
      </c>
      <c r="B240" s="745">
        <v>42598</v>
      </c>
      <c r="C240" s="746" t="s">
        <v>1772</v>
      </c>
      <c r="D240" s="747">
        <v>4793</v>
      </c>
      <c r="E240" s="747">
        <v>4550</v>
      </c>
      <c r="F240" s="747">
        <v>4406</v>
      </c>
      <c r="G240" s="747">
        <v>4335</v>
      </c>
      <c r="H240" s="747">
        <v>4280</v>
      </c>
      <c r="I240" s="747">
        <v>4487</v>
      </c>
      <c r="J240" s="747">
        <v>4753</v>
      </c>
      <c r="K240" s="747">
        <v>4930</v>
      </c>
      <c r="L240" s="747">
        <v>5195</v>
      </c>
      <c r="M240" s="747">
        <v>5452</v>
      </c>
      <c r="N240" s="747">
        <v>5789</v>
      </c>
      <c r="O240" s="747">
        <v>6054</v>
      </c>
      <c r="P240" s="747">
        <v>6308</v>
      </c>
      <c r="Q240" s="747">
        <v>6597</v>
      </c>
      <c r="R240" s="747">
        <v>6921</v>
      </c>
      <c r="S240" s="747">
        <v>7112</v>
      </c>
      <c r="T240" s="747">
        <v>7247</v>
      </c>
      <c r="U240" s="747">
        <v>7284</v>
      </c>
      <c r="V240" s="747">
        <v>6974</v>
      </c>
      <c r="W240" s="747">
        <v>6689</v>
      </c>
      <c r="X240" s="747">
        <v>6371</v>
      </c>
      <c r="Y240" s="747">
        <v>5897</v>
      </c>
      <c r="Z240" s="747">
        <v>5436</v>
      </c>
      <c r="AA240" s="747">
        <v>5034</v>
      </c>
      <c r="AC240" s="628">
        <f t="shared" si="33"/>
        <v>229</v>
      </c>
      <c r="AD240" s="627">
        <f t="shared" si="34"/>
        <v>397</v>
      </c>
      <c r="AE240" s="627">
        <f t="shared" ref="AE240:AN265" si="38">ABS(E240-D240)</f>
        <v>243</v>
      </c>
      <c r="AF240" s="627">
        <f t="shared" si="38"/>
        <v>144</v>
      </c>
      <c r="AG240" s="627">
        <f t="shared" si="38"/>
        <v>71</v>
      </c>
      <c r="AH240" s="627">
        <f t="shared" si="38"/>
        <v>55</v>
      </c>
      <c r="AI240" s="627">
        <f t="shared" si="38"/>
        <v>207</v>
      </c>
      <c r="AJ240" s="627">
        <f t="shared" si="38"/>
        <v>266</v>
      </c>
      <c r="AK240" s="627">
        <f t="shared" si="38"/>
        <v>177</v>
      </c>
      <c r="AL240" s="627">
        <f t="shared" si="38"/>
        <v>265</v>
      </c>
      <c r="AM240" s="627">
        <f t="shared" si="38"/>
        <v>257</v>
      </c>
      <c r="AN240" s="627">
        <f t="shared" si="38"/>
        <v>337</v>
      </c>
      <c r="AO240" s="627">
        <f t="shared" si="37"/>
        <v>265</v>
      </c>
      <c r="AP240" s="627">
        <f t="shared" si="37"/>
        <v>254</v>
      </c>
      <c r="AQ240" s="627">
        <f t="shared" si="37"/>
        <v>289</v>
      </c>
      <c r="AR240" s="627">
        <f t="shared" si="37"/>
        <v>324</v>
      </c>
      <c r="AS240" s="627">
        <f t="shared" si="37"/>
        <v>191</v>
      </c>
      <c r="AT240" s="627">
        <f t="shared" si="37"/>
        <v>135</v>
      </c>
      <c r="AU240" s="627">
        <f t="shared" si="36"/>
        <v>37</v>
      </c>
      <c r="AV240" s="627">
        <f t="shared" si="36"/>
        <v>310</v>
      </c>
      <c r="AW240" s="627">
        <f t="shared" si="36"/>
        <v>285</v>
      </c>
      <c r="AX240" s="627">
        <f t="shared" si="36"/>
        <v>318</v>
      </c>
      <c r="AY240" s="627">
        <f t="shared" si="36"/>
        <v>474</v>
      </c>
      <c r="AZ240" s="627">
        <f t="shared" si="36"/>
        <v>461</v>
      </c>
      <c r="BA240" s="627">
        <f t="shared" si="36"/>
        <v>402</v>
      </c>
    </row>
    <row r="241" spans="1:53">
      <c r="A241" s="105">
        <f t="shared" si="32"/>
        <v>230</v>
      </c>
      <c r="B241" s="745">
        <v>42599</v>
      </c>
      <c r="C241" s="746" t="s">
        <v>1772</v>
      </c>
      <c r="D241" s="747">
        <v>4673</v>
      </c>
      <c r="E241" s="747">
        <v>4560</v>
      </c>
      <c r="F241" s="747">
        <v>4425</v>
      </c>
      <c r="G241" s="747">
        <v>4340</v>
      </c>
      <c r="H241" s="747">
        <v>4400</v>
      </c>
      <c r="I241" s="747">
        <v>4642</v>
      </c>
      <c r="J241" s="747">
        <v>4853</v>
      </c>
      <c r="K241" s="747">
        <v>5182</v>
      </c>
      <c r="L241" s="747">
        <v>5422</v>
      </c>
      <c r="M241" s="747">
        <v>5559</v>
      </c>
      <c r="N241" s="747">
        <v>5819</v>
      </c>
      <c r="O241" s="747">
        <v>6142</v>
      </c>
      <c r="P241" s="747">
        <v>6363</v>
      </c>
      <c r="Q241" s="747">
        <v>6640</v>
      </c>
      <c r="R241" s="747">
        <v>6959</v>
      </c>
      <c r="S241" s="747">
        <v>7156</v>
      </c>
      <c r="T241" s="747">
        <v>7357</v>
      </c>
      <c r="U241" s="747">
        <v>7397</v>
      </c>
      <c r="V241" s="747">
        <v>7157</v>
      </c>
      <c r="W241" s="747">
        <v>6805</v>
      </c>
      <c r="X241" s="747">
        <v>6635</v>
      </c>
      <c r="Y241" s="747">
        <v>6207</v>
      </c>
      <c r="Z241" s="747">
        <v>5683</v>
      </c>
      <c r="AA241" s="747">
        <v>5261</v>
      </c>
      <c r="AC241" s="628">
        <f t="shared" si="33"/>
        <v>230</v>
      </c>
      <c r="AD241" s="627">
        <f t="shared" si="34"/>
        <v>361</v>
      </c>
      <c r="AE241" s="627">
        <f t="shared" si="38"/>
        <v>113</v>
      </c>
      <c r="AF241" s="627">
        <f t="shared" si="38"/>
        <v>135</v>
      </c>
      <c r="AG241" s="627">
        <f t="shared" si="38"/>
        <v>85</v>
      </c>
      <c r="AH241" s="627">
        <f t="shared" si="38"/>
        <v>60</v>
      </c>
      <c r="AI241" s="627">
        <f t="shared" si="38"/>
        <v>242</v>
      </c>
      <c r="AJ241" s="627">
        <f t="shared" si="38"/>
        <v>211</v>
      </c>
      <c r="AK241" s="627">
        <f t="shared" si="38"/>
        <v>329</v>
      </c>
      <c r="AL241" s="627">
        <f t="shared" si="38"/>
        <v>240</v>
      </c>
      <c r="AM241" s="627">
        <f t="shared" si="38"/>
        <v>137</v>
      </c>
      <c r="AN241" s="627">
        <f t="shared" si="38"/>
        <v>260</v>
      </c>
      <c r="AO241" s="627">
        <f t="shared" si="37"/>
        <v>323</v>
      </c>
      <c r="AP241" s="627">
        <f t="shared" si="37"/>
        <v>221</v>
      </c>
      <c r="AQ241" s="627">
        <f t="shared" si="37"/>
        <v>277</v>
      </c>
      <c r="AR241" s="627">
        <f t="shared" si="37"/>
        <v>319</v>
      </c>
      <c r="AS241" s="627">
        <f t="shared" si="37"/>
        <v>197</v>
      </c>
      <c r="AT241" s="627">
        <f t="shared" si="37"/>
        <v>201</v>
      </c>
      <c r="AU241" s="627">
        <f t="shared" si="36"/>
        <v>40</v>
      </c>
      <c r="AV241" s="627">
        <f t="shared" si="36"/>
        <v>240</v>
      </c>
      <c r="AW241" s="627">
        <f t="shared" si="36"/>
        <v>352</v>
      </c>
      <c r="AX241" s="627">
        <f t="shared" si="36"/>
        <v>170</v>
      </c>
      <c r="AY241" s="627">
        <f t="shared" si="36"/>
        <v>428</v>
      </c>
      <c r="AZ241" s="627">
        <f t="shared" si="36"/>
        <v>524</v>
      </c>
      <c r="BA241" s="627">
        <f t="shared" si="36"/>
        <v>422</v>
      </c>
    </row>
    <row r="242" spans="1:53">
      <c r="A242" s="105">
        <f t="shared" si="32"/>
        <v>231</v>
      </c>
      <c r="B242" s="745">
        <v>42600</v>
      </c>
      <c r="C242" s="746" t="s">
        <v>1772</v>
      </c>
      <c r="D242" s="747">
        <v>4862</v>
      </c>
      <c r="E242" s="747">
        <v>4600</v>
      </c>
      <c r="F242" s="747">
        <v>4455</v>
      </c>
      <c r="G242" s="747">
        <v>4389</v>
      </c>
      <c r="H242" s="747">
        <v>4437</v>
      </c>
      <c r="I242" s="747">
        <v>4599</v>
      </c>
      <c r="J242" s="747">
        <v>4836</v>
      </c>
      <c r="K242" s="747">
        <v>5113</v>
      </c>
      <c r="L242" s="747">
        <v>5393</v>
      </c>
      <c r="M242" s="747">
        <v>5582</v>
      </c>
      <c r="N242" s="747">
        <v>5943</v>
      </c>
      <c r="O242" s="747">
        <v>6216</v>
      </c>
      <c r="P242" s="747">
        <v>6517</v>
      </c>
      <c r="Q242" s="747">
        <v>6667</v>
      </c>
      <c r="R242" s="747">
        <v>6668</v>
      </c>
      <c r="S242" s="747">
        <v>6356</v>
      </c>
      <c r="T242" s="747">
        <v>6189</v>
      </c>
      <c r="U242" s="747">
        <v>6073</v>
      </c>
      <c r="V242" s="747">
        <v>5903</v>
      </c>
      <c r="W242" s="747">
        <v>5774</v>
      </c>
      <c r="X242" s="747">
        <v>5853</v>
      </c>
      <c r="Y242" s="747">
        <v>5611</v>
      </c>
      <c r="Z242" s="747">
        <v>5092</v>
      </c>
      <c r="AA242" s="747">
        <v>4845</v>
      </c>
      <c r="AC242" s="628">
        <f t="shared" si="33"/>
        <v>231</v>
      </c>
      <c r="AD242" s="627">
        <f t="shared" si="34"/>
        <v>399</v>
      </c>
      <c r="AE242" s="627">
        <f t="shared" si="38"/>
        <v>262</v>
      </c>
      <c r="AF242" s="627">
        <f t="shared" si="38"/>
        <v>145</v>
      </c>
      <c r="AG242" s="627">
        <f t="shared" si="38"/>
        <v>66</v>
      </c>
      <c r="AH242" s="627">
        <f t="shared" si="38"/>
        <v>48</v>
      </c>
      <c r="AI242" s="627">
        <f t="shared" si="38"/>
        <v>162</v>
      </c>
      <c r="AJ242" s="627">
        <f t="shared" si="38"/>
        <v>237</v>
      </c>
      <c r="AK242" s="627">
        <f t="shared" si="38"/>
        <v>277</v>
      </c>
      <c r="AL242" s="627">
        <f t="shared" si="38"/>
        <v>280</v>
      </c>
      <c r="AM242" s="627">
        <f t="shared" si="38"/>
        <v>189</v>
      </c>
      <c r="AN242" s="627">
        <f t="shared" si="38"/>
        <v>361</v>
      </c>
      <c r="AO242" s="627">
        <f t="shared" si="37"/>
        <v>273</v>
      </c>
      <c r="AP242" s="627">
        <f t="shared" si="37"/>
        <v>301</v>
      </c>
      <c r="AQ242" s="627">
        <f t="shared" si="37"/>
        <v>150</v>
      </c>
      <c r="AR242" s="627">
        <f t="shared" si="37"/>
        <v>1</v>
      </c>
      <c r="AS242" s="627">
        <f t="shared" si="37"/>
        <v>312</v>
      </c>
      <c r="AT242" s="627">
        <f t="shared" si="37"/>
        <v>167</v>
      </c>
      <c r="AU242" s="627">
        <f t="shared" si="36"/>
        <v>116</v>
      </c>
      <c r="AV242" s="627">
        <f t="shared" si="36"/>
        <v>170</v>
      </c>
      <c r="AW242" s="627">
        <f t="shared" si="36"/>
        <v>129</v>
      </c>
      <c r="AX242" s="627">
        <f t="shared" si="36"/>
        <v>79</v>
      </c>
      <c r="AY242" s="627">
        <f t="shared" si="36"/>
        <v>242</v>
      </c>
      <c r="AZ242" s="627">
        <f t="shared" si="36"/>
        <v>519</v>
      </c>
      <c r="BA242" s="627">
        <f t="shared" si="36"/>
        <v>247</v>
      </c>
    </row>
    <row r="243" spans="1:53">
      <c r="A243" s="105">
        <f t="shared" si="32"/>
        <v>232</v>
      </c>
      <c r="B243" s="745">
        <v>42601</v>
      </c>
      <c r="C243" s="746" t="s">
        <v>1772</v>
      </c>
      <c r="D243" s="747">
        <v>4538</v>
      </c>
      <c r="E243" s="747">
        <v>4360</v>
      </c>
      <c r="F243" s="747">
        <v>4268</v>
      </c>
      <c r="G243" s="747">
        <v>4200</v>
      </c>
      <c r="H243" s="747">
        <v>4250</v>
      </c>
      <c r="I243" s="747">
        <v>4425</v>
      </c>
      <c r="J243" s="747">
        <v>4723</v>
      </c>
      <c r="K243" s="747">
        <v>4951</v>
      </c>
      <c r="L243" s="747">
        <v>5037</v>
      </c>
      <c r="M243" s="747">
        <v>5119</v>
      </c>
      <c r="N243" s="747">
        <v>5306</v>
      </c>
      <c r="O243" s="747">
        <v>5460</v>
      </c>
      <c r="P243" s="747">
        <v>5685</v>
      </c>
      <c r="Q243" s="747">
        <v>5921</v>
      </c>
      <c r="R243" s="747">
        <v>6140</v>
      </c>
      <c r="S243" s="747">
        <v>6182</v>
      </c>
      <c r="T243" s="747">
        <v>5979</v>
      </c>
      <c r="U243" s="747">
        <v>5583</v>
      </c>
      <c r="V243" s="747">
        <v>5417</v>
      </c>
      <c r="W243" s="747">
        <v>5353</v>
      </c>
      <c r="X243" s="747">
        <v>5298</v>
      </c>
      <c r="Y243" s="747">
        <v>5151</v>
      </c>
      <c r="Z243" s="747">
        <v>4745</v>
      </c>
      <c r="AA243" s="747">
        <v>4424</v>
      </c>
      <c r="AC243" s="628">
        <f t="shared" si="33"/>
        <v>232</v>
      </c>
      <c r="AD243" s="627">
        <f t="shared" si="34"/>
        <v>307</v>
      </c>
      <c r="AE243" s="627">
        <f t="shared" si="38"/>
        <v>178</v>
      </c>
      <c r="AF243" s="627">
        <f t="shared" si="38"/>
        <v>92</v>
      </c>
      <c r="AG243" s="627">
        <f t="shared" si="38"/>
        <v>68</v>
      </c>
      <c r="AH243" s="627">
        <f t="shared" si="38"/>
        <v>50</v>
      </c>
      <c r="AI243" s="627">
        <f t="shared" si="38"/>
        <v>175</v>
      </c>
      <c r="AJ243" s="627">
        <f t="shared" si="38"/>
        <v>298</v>
      </c>
      <c r="AK243" s="627">
        <f t="shared" si="38"/>
        <v>228</v>
      </c>
      <c r="AL243" s="627">
        <f t="shared" si="38"/>
        <v>86</v>
      </c>
      <c r="AM243" s="627">
        <f t="shared" si="38"/>
        <v>82</v>
      </c>
      <c r="AN243" s="627">
        <f t="shared" si="38"/>
        <v>187</v>
      </c>
      <c r="AO243" s="627">
        <f t="shared" si="37"/>
        <v>154</v>
      </c>
      <c r="AP243" s="627">
        <f t="shared" si="37"/>
        <v>225</v>
      </c>
      <c r="AQ243" s="627">
        <f t="shared" si="37"/>
        <v>236</v>
      </c>
      <c r="AR243" s="627">
        <f t="shared" si="37"/>
        <v>219</v>
      </c>
      <c r="AS243" s="627">
        <f t="shared" si="37"/>
        <v>42</v>
      </c>
      <c r="AT243" s="627">
        <f t="shared" si="37"/>
        <v>203</v>
      </c>
      <c r="AU243" s="627">
        <f t="shared" si="36"/>
        <v>396</v>
      </c>
      <c r="AV243" s="627">
        <f t="shared" si="36"/>
        <v>166</v>
      </c>
      <c r="AW243" s="627">
        <f t="shared" si="36"/>
        <v>64</v>
      </c>
      <c r="AX243" s="627">
        <f t="shared" si="36"/>
        <v>55</v>
      </c>
      <c r="AY243" s="627">
        <f t="shared" si="36"/>
        <v>147</v>
      </c>
      <c r="AZ243" s="627">
        <f t="shared" si="36"/>
        <v>406</v>
      </c>
      <c r="BA243" s="627">
        <f t="shared" si="36"/>
        <v>321</v>
      </c>
    </row>
    <row r="244" spans="1:53">
      <c r="A244" s="105">
        <f t="shared" si="32"/>
        <v>233</v>
      </c>
      <c r="B244" s="745">
        <v>42602</v>
      </c>
      <c r="C244" s="746" t="s">
        <v>1772</v>
      </c>
      <c r="D244" s="747">
        <v>4098</v>
      </c>
      <c r="E244" s="747">
        <v>3891</v>
      </c>
      <c r="F244" s="747">
        <v>3766</v>
      </c>
      <c r="G244" s="747">
        <v>3640</v>
      </c>
      <c r="H244" s="747">
        <v>3621</v>
      </c>
      <c r="I244" s="747">
        <v>3722</v>
      </c>
      <c r="J244" s="747">
        <v>3793</v>
      </c>
      <c r="K244" s="747">
        <v>3973</v>
      </c>
      <c r="L244" s="747">
        <v>4178</v>
      </c>
      <c r="M244" s="747">
        <v>4360</v>
      </c>
      <c r="N244" s="747">
        <v>4475</v>
      </c>
      <c r="O244" s="747">
        <v>4542</v>
      </c>
      <c r="P244" s="747">
        <v>4613</v>
      </c>
      <c r="Q244" s="747">
        <v>4668</v>
      </c>
      <c r="R244" s="747">
        <v>4798</v>
      </c>
      <c r="S244" s="747">
        <v>4950</v>
      </c>
      <c r="T244" s="747">
        <v>5156</v>
      </c>
      <c r="U244" s="747">
        <v>5320</v>
      </c>
      <c r="V244" s="747">
        <v>5333</v>
      </c>
      <c r="W244" s="747">
        <v>5215</v>
      </c>
      <c r="X244" s="747">
        <v>5238</v>
      </c>
      <c r="Y244" s="747">
        <v>5001</v>
      </c>
      <c r="Z244" s="747">
        <v>4638</v>
      </c>
      <c r="AA244" s="747">
        <v>4260</v>
      </c>
      <c r="AC244" s="628">
        <f t="shared" si="33"/>
        <v>233</v>
      </c>
      <c r="AD244" s="627">
        <f t="shared" si="34"/>
        <v>326</v>
      </c>
      <c r="AE244" s="627">
        <f t="shared" si="38"/>
        <v>207</v>
      </c>
      <c r="AF244" s="627">
        <f t="shared" si="38"/>
        <v>125</v>
      </c>
      <c r="AG244" s="627">
        <f t="shared" si="38"/>
        <v>126</v>
      </c>
      <c r="AH244" s="627">
        <f t="shared" si="38"/>
        <v>19</v>
      </c>
      <c r="AI244" s="627">
        <f t="shared" si="38"/>
        <v>101</v>
      </c>
      <c r="AJ244" s="627">
        <f t="shared" si="38"/>
        <v>71</v>
      </c>
      <c r="AK244" s="627">
        <f t="shared" si="38"/>
        <v>180</v>
      </c>
      <c r="AL244" s="627">
        <f t="shared" si="38"/>
        <v>205</v>
      </c>
      <c r="AM244" s="627">
        <f t="shared" si="38"/>
        <v>182</v>
      </c>
      <c r="AN244" s="627">
        <f t="shared" si="38"/>
        <v>115</v>
      </c>
      <c r="AO244" s="627">
        <f t="shared" si="37"/>
        <v>67</v>
      </c>
      <c r="AP244" s="627">
        <f t="shared" si="37"/>
        <v>71</v>
      </c>
      <c r="AQ244" s="627">
        <f t="shared" si="37"/>
        <v>55</v>
      </c>
      <c r="AR244" s="627">
        <f t="shared" si="37"/>
        <v>130</v>
      </c>
      <c r="AS244" s="627">
        <f t="shared" si="37"/>
        <v>152</v>
      </c>
      <c r="AT244" s="627">
        <f t="shared" si="37"/>
        <v>206</v>
      </c>
      <c r="AU244" s="627">
        <f t="shared" si="36"/>
        <v>164</v>
      </c>
      <c r="AV244" s="627">
        <f t="shared" si="36"/>
        <v>13</v>
      </c>
      <c r="AW244" s="627">
        <f t="shared" si="36"/>
        <v>118</v>
      </c>
      <c r="AX244" s="627">
        <f t="shared" si="36"/>
        <v>23</v>
      </c>
      <c r="AY244" s="627">
        <f t="shared" si="36"/>
        <v>237</v>
      </c>
      <c r="AZ244" s="627">
        <f t="shared" si="36"/>
        <v>363</v>
      </c>
      <c r="BA244" s="627">
        <f t="shared" si="36"/>
        <v>378</v>
      </c>
    </row>
    <row r="245" spans="1:53">
      <c r="A245" s="105">
        <f t="shared" si="32"/>
        <v>234</v>
      </c>
      <c r="B245" s="745">
        <v>42603</v>
      </c>
      <c r="C245" s="746" t="s">
        <v>1772</v>
      </c>
      <c r="D245" s="747">
        <v>3998</v>
      </c>
      <c r="E245" s="747">
        <v>4029</v>
      </c>
      <c r="F245" s="747">
        <v>3942</v>
      </c>
      <c r="G245" s="747">
        <v>3869</v>
      </c>
      <c r="H245" s="747">
        <v>3863</v>
      </c>
      <c r="I245" s="747">
        <v>3894</v>
      </c>
      <c r="J245" s="747">
        <v>3911</v>
      </c>
      <c r="K245" s="747">
        <v>4046</v>
      </c>
      <c r="L245" s="747">
        <v>4183</v>
      </c>
      <c r="M245" s="747">
        <v>4429</v>
      </c>
      <c r="N245" s="747">
        <v>4650</v>
      </c>
      <c r="O245" s="747">
        <v>4805</v>
      </c>
      <c r="P245" s="747">
        <v>5040</v>
      </c>
      <c r="Q245" s="747">
        <v>5308</v>
      </c>
      <c r="R245" s="747">
        <v>5614</v>
      </c>
      <c r="S245" s="747">
        <v>5968</v>
      </c>
      <c r="T245" s="747">
        <v>6223</v>
      </c>
      <c r="U245" s="747">
        <v>6355</v>
      </c>
      <c r="V245" s="747">
        <v>6305</v>
      </c>
      <c r="W245" s="747">
        <v>6180</v>
      </c>
      <c r="X245" s="747">
        <v>6142</v>
      </c>
      <c r="Y245" s="747">
        <v>5869</v>
      </c>
      <c r="Z245" s="747">
        <v>5414</v>
      </c>
      <c r="AA245" s="747">
        <v>4913</v>
      </c>
      <c r="AC245" s="628">
        <f t="shared" si="33"/>
        <v>234</v>
      </c>
      <c r="AD245" s="627">
        <f t="shared" si="34"/>
        <v>262</v>
      </c>
      <c r="AE245" s="627">
        <f t="shared" si="38"/>
        <v>31</v>
      </c>
      <c r="AF245" s="627">
        <f t="shared" si="38"/>
        <v>87</v>
      </c>
      <c r="AG245" s="627">
        <f t="shared" si="38"/>
        <v>73</v>
      </c>
      <c r="AH245" s="627">
        <f t="shared" si="38"/>
        <v>6</v>
      </c>
      <c r="AI245" s="627">
        <f t="shared" si="38"/>
        <v>31</v>
      </c>
      <c r="AJ245" s="627">
        <f t="shared" si="38"/>
        <v>17</v>
      </c>
      <c r="AK245" s="627">
        <f t="shared" si="38"/>
        <v>135</v>
      </c>
      <c r="AL245" s="627">
        <f t="shared" si="38"/>
        <v>137</v>
      </c>
      <c r="AM245" s="627">
        <f t="shared" si="38"/>
        <v>246</v>
      </c>
      <c r="AN245" s="627">
        <f t="shared" si="38"/>
        <v>221</v>
      </c>
      <c r="AO245" s="627">
        <f t="shared" si="37"/>
        <v>155</v>
      </c>
      <c r="AP245" s="627">
        <f t="shared" si="37"/>
        <v>235</v>
      </c>
      <c r="AQ245" s="627">
        <f t="shared" si="37"/>
        <v>268</v>
      </c>
      <c r="AR245" s="627">
        <f t="shared" si="37"/>
        <v>306</v>
      </c>
      <c r="AS245" s="627">
        <f t="shared" si="37"/>
        <v>354</v>
      </c>
      <c r="AT245" s="627">
        <f t="shared" si="37"/>
        <v>255</v>
      </c>
      <c r="AU245" s="627">
        <f t="shared" si="36"/>
        <v>132</v>
      </c>
      <c r="AV245" s="627">
        <f t="shared" si="36"/>
        <v>50</v>
      </c>
      <c r="AW245" s="627">
        <f t="shared" si="36"/>
        <v>125</v>
      </c>
      <c r="AX245" s="627">
        <f t="shared" si="36"/>
        <v>38</v>
      </c>
      <c r="AY245" s="627">
        <f t="shared" si="36"/>
        <v>273</v>
      </c>
      <c r="AZ245" s="627">
        <f t="shared" si="36"/>
        <v>455</v>
      </c>
      <c r="BA245" s="627">
        <f t="shared" si="36"/>
        <v>501</v>
      </c>
    </row>
    <row r="246" spans="1:53">
      <c r="A246" s="105">
        <f t="shared" si="32"/>
        <v>235</v>
      </c>
      <c r="B246" s="745">
        <v>42604</v>
      </c>
      <c r="C246" s="746" t="s">
        <v>1772</v>
      </c>
      <c r="D246" s="747">
        <v>4568</v>
      </c>
      <c r="E246" s="747">
        <v>4358</v>
      </c>
      <c r="F246" s="747">
        <v>4216</v>
      </c>
      <c r="G246" s="747">
        <v>4056</v>
      </c>
      <c r="H246" s="747">
        <v>4089</v>
      </c>
      <c r="I246" s="747">
        <v>4310</v>
      </c>
      <c r="J246" s="747">
        <v>4556</v>
      </c>
      <c r="K246" s="747">
        <v>4850</v>
      </c>
      <c r="L246" s="747">
        <v>5115</v>
      </c>
      <c r="M246" s="747">
        <v>5379</v>
      </c>
      <c r="N246" s="747">
        <v>5689</v>
      </c>
      <c r="O246" s="747">
        <v>5965</v>
      </c>
      <c r="P246" s="747">
        <v>6231</v>
      </c>
      <c r="Q246" s="747">
        <v>6535</v>
      </c>
      <c r="R246" s="747">
        <v>6744</v>
      </c>
      <c r="S246" s="747">
        <v>6868</v>
      </c>
      <c r="T246" s="747">
        <v>6955</v>
      </c>
      <c r="U246" s="747">
        <v>6794</v>
      </c>
      <c r="V246" s="747">
        <v>6468</v>
      </c>
      <c r="W246" s="747">
        <v>6250</v>
      </c>
      <c r="X246" s="747">
        <v>6183</v>
      </c>
      <c r="Y246" s="747">
        <v>5774</v>
      </c>
      <c r="Z246" s="747">
        <v>5209</v>
      </c>
      <c r="AA246" s="747">
        <v>4715</v>
      </c>
      <c r="AC246" s="628">
        <f t="shared" si="33"/>
        <v>235</v>
      </c>
      <c r="AD246" s="627">
        <f t="shared" si="34"/>
        <v>345</v>
      </c>
      <c r="AE246" s="627">
        <f t="shared" si="38"/>
        <v>210</v>
      </c>
      <c r="AF246" s="627">
        <f t="shared" si="38"/>
        <v>142</v>
      </c>
      <c r="AG246" s="627">
        <f t="shared" si="38"/>
        <v>160</v>
      </c>
      <c r="AH246" s="627">
        <f t="shared" si="38"/>
        <v>33</v>
      </c>
      <c r="AI246" s="627">
        <f t="shared" si="38"/>
        <v>221</v>
      </c>
      <c r="AJ246" s="627">
        <f t="shared" si="38"/>
        <v>246</v>
      </c>
      <c r="AK246" s="627">
        <f t="shared" si="38"/>
        <v>294</v>
      </c>
      <c r="AL246" s="627">
        <f t="shared" si="38"/>
        <v>265</v>
      </c>
      <c r="AM246" s="627">
        <f t="shared" si="38"/>
        <v>264</v>
      </c>
      <c r="AN246" s="627">
        <f t="shared" si="38"/>
        <v>310</v>
      </c>
      <c r="AO246" s="627">
        <f t="shared" si="37"/>
        <v>276</v>
      </c>
      <c r="AP246" s="627">
        <f t="shared" si="37"/>
        <v>266</v>
      </c>
      <c r="AQ246" s="627">
        <f t="shared" si="37"/>
        <v>304</v>
      </c>
      <c r="AR246" s="627">
        <f t="shared" si="37"/>
        <v>209</v>
      </c>
      <c r="AS246" s="627">
        <f t="shared" si="37"/>
        <v>124</v>
      </c>
      <c r="AT246" s="627">
        <f t="shared" si="37"/>
        <v>87</v>
      </c>
      <c r="AU246" s="627">
        <f t="shared" si="36"/>
        <v>161</v>
      </c>
      <c r="AV246" s="627">
        <f t="shared" si="36"/>
        <v>326</v>
      </c>
      <c r="AW246" s="627">
        <f t="shared" si="36"/>
        <v>218</v>
      </c>
      <c r="AX246" s="627">
        <f t="shared" si="36"/>
        <v>67</v>
      </c>
      <c r="AY246" s="627">
        <f t="shared" si="36"/>
        <v>409</v>
      </c>
      <c r="AZ246" s="627">
        <f t="shared" si="36"/>
        <v>565</v>
      </c>
      <c r="BA246" s="627">
        <f t="shared" si="36"/>
        <v>494</v>
      </c>
    </row>
    <row r="247" spans="1:53">
      <c r="A247" s="105">
        <f t="shared" si="32"/>
        <v>236</v>
      </c>
      <c r="B247" s="745">
        <v>42605</v>
      </c>
      <c r="C247" s="746" t="s">
        <v>1772</v>
      </c>
      <c r="D247" s="747">
        <v>4502</v>
      </c>
      <c r="E247" s="747">
        <v>4400</v>
      </c>
      <c r="F247" s="747">
        <v>4293</v>
      </c>
      <c r="G247" s="747">
        <v>4243</v>
      </c>
      <c r="H247" s="747">
        <v>4293</v>
      </c>
      <c r="I247" s="747">
        <v>4544</v>
      </c>
      <c r="J247" s="747">
        <v>4850</v>
      </c>
      <c r="K247" s="747">
        <v>4919</v>
      </c>
      <c r="L247" s="747">
        <v>5197</v>
      </c>
      <c r="M247" s="747">
        <v>5439</v>
      </c>
      <c r="N247" s="747">
        <v>5732</v>
      </c>
      <c r="O247" s="747">
        <v>5984</v>
      </c>
      <c r="P247" s="747">
        <v>6198</v>
      </c>
      <c r="Q247" s="747">
        <v>6289</v>
      </c>
      <c r="R247" s="747">
        <v>6315</v>
      </c>
      <c r="S247" s="747">
        <v>6228</v>
      </c>
      <c r="T247" s="747">
        <v>6147</v>
      </c>
      <c r="U247" s="747">
        <v>6112</v>
      </c>
      <c r="V247" s="747">
        <v>5961</v>
      </c>
      <c r="W247" s="747">
        <v>5915</v>
      </c>
      <c r="X247" s="747">
        <v>5848</v>
      </c>
      <c r="Y247" s="747">
        <v>5483</v>
      </c>
      <c r="Z247" s="747">
        <v>5025</v>
      </c>
      <c r="AA247" s="747">
        <v>4626</v>
      </c>
      <c r="AC247" s="628">
        <f t="shared" si="33"/>
        <v>236</v>
      </c>
      <c r="AD247" s="627">
        <f t="shared" si="34"/>
        <v>213</v>
      </c>
      <c r="AE247" s="627">
        <f t="shared" si="38"/>
        <v>102</v>
      </c>
      <c r="AF247" s="627">
        <f t="shared" si="38"/>
        <v>107</v>
      </c>
      <c r="AG247" s="627">
        <f t="shared" si="38"/>
        <v>50</v>
      </c>
      <c r="AH247" s="627">
        <f t="shared" si="38"/>
        <v>50</v>
      </c>
      <c r="AI247" s="627">
        <f t="shared" si="38"/>
        <v>251</v>
      </c>
      <c r="AJ247" s="627">
        <f t="shared" si="38"/>
        <v>306</v>
      </c>
      <c r="AK247" s="627">
        <f t="shared" si="38"/>
        <v>69</v>
      </c>
      <c r="AL247" s="627">
        <f t="shared" si="38"/>
        <v>278</v>
      </c>
      <c r="AM247" s="627">
        <f t="shared" si="38"/>
        <v>242</v>
      </c>
      <c r="AN247" s="627">
        <f t="shared" si="38"/>
        <v>293</v>
      </c>
      <c r="AO247" s="627">
        <f t="shared" si="37"/>
        <v>252</v>
      </c>
      <c r="AP247" s="627">
        <f t="shared" si="37"/>
        <v>214</v>
      </c>
      <c r="AQ247" s="627">
        <f t="shared" si="37"/>
        <v>91</v>
      </c>
      <c r="AR247" s="627">
        <f t="shared" si="37"/>
        <v>26</v>
      </c>
      <c r="AS247" s="627">
        <f t="shared" si="37"/>
        <v>87</v>
      </c>
      <c r="AT247" s="627">
        <f t="shared" si="37"/>
        <v>81</v>
      </c>
      <c r="AU247" s="627">
        <f t="shared" si="36"/>
        <v>35</v>
      </c>
      <c r="AV247" s="627">
        <f t="shared" si="36"/>
        <v>151</v>
      </c>
      <c r="AW247" s="627">
        <f t="shared" si="36"/>
        <v>46</v>
      </c>
      <c r="AX247" s="627">
        <f t="shared" si="36"/>
        <v>67</v>
      </c>
      <c r="AY247" s="627">
        <f t="shared" si="36"/>
        <v>365</v>
      </c>
      <c r="AZ247" s="627">
        <f t="shared" si="36"/>
        <v>458</v>
      </c>
      <c r="BA247" s="627">
        <f t="shared" si="36"/>
        <v>399</v>
      </c>
    </row>
    <row r="248" spans="1:53">
      <c r="A248" s="105">
        <f t="shared" si="32"/>
        <v>237</v>
      </c>
      <c r="B248" s="745">
        <v>42606</v>
      </c>
      <c r="C248" s="746" t="s">
        <v>1772</v>
      </c>
      <c r="D248" s="747">
        <v>4395</v>
      </c>
      <c r="E248" s="747">
        <v>4323</v>
      </c>
      <c r="F248" s="747">
        <v>4186</v>
      </c>
      <c r="G248" s="747">
        <v>4218</v>
      </c>
      <c r="H248" s="747">
        <v>4245</v>
      </c>
      <c r="I248" s="747">
        <v>4466</v>
      </c>
      <c r="J248" s="747">
        <v>4811</v>
      </c>
      <c r="K248" s="747">
        <v>5016</v>
      </c>
      <c r="L248" s="747">
        <v>5180</v>
      </c>
      <c r="M248" s="747">
        <v>5258</v>
      </c>
      <c r="N248" s="747">
        <v>5285</v>
      </c>
      <c r="O248" s="747">
        <v>5300</v>
      </c>
      <c r="P248" s="747">
        <v>5323</v>
      </c>
      <c r="Q248" s="747">
        <v>5313</v>
      </c>
      <c r="R248" s="747">
        <v>5278</v>
      </c>
      <c r="S248" s="747">
        <v>5220</v>
      </c>
      <c r="T248" s="747">
        <v>5250</v>
      </c>
      <c r="U248" s="747">
        <v>5223</v>
      </c>
      <c r="V248" s="747">
        <v>5255</v>
      </c>
      <c r="W248" s="747">
        <v>5326</v>
      </c>
      <c r="X248" s="747">
        <v>5327</v>
      </c>
      <c r="Y248" s="747">
        <v>5054</v>
      </c>
      <c r="Z248" s="747">
        <v>4591</v>
      </c>
      <c r="AA248" s="747">
        <v>4283</v>
      </c>
      <c r="AC248" s="628">
        <f t="shared" si="33"/>
        <v>237</v>
      </c>
      <c r="AD248" s="627">
        <f t="shared" si="34"/>
        <v>231</v>
      </c>
      <c r="AE248" s="627">
        <f t="shared" si="38"/>
        <v>72</v>
      </c>
      <c r="AF248" s="627">
        <f t="shared" si="38"/>
        <v>137</v>
      </c>
      <c r="AG248" s="627">
        <f t="shared" si="38"/>
        <v>32</v>
      </c>
      <c r="AH248" s="627">
        <f t="shared" si="38"/>
        <v>27</v>
      </c>
      <c r="AI248" s="627">
        <f t="shared" si="38"/>
        <v>221</v>
      </c>
      <c r="AJ248" s="627">
        <f t="shared" si="38"/>
        <v>345</v>
      </c>
      <c r="AK248" s="627">
        <f t="shared" si="38"/>
        <v>205</v>
      </c>
      <c r="AL248" s="627">
        <f t="shared" si="38"/>
        <v>164</v>
      </c>
      <c r="AM248" s="627">
        <f t="shared" si="38"/>
        <v>78</v>
      </c>
      <c r="AN248" s="627">
        <f t="shared" si="38"/>
        <v>27</v>
      </c>
      <c r="AO248" s="627">
        <f t="shared" si="37"/>
        <v>15</v>
      </c>
      <c r="AP248" s="627">
        <f t="shared" si="37"/>
        <v>23</v>
      </c>
      <c r="AQ248" s="627">
        <f t="shared" si="37"/>
        <v>10</v>
      </c>
      <c r="AR248" s="627">
        <f t="shared" si="37"/>
        <v>35</v>
      </c>
      <c r="AS248" s="627">
        <f t="shared" si="37"/>
        <v>58</v>
      </c>
      <c r="AT248" s="627">
        <f t="shared" si="37"/>
        <v>30</v>
      </c>
      <c r="AU248" s="627">
        <f t="shared" si="36"/>
        <v>27</v>
      </c>
      <c r="AV248" s="627">
        <f t="shared" si="36"/>
        <v>32</v>
      </c>
      <c r="AW248" s="627">
        <f t="shared" si="36"/>
        <v>71</v>
      </c>
      <c r="AX248" s="627">
        <f t="shared" si="36"/>
        <v>1</v>
      </c>
      <c r="AY248" s="627">
        <f t="shared" si="36"/>
        <v>273</v>
      </c>
      <c r="AZ248" s="627">
        <f t="shared" si="36"/>
        <v>463</v>
      </c>
      <c r="BA248" s="627">
        <f t="shared" si="36"/>
        <v>308</v>
      </c>
    </row>
    <row r="249" spans="1:53">
      <c r="A249" s="105">
        <f t="shared" si="32"/>
        <v>238</v>
      </c>
      <c r="B249" s="745">
        <v>42607</v>
      </c>
      <c r="C249" s="746" t="s">
        <v>1772</v>
      </c>
      <c r="D249" s="747">
        <v>4091</v>
      </c>
      <c r="E249" s="747">
        <v>4025</v>
      </c>
      <c r="F249" s="747">
        <v>4010</v>
      </c>
      <c r="G249" s="747">
        <v>3979</v>
      </c>
      <c r="H249" s="747">
        <v>4020</v>
      </c>
      <c r="I249" s="747">
        <v>4257</v>
      </c>
      <c r="J249" s="747">
        <v>4573</v>
      </c>
      <c r="K249" s="747">
        <v>4764</v>
      </c>
      <c r="L249" s="747">
        <v>4837</v>
      </c>
      <c r="M249" s="747">
        <v>4882</v>
      </c>
      <c r="N249" s="747">
        <v>4938</v>
      </c>
      <c r="O249" s="747">
        <v>5029</v>
      </c>
      <c r="P249" s="747">
        <v>5049</v>
      </c>
      <c r="Q249" s="747">
        <v>5261</v>
      </c>
      <c r="R249" s="747">
        <v>5328</v>
      </c>
      <c r="S249" s="747">
        <v>5306</v>
      </c>
      <c r="T249" s="747">
        <v>5199</v>
      </c>
      <c r="U249" s="747">
        <v>5129</v>
      </c>
      <c r="V249" s="747">
        <v>5096</v>
      </c>
      <c r="W249" s="747">
        <v>5103</v>
      </c>
      <c r="X249" s="747">
        <v>5181</v>
      </c>
      <c r="Y249" s="747">
        <v>4946</v>
      </c>
      <c r="Z249" s="747">
        <v>4521</v>
      </c>
      <c r="AA249" s="747">
        <v>4299</v>
      </c>
      <c r="AC249" s="628">
        <f t="shared" si="33"/>
        <v>238</v>
      </c>
      <c r="AD249" s="627">
        <f t="shared" si="34"/>
        <v>192</v>
      </c>
      <c r="AE249" s="627">
        <f t="shared" si="38"/>
        <v>66</v>
      </c>
      <c r="AF249" s="627">
        <f t="shared" si="38"/>
        <v>15</v>
      </c>
      <c r="AG249" s="627">
        <f t="shared" si="38"/>
        <v>31</v>
      </c>
      <c r="AH249" s="627">
        <f t="shared" si="38"/>
        <v>41</v>
      </c>
      <c r="AI249" s="627">
        <f t="shared" si="38"/>
        <v>237</v>
      </c>
      <c r="AJ249" s="627">
        <f t="shared" si="38"/>
        <v>316</v>
      </c>
      <c r="AK249" s="627">
        <f t="shared" si="38"/>
        <v>191</v>
      </c>
      <c r="AL249" s="627">
        <f t="shared" si="38"/>
        <v>73</v>
      </c>
      <c r="AM249" s="627">
        <f t="shared" si="38"/>
        <v>45</v>
      </c>
      <c r="AN249" s="627">
        <f t="shared" si="38"/>
        <v>56</v>
      </c>
      <c r="AO249" s="627">
        <f t="shared" si="37"/>
        <v>91</v>
      </c>
      <c r="AP249" s="627">
        <f t="shared" si="37"/>
        <v>20</v>
      </c>
      <c r="AQ249" s="627">
        <f t="shared" si="37"/>
        <v>212</v>
      </c>
      <c r="AR249" s="627">
        <f t="shared" si="37"/>
        <v>67</v>
      </c>
      <c r="AS249" s="627">
        <f t="shared" si="37"/>
        <v>22</v>
      </c>
      <c r="AT249" s="627">
        <f t="shared" si="37"/>
        <v>107</v>
      </c>
      <c r="AU249" s="627">
        <f t="shared" si="36"/>
        <v>70</v>
      </c>
      <c r="AV249" s="627">
        <f t="shared" si="36"/>
        <v>33</v>
      </c>
      <c r="AW249" s="627">
        <f t="shared" si="36"/>
        <v>7</v>
      </c>
      <c r="AX249" s="627">
        <f t="shared" si="36"/>
        <v>78</v>
      </c>
      <c r="AY249" s="627">
        <f t="shared" si="36"/>
        <v>235</v>
      </c>
      <c r="AZ249" s="627">
        <f t="shared" si="36"/>
        <v>425</v>
      </c>
      <c r="BA249" s="627">
        <f t="shared" si="36"/>
        <v>222</v>
      </c>
    </row>
    <row r="250" spans="1:53">
      <c r="A250" s="105">
        <f t="shared" si="32"/>
        <v>239</v>
      </c>
      <c r="B250" s="745">
        <v>42608</v>
      </c>
      <c r="C250" s="746" t="s">
        <v>1772</v>
      </c>
      <c r="D250" s="747">
        <v>4164</v>
      </c>
      <c r="E250" s="747">
        <v>4005</v>
      </c>
      <c r="F250" s="747">
        <v>3945</v>
      </c>
      <c r="G250" s="747">
        <v>3940</v>
      </c>
      <c r="H250" s="747">
        <v>4024</v>
      </c>
      <c r="I250" s="747">
        <v>4242</v>
      </c>
      <c r="J250" s="747">
        <v>4551</v>
      </c>
      <c r="K250" s="747">
        <v>4745</v>
      </c>
      <c r="L250" s="747">
        <v>4818</v>
      </c>
      <c r="M250" s="747">
        <v>4815</v>
      </c>
      <c r="N250" s="747">
        <v>4886</v>
      </c>
      <c r="O250" s="747">
        <v>4971</v>
      </c>
      <c r="P250" s="747">
        <v>5067</v>
      </c>
      <c r="Q250" s="747">
        <v>5205</v>
      </c>
      <c r="R250" s="747">
        <v>5312</v>
      </c>
      <c r="S250" s="747">
        <v>5397</v>
      </c>
      <c r="T250" s="747">
        <v>5505</v>
      </c>
      <c r="U250" s="747">
        <v>5479</v>
      </c>
      <c r="V250" s="747">
        <v>5394</v>
      </c>
      <c r="W250" s="747">
        <v>5285</v>
      </c>
      <c r="X250" s="747">
        <v>5279</v>
      </c>
      <c r="Y250" s="747">
        <v>5066</v>
      </c>
      <c r="Z250" s="747">
        <v>4686</v>
      </c>
      <c r="AA250" s="747">
        <v>4468</v>
      </c>
      <c r="AC250" s="628">
        <f t="shared" si="33"/>
        <v>239</v>
      </c>
      <c r="AD250" s="627">
        <f t="shared" si="34"/>
        <v>135</v>
      </c>
      <c r="AE250" s="627">
        <f t="shared" si="38"/>
        <v>159</v>
      </c>
      <c r="AF250" s="627">
        <f t="shared" si="38"/>
        <v>60</v>
      </c>
      <c r="AG250" s="627">
        <f t="shared" si="38"/>
        <v>5</v>
      </c>
      <c r="AH250" s="627">
        <f t="shared" si="38"/>
        <v>84</v>
      </c>
      <c r="AI250" s="627">
        <f t="shared" si="38"/>
        <v>218</v>
      </c>
      <c r="AJ250" s="627">
        <f t="shared" si="38"/>
        <v>309</v>
      </c>
      <c r="AK250" s="627">
        <f t="shared" si="38"/>
        <v>194</v>
      </c>
      <c r="AL250" s="627">
        <f t="shared" si="38"/>
        <v>73</v>
      </c>
      <c r="AM250" s="627">
        <f t="shared" si="38"/>
        <v>3</v>
      </c>
      <c r="AN250" s="627">
        <f t="shared" si="38"/>
        <v>71</v>
      </c>
      <c r="AO250" s="627">
        <f t="shared" si="37"/>
        <v>85</v>
      </c>
      <c r="AP250" s="627">
        <f t="shared" si="37"/>
        <v>96</v>
      </c>
      <c r="AQ250" s="627">
        <f t="shared" si="37"/>
        <v>138</v>
      </c>
      <c r="AR250" s="627">
        <f t="shared" si="37"/>
        <v>107</v>
      </c>
      <c r="AS250" s="627">
        <f t="shared" si="37"/>
        <v>85</v>
      </c>
      <c r="AT250" s="627">
        <f t="shared" si="37"/>
        <v>108</v>
      </c>
      <c r="AU250" s="627">
        <f t="shared" si="36"/>
        <v>26</v>
      </c>
      <c r="AV250" s="627">
        <f t="shared" si="36"/>
        <v>85</v>
      </c>
      <c r="AW250" s="627">
        <f t="shared" si="36"/>
        <v>109</v>
      </c>
      <c r="AX250" s="627">
        <f t="shared" si="36"/>
        <v>6</v>
      </c>
      <c r="AY250" s="627">
        <f t="shared" si="36"/>
        <v>213</v>
      </c>
      <c r="AZ250" s="627">
        <f t="shared" si="36"/>
        <v>380</v>
      </c>
      <c r="BA250" s="627">
        <f t="shared" si="36"/>
        <v>218</v>
      </c>
    </row>
    <row r="251" spans="1:53">
      <c r="A251" s="105">
        <f t="shared" si="32"/>
        <v>240</v>
      </c>
      <c r="B251" s="745">
        <v>42609</v>
      </c>
      <c r="C251" s="746" t="s">
        <v>1772</v>
      </c>
      <c r="D251" s="747">
        <v>4302</v>
      </c>
      <c r="E251" s="747">
        <v>4121</v>
      </c>
      <c r="F251" s="747">
        <v>4020</v>
      </c>
      <c r="G251" s="747">
        <v>3907</v>
      </c>
      <c r="H251" s="747">
        <v>3900</v>
      </c>
      <c r="I251" s="747">
        <v>3951</v>
      </c>
      <c r="J251" s="747">
        <v>3950</v>
      </c>
      <c r="K251" s="747">
        <v>4094</v>
      </c>
      <c r="L251" s="747">
        <v>4343</v>
      </c>
      <c r="M251" s="747">
        <v>4458</v>
      </c>
      <c r="N251" s="747">
        <v>4638</v>
      </c>
      <c r="O251" s="747">
        <v>4788</v>
      </c>
      <c r="P251" s="747">
        <v>4910</v>
      </c>
      <c r="Q251" s="747">
        <v>5038</v>
      </c>
      <c r="R251" s="747">
        <v>5213</v>
      </c>
      <c r="S251" s="747">
        <v>5431</v>
      </c>
      <c r="T251" s="747">
        <v>5625</v>
      </c>
      <c r="U251" s="747">
        <v>5671</v>
      </c>
      <c r="V251" s="747">
        <v>5577</v>
      </c>
      <c r="W251" s="747">
        <v>5436</v>
      </c>
      <c r="X251" s="747">
        <v>5431</v>
      </c>
      <c r="Y251" s="747">
        <v>5170</v>
      </c>
      <c r="Z251" s="747">
        <v>4974</v>
      </c>
      <c r="AA251" s="747">
        <v>4651</v>
      </c>
      <c r="AC251" s="628">
        <f t="shared" si="33"/>
        <v>240</v>
      </c>
      <c r="AD251" s="627">
        <f t="shared" si="34"/>
        <v>166</v>
      </c>
      <c r="AE251" s="627">
        <f t="shared" si="38"/>
        <v>181</v>
      </c>
      <c r="AF251" s="627">
        <f t="shared" si="38"/>
        <v>101</v>
      </c>
      <c r="AG251" s="627">
        <f t="shared" si="38"/>
        <v>113</v>
      </c>
      <c r="AH251" s="627">
        <f t="shared" si="38"/>
        <v>7</v>
      </c>
      <c r="AI251" s="627">
        <f t="shared" si="38"/>
        <v>51</v>
      </c>
      <c r="AJ251" s="627">
        <f t="shared" si="38"/>
        <v>1</v>
      </c>
      <c r="AK251" s="627">
        <f t="shared" si="38"/>
        <v>144</v>
      </c>
      <c r="AL251" s="627">
        <f t="shared" si="38"/>
        <v>249</v>
      </c>
      <c r="AM251" s="627">
        <f t="shared" si="38"/>
        <v>115</v>
      </c>
      <c r="AN251" s="627">
        <f t="shared" si="38"/>
        <v>180</v>
      </c>
      <c r="AO251" s="627">
        <f t="shared" si="37"/>
        <v>150</v>
      </c>
      <c r="AP251" s="627">
        <f t="shared" si="37"/>
        <v>122</v>
      </c>
      <c r="AQ251" s="627">
        <f t="shared" si="37"/>
        <v>128</v>
      </c>
      <c r="AR251" s="627">
        <f t="shared" si="37"/>
        <v>175</v>
      </c>
      <c r="AS251" s="627">
        <f t="shared" si="37"/>
        <v>218</v>
      </c>
      <c r="AT251" s="627">
        <f t="shared" si="37"/>
        <v>194</v>
      </c>
      <c r="AU251" s="627">
        <f t="shared" si="36"/>
        <v>46</v>
      </c>
      <c r="AV251" s="627">
        <f t="shared" si="36"/>
        <v>94</v>
      </c>
      <c r="AW251" s="627">
        <f t="shared" si="36"/>
        <v>141</v>
      </c>
      <c r="AX251" s="627">
        <f t="shared" si="36"/>
        <v>5</v>
      </c>
      <c r="AY251" s="627">
        <f t="shared" si="36"/>
        <v>261</v>
      </c>
      <c r="AZ251" s="627">
        <f t="shared" si="36"/>
        <v>196</v>
      </c>
      <c r="BA251" s="627">
        <f t="shared" si="36"/>
        <v>323</v>
      </c>
    </row>
    <row r="252" spans="1:53">
      <c r="A252" s="105">
        <f t="shared" si="32"/>
        <v>241</v>
      </c>
      <c r="B252" s="745">
        <v>42610</v>
      </c>
      <c r="C252" s="746" t="s">
        <v>1772</v>
      </c>
      <c r="D252" s="747">
        <v>4348</v>
      </c>
      <c r="E252" s="747">
        <v>4157</v>
      </c>
      <c r="F252" s="747">
        <v>4011</v>
      </c>
      <c r="G252" s="747">
        <v>3935</v>
      </c>
      <c r="H252" s="747">
        <v>3878</v>
      </c>
      <c r="I252" s="747">
        <v>3860</v>
      </c>
      <c r="J252" s="747">
        <v>3906</v>
      </c>
      <c r="K252" s="747">
        <v>3967</v>
      </c>
      <c r="L252" s="747">
        <v>4151</v>
      </c>
      <c r="M252" s="747">
        <v>4404</v>
      </c>
      <c r="N252" s="747">
        <v>4668</v>
      </c>
      <c r="O252" s="747">
        <v>4914</v>
      </c>
      <c r="P252" s="747">
        <v>5153</v>
      </c>
      <c r="Q252" s="747">
        <v>5429</v>
      </c>
      <c r="R252" s="747">
        <v>5707</v>
      </c>
      <c r="S252" s="747">
        <v>5865</v>
      </c>
      <c r="T252" s="747">
        <v>5911</v>
      </c>
      <c r="U252" s="747">
        <v>5904</v>
      </c>
      <c r="V252" s="747">
        <v>5790</v>
      </c>
      <c r="W252" s="747">
        <v>5674</v>
      </c>
      <c r="X252" s="747">
        <v>5653</v>
      </c>
      <c r="Y252" s="747">
        <v>5320</v>
      </c>
      <c r="Z252" s="747">
        <v>4938</v>
      </c>
      <c r="AA252" s="747">
        <v>4497</v>
      </c>
      <c r="AC252" s="628">
        <f t="shared" si="33"/>
        <v>241</v>
      </c>
      <c r="AD252" s="627">
        <f t="shared" si="34"/>
        <v>303</v>
      </c>
      <c r="AE252" s="627">
        <f t="shared" si="38"/>
        <v>191</v>
      </c>
      <c r="AF252" s="627">
        <f t="shared" si="38"/>
        <v>146</v>
      </c>
      <c r="AG252" s="627">
        <f t="shared" si="38"/>
        <v>76</v>
      </c>
      <c r="AH252" s="627">
        <f t="shared" si="38"/>
        <v>57</v>
      </c>
      <c r="AI252" s="627">
        <f t="shared" si="38"/>
        <v>18</v>
      </c>
      <c r="AJ252" s="627">
        <f t="shared" si="38"/>
        <v>46</v>
      </c>
      <c r="AK252" s="627">
        <f t="shared" si="38"/>
        <v>61</v>
      </c>
      <c r="AL252" s="627">
        <f t="shared" si="38"/>
        <v>184</v>
      </c>
      <c r="AM252" s="627">
        <f t="shared" si="38"/>
        <v>253</v>
      </c>
      <c r="AN252" s="627">
        <f t="shared" si="38"/>
        <v>264</v>
      </c>
      <c r="AO252" s="627">
        <f t="shared" si="37"/>
        <v>246</v>
      </c>
      <c r="AP252" s="627">
        <f t="shared" si="37"/>
        <v>239</v>
      </c>
      <c r="AQ252" s="627">
        <f t="shared" si="37"/>
        <v>276</v>
      </c>
      <c r="AR252" s="627">
        <f t="shared" si="37"/>
        <v>278</v>
      </c>
      <c r="AS252" s="627">
        <f t="shared" si="37"/>
        <v>158</v>
      </c>
      <c r="AT252" s="627">
        <f t="shared" si="37"/>
        <v>46</v>
      </c>
      <c r="AU252" s="627">
        <f t="shared" si="36"/>
        <v>7</v>
      </c>
      <c r="AV252" s="627">
        <f t="shared" si="36"/>
        <v>114</v>
      </c>
      <c r="AW252" s="627">
        <f t="shared" si="36"/>
        <v>116</v>
      </c>
      <c r="AX252" s="627">
        <f t="shared" si="36"/>
        <v>21</v>
      </c>
      <c r="AY252" s="627">
        <f t="shared" si="36"/>
        <v>333</v>
      </c>
      <c r="AZ252" s="627">
        <f t="shared" si="36"/>
        <v>382</v>
      </c>
      <c r="BA252" s="627">
        <f t="shared" si="36"/>
        <v>441</v>
      </c>
    </row>
    <row r="253" spans="1:53">
      <c r="A253" s="105">
        <f t="shared" si="32"/>
        <v>242</v>
      </c>
      <c r="B253" s="745">
        <v>42611</v>
      </c>
      <c r="C253" s="746" t="s">
        <v>1772</v>
      </c>
      <c r="D253" s="747">
        <v>4220</v>
      </c>
      <c r="E253" s="747">
        <v>4145</v>
      </c>
      <c r="F253" s="747">
        <v>4046</v>
      </c>
      <c r="G253" s="747">
        <v>4021</v>
      </c>
      <c r="H253" s="747">
        <v>4049</v>
      </c>
      <c r="I253" s="747">
        <v>4256</v>
      </c>
      <c r="J253" s="747">
        <v>4678</v>
      </c>
      <c r="K253" s="747">
        <v>4830</v>
      </c>
      <c r="L253" s="747">
        <v>5062</v>
      </c>
      <c r="M253" s="747">
        <v>5285</v>
      </c>
      <c r="N253" s="747">
        <v>5486</v>
      </c>
      <c r="O253" s="747">
        <v>5662</v>
      </c>
      <c r="P253" s="747">
        <v>5830</v>
      </c>
      <c r="Q253" s="747">
        <v>6001</v>
      </c>
      <c r="R253" s="747">
        <v>5980</v>
      </c>
      <c r="S253" s="747">
        <v>5924</v>
      </c>
      <c r="T253" s="747">
        <v>5755</v>
      </c>
      <c r="U253" s="747">
        <v>5666</v>
      </c>
      <c r="V253" s="747">
        <v>5565</v>
      </c>
      <c r="W253" s="747">
        <v>5490</v>
      </c>
      <c r="X253" s="747">
        <v>5492</v>
      </c>
      <c r="Y253" s="747">
        <v>5170</v>
      </c>
      <c r="Z253" s="747">
        <v>4693</v>
      </c>
      <c r="AA253" s="747">
        <v>4465</v>
      </c>
      <c r="AC253" s="628">
        <f t="shared" si="33"/>
        <v>242</v>
      </c>
      <c r="AD253" s="627">
        <f t="shared" si="34"/>
        <v>277</v>
      </c>
      <c r="AE253" s="627">
        <f t="shared" si="38"/>
        <v>75</v>
      </c>
      <c r="AF253" s="627">
        <f t="shared" si="38"/>
        <v>99</v>
      </c>
      <c r="AG253" s="627">
        <f t="shared" si="38"/>
        <v>25</v>
      </c>
      <c r="AH253" s="627">
        <f t="shared" si="38"/>
        <v>28</v>
      </c>
      <c r="AI253" s="627">
        <f t="shared" si="38"/>
        <v>207</v>
      </c>
      <c r="AJ253" s="627">
        <f t="shared" si="38"/>
        <v>422</v>
      </c>
      <c r="AK253" s="627">
        <f t="shared" si="38"/>
        <v>152</v>
      </c>
      <c r="AL253" s="627">
        <f t="shared" si="38"/>
        <v>232</v>
      </c>
      <c r="AM253" s="627">
        <f t="shared" si="38"/>
        <v>223</v>
      </c>
      <c r="AN253" s="627">
        <f t="shared" si="38"/>
        <v>201</v>
      </c>
      <c r="AO253" s="627">
        <f t="shared" si="37"/>
        <v>176</v>
      </c>
      <c r="AP253" s="627">
        <f t="shared" si="37"/>
        <v>168</v>
      </c>
      <c r="AQ253" s="627">
        <f t="shared" si="37"/>
        <v>171</v>
      </c>
      <c r="AR253" s="627">
        <f t="shared" si="37"/>
        <v>21</v>
      </c>
      <c r="AS253" s="627">
        <f t="shared" si="37"/>
        <v>56</v>
      </c>
      <c r="AT253" s="627">
        <f t="shared" si="37"/>
        <v>169</v>
      </c>
      <c r="AU253" s="627">
        <f t="shared" si="36"/>
        <v>89</v>
      </c>
      <c r="AV253" s="627">
        <f t="shared" si="36"/>
        <v>101</v>
      </c>
      <c r="AW253" s="627">
        <f t="shared" si="36"/>
        <v>75</v>
      </c>
      <c r="AX253" s="627">
        <f t="shared" si="36"/>
        <v>2</v>
      </c>
      <c r="AY253" s="627">
        <f t="shared" si="36"/>
        <v>322</v>
      </c>
      <c r="AZ253" s="627">
        <f t="shared" si="36"/>
        <v>477</v>
      </c>
      <c r="BA253" s="627">
        <f t="shared" si="36"/>
        <v>228</v>
      </c>
    </row>
    <row r="254" spans="1:53">
      <c r="A254" s="105">
        <f t="shared" si="32"/>
        <v>243</v>
      </c>
      <c r="B254" s="745">
        <v>42612</v>
      </c>
      <c r="C254" s="746" t="s">
        <v>1772</v>
      </c>
      <c r="D254" s="747">
        <v>4310</v>
      </c>
      <c r="E254" s="747">
        <v>4145</v>
      </c>
      <c r="F254" s="747">
        <v>4058</v>
      </c>
      <c r="G254" s="747">
        <v>4065</v>
      </c>
      <c r="H254" s="747">
        <v>4065</v>
      </c>
      <c r="I254" s="747">
        <v>4272</v>
      </c>
      <c r="J254" s="747">
        <v>4610</v>
      </c>
      <c r="K254" s="747">
        <v>4754</v>
      </c>
      <c r="L254" s="747">
        <v>4947</v>
      </c>
      <c r="M254" s="747">
        <v>5103</v>
      </c>
      <c r="N254" s="747">
        <v>5246</v>
      </c>
      <c r="O254" s="747">
        <v>5355</v>
      </c>
      <c r="P254" s="747">
        <v>5534</v>
      </c>
      <c r="Q254" s="747">
        <v>5778</v>
      </c>
      <c r="R254" s="747">
        <v>6003</v>
      </c>
      <c r="S254" s="747">
        <v>6155</v>
      </c>
      <c r="T254" s="747">
        <v>6274</v>
      </c>
      <c r="U254" s="747">
        <v>6255</v>
      </c>
      <c r="V254" s="747">
        <v>6163</v>
      </c>
      <c r="W254" s="747">
        <v>6007</v>
      </c>
      <c r="X254" s="747">
        <v>5860</v>
      </c>
      <c r="Y254" s="747">
        <v>5472</v>
      </c>
      <c r="Z254" s="747">
        <v>4969</v>
      </c>
      <c r="AA254" s="747">
        <v>4632</v>
      </c>
      <c r="AC254" s="628">
        <f t="shared" si="33"/>
        <v>243</v>
      </c>
      <c r="AD254" s="627">
        <f t="shared" si="34"/>
        <v>155</v>
      </c>
      <c r="AE254" s="627">
        <f t="shared" si="38"/>
        <v>165</v>
      </c>
      <c r="AF254" s="627">
        <f t="shared" si="38"/>
        <v>87</v>
      </c>
      <c r="AG254" s="627">
        <f t="shared" si="38"/>
        <v>7</v>
      </c>
      <c r="AH254" s="627">
        <f t="shared" si="38"/>
        <v>0</v>
      </c>
      <c r="AI254" s="627">
        <f t="shared" si="38"/>
        <v>207</v>
      </c>
      <c r="AJ254" s="627">
        <f t="shared" si="38"/>
        <v>338</v>
      </c>
      <c r="AK254" s="627">
        <f t="shared" si="38"/>
        <v>144</v>
      </c>
      <c r="AL254" s="627">
        <f t="shared" si="38"/>
        <v>193</v>
      </c>
      <c r="AM254" s="627">
        <f t="shared" si="38"/>
        <v>156</v>
      </c>
      <c r="AN254" s="627">
        <f t="shared" si="38"/>
        <v>143</v>
      </c>
      <c r="AO254" s="627">
        <f t="shared" si="37"/>
        <v>109</v>
      </c>
      <c r="AP254" s="627">
        <f t="shared" si="37"/>
        <v>179</v>
      </c>
      <c r="AQ254" s="627">
        <f t="shared" si="37"/>
        <v>244</v>
      </c>
      <c r="AR254" s="627">
        <f t="shared" si="37"/>
        <v>225</v>
      </c>
      <c r="AS254" s="627">
        <f t="shared" si="37"/>
        <v>152</v>
      </c>
      <c r="AT254" s="627">
        <f t="shared" si="37"/>
        <v>119</v>
      </c>
      <c r="AU254" s="627">
        <f t="shared" si="36"/>
        <v>19</v>
      </c>
      <c r="AV254" s="627">
        <f t="shared" si="36"/>
        <v>92</v>
      </c>
      <c r="AW254" s="627">
        <f t="shared" si="36"/>
        <v>156</v>
      </c>
      <c r="AX254" s="627">
        <f t="shared" si="36"/>
        <v>147</v>
      </c>
      <c r="AY254" s="627">
        <f t="shared" si="36"/>
        <v>388</v>
      </c>
      <c r="AZ254" s="627">
        <f t="shared" si="36"/>
        <v>503</v>
      </c>
      <c r="BA254" s="627">
        <f t="shared" si="36"/>
        <v>337</v>
      </c>
    </row>
    <row r="255" spans="1:53">
      <c r="A255" s="105">
        <f t="shared" si="32"/>
        <v>244</v>
      </c>
      <c r="B255" s="745">
        <v>42613</v>
      </c>
      <c r="C255" s="746" t="s">
        <v>1772</v>
      </c>
      <c r="D255" s="747">
        <v>4413</v>
      </c>
      <c r="E255" s="747">
        <v>4172</v>
      </c>
      <c r="F255" s="747">
        <v>4096</v>
      </c>
      <c r="G255" s="747">
        <v>4088</v>
      </c>
      <c r="H255" s="747">
        <v>4141</v>
      </c>
      <c r="I255" s="747">
        <v>4295</v>
      </c>
      <c r="J255" s="747">
        <v>4679</v>
      </c>
      <c r="K255" s="747">
        <v>4847</v>
      </c>
      <c r="L255" s="747">
        <v>4927</v>
      </c>
      <c r="M255" s="747">
        <v>5105</v>
      </c>
      <c r="N255" s="747">
        <v>5242</v>
      </c>
      <c r="O255" s="747">
        <v>5370</v>
      </c>
      <c r="P255" s="747">
        <v>5443</v>
      </c>
      <c r="Q255" s="747">
        <v>5635</v>
      </c>
      <c r="R255" s="747">
        <v>5899</v>
      </c>
      <c r="S255" s="747">
        <v>6091</v>
      </c>
      <c r="T255" s="747">
        <v>6336</v>
      </c>
      <c r="U255" s="747">
        <v>6393</v>
      </c>
      <c r="V255" s="747">
        <v>6222</v>
      </c>
      <c r="W255" s="747">
        <v>6097</v>
      </c>
      <c r="X255" s="747">
        <v>6023</v>
      </c>
      <c r="Y255" s="747">
        <v>5605</v>
      </c>
      <c r="Z255" s="747">
        <v>5129</v>
      </c>
      <c r="AA255" s="747">
        <v>4709</v>
      </c>
      <c r="AC255" s="628">
        <f t="shared" si="33"/>
        <v>244</v>
      </c>
      <c r="AD255" s="627">
        <f t="shared" si="34"/>
        <v>219</v>
      </c>
      <c r="AE255" s="627">
        <f t="shared" si="38"/>
        <v>241</v>
      </c>
      <c r="AF255" s="627">
        <f t="shared" si="38"/>
        <v>76</v>
      </c>
      <c r="AG255" s="627">
        <f t="shared" si="38"/>
        <v>8</v>
      </c>
      <c r="AH255" s="627">
        <f t="shared" si="38"/>
        <v>53</v>
      </c>
      <c r="AI255" s="627">
        <f t="shared" si="38"/>
        <v>154</v>
      </c>
      <c r="AJ255" s="627">
        <f t="shared" si="38"/>
        <v>384</v>
      </c>
      <c r="AK255" s="627">
        <f t="shared" si="38"/>
        <v>168</v>
      </c>
      <c r="AL255" s="627">
        <f t="shared" si="38"/>
        <v>80</v>
      </c>
      <c r="AM255" s="627">
        <f t="shared" si="38"/>
        <v>178</v>
      </c>
      <c r="AN255" s="627">
        <f t="shared" si="38"/>
        <v>137</v>
      </c>
      <c r="AO255" s="627">
        <f t="shared" si="37"/>
        <v>128</v>
      </c>
      <c r="AP255" s="627">
        <f t="shared" si="37"/>
        <v>73</v>
      </c>
      <c r="AQ255" s="627">
        <f t="shared" si="37"/>
        <v>192</v>
      </c>
      <c r="AR255" s="627">
        <f t="shared" si="37"/>
        <v>264</v>
      </c>
      <c r="AS255" s="627">
        <f t="shared" si="37"/>
        <v>192</v>
      </c>
      <c r="AT255" s="627">
        <f t="shared" si="37"/>
        <v>245</v>
      </c>
      <c r="AU255" s="627">
        <f t="shared" si="36"/>
        <v>57</v>
      </c>
      <c r="AV255" s="627">
        <f t="shared" si="36"/>
        <v>171</v>
      </c>
      <c r="AW255" s="627">
        <f t="shared" si="36"/>
        <v>125</v>
      </c>
      <c r="AX255" s="627">
        <f t="shared" si="36"/>
        <v>74</v>
      </c>
      <c r="AY255" s="627">
        <f t="shared" si="36"/>
        <v>418</v>
      </c>
      <c r="AZ255" s="627">
        <f t="shared" si="36"/>
        <v>476</v>
      </c>
      <c r="BA255" s="627">
        <f t="shared" si="36"/>
        <v>420</v>
      </c>
    </row>
    <row r="256" spans="1:53">
      <c r="A256" s="105">
        <f t="shared" si="32"/>
        <v>245</v>
      </c>
      <c r="B256" s="745">
        <v>42614</v>
      </c>
      <c r="C256" s="746" t="s">
        <v>1772</v>
      </c>
      <c r="D256" s="747">
        <v>4462</v>
      </c>
      <c r="E256" s="747">
        <v>4261</v>
      </c>
      <c r="F256" s="747">
        <v>4154</v>
      </c>
      <c r="G256" s="747">
        <v>4098</v>
      </c>
      <c r="H256" s="747">
        <v>4110</v>
      </c>
      <c r="I256" s="747">
        <v>4326</v>
      </c>
      <c r="J256" s="747">
        <v>4601</v>
      </c>
      <c r="K256" s="747">
        <v>4822</v>
      </c>
      <c r="L256" s="747">
        <v>4967</v>
      </c>
      <c r="M256" s="747">
        <v>5104</v>
      </c>
      <c r="N256" s="747">
        <v>5247</v>
      </c>
      <c r="O256" s="747">
        <v>5443</v>
      </c>
      <c r="P256" s="747">
        <v>5635</v>
      </c>
      <c r="Q256" s="747">
        <v>5922</v>
      </c>
      <c r="R256" s="747">
        <v>6255</v>
      </c>
      <c r="S256" s="747">
        <v>6534</v>
      </c>
      <c r="T256" s="747">
        <v>6742</v>
      </c>
      <c r="U256" s="747">
        <v>6748</v>
      </c>
      <c r="V256" s="747">
        <v>6474</v>
      </c>
      <c r="W256" s="747">
        <v>6332</v>
      </c>
      <c r="X256" s="747">
        <v>6182</v>
      </c>
      <c r="Y256" s="747">
        <v>5810</v>
      </c>
      <c r="Z256" s="747">
        <v>5370</v>
      </c>
      <c r="AA256" s="747">
        <v>4929</v>
      </c>
      <c r="AB256" s="627">
        <f>MAX(D256:AA285)</f>
        <v>6937</v>
      </c>
      <c r="AC256" s="628">
        <f t="shared" si="33"/>
        <v>245</v>
      </c>
      <c r="AD256" s="627">
        <f t="shared" si="34"/>
        <v>247</v>
      </c>
      <c r="AE256" s="627">
        <f t="shared" si="38"/>
        <v>201</v>
      </c>
      <c r="AF256" s="627">
        <f t="shared" si="38"/>
        <v>107</v>
      </c>
      <c r="AG256" s="627">
        <f t="shared" si="38"/>
        <v>56</v>
      </c>
      <c r="AH256" s="627">
        <f t="shared" si="38"/>
        <v>12</v>
      </c>
      <c r="AI256" s="627">
        <f t="shared" si="38"/>
        <v>216</v>
      </c>
      <c r="AJ256" s="627">
        <f t="shared" si="38"/>
        <v>275</v>
      </c>
      <c r="AK256" s="627">
        <f t="shared" si="38"/>
        <v>221</v>
      </c>
      <c r="AL256" s="627">
        <f t="shared" si="38"/>
        <v>145</v>
      </c>
      <c r="AM256" s="627">
        <f t="shared" si="38"/>
        <v>137</v>
      </c>
      <c r="AN256" s="627">
        <f t="shared" si="38"/>
        <v>143</v>
      </c>
      <c r="AO256" s="627">
        <f t="shared" si="37"/>
        <v>196</v>
      </c>
      <c r="AP256" s="627">
        <f t="shared" si="37"/>
        <v>192</v>
      </c>
      <c r="AQ256" s="627">
        <f t="shared" si="37"/>
        <v>287</v>
      </c>
      <c r="AR256" s="627">
        <f t="shared" si="37"/>
        <v>333</v>
      </c>
      <c r="AS256" s="627">
        <f t="shared" si="37"/>
        <v>279</v>
      </c>
      <c r="AT256" s="627">
        <f t="shared" si="37"/>
        <v>208</v>
      </c>
      <c r="AU256" s="627">
        <f t="shared" si="36"/>
        <v>6</v>
      </c>
      <c r="AV256" s="627">
        <f t="shared" si="36"/>
        <v>274</v>
      </c>
      <c r="AW256" s="627">
        <f t="shared" si="36"/>
        <v>142</v>
      </c>
      <c r="AX256" s="627">
        <f t="shared" si="36"/>
        <v>150</v>
      </c>
      <c r="AY256" s="627">
        <f t="shared" si="36"/>
        <v>372</v>
      </c>
      <c r="AZ256" s="627">
        <f t="shared" si="36"/>
        <v>440</v>
      </c>
      <c r="BA256" s="627">
        <f t="shared" si="36"/>
        <v>441</v>
      </c>
    </row>
    <row r="257" spans="1:53">
      <c r="A257" s="105">
        <f t="shared" si="32"/>
        <v>246</v>
      </c>
      <c r="B257" s="745">
        <v>42615</v>
      </c>
      <c r="C257" s="746" t="s">
        <v>1772</v>
      </c>
      <c r="D257" s="747">
        <v>4598</v>
      </c>
      <c r="E257" s="747">
        <v>4380</v>
      </c>
      <c r="F257" s="747">
        <v>4250</v>
      </c>
      <c r="G257" s="747">
        <v>4188</v>
      </c>
      <c r="H257" s="747">
        <v>4208</v>
      </c>
      <c r="I257" s="747">
        <v>4355</v>
      </c>
      <c r="J257" s="747">
        <v>4720</v>
      </c>
      <c r="K257" s="747">
        <v>4901</v>
      </c>
      <c r="L257" s="747">
        <v>5048</v>
      </c>
      <c r="M257" s="747">
        <v>5204</v>
      </c>
      <c r="N257" s="747">
        <v>5307</v>
      </c>
      <c r="O257" s="747">
        <v>5409</v>
      </c>
      <c r="P257" s="747">
        <v>5562</v>
      </c>
      <c r="Q257" s="747">
        <v>5676</v>
      </c>
      <c r="R257" s="747">
        <v>5848</v>
      </c>
      <c r="S257" s="747">
        <v>6063</v>
      </c>
      <c r="T257" s="747">
        <v>6249</v>
      </c>
      <c r="U257" s="747">
        <v>6361</v>
      </c>
      <c r="V257" s="747">
        <v>6211</v>
      </c>
      <c r="W257" s="747">
        <v>5944</v>
      </c>
      <c r="X257" s="747">
        <v>5791</v>
      </c>
      <c r="Y257" s="747">
        <v>5451</v>
      </c>
      <c r="Z257" s="747">
        <v>4982</v>
      </c>
      <c r="AA257" s="747">
        <v>4623</v>
      </c>
      <c r="AC257" s="628">
        <f t="shared" si="33"/>
        <v>246</v>
      </c>
      <c r="AD257" s="627">
        <f t="shared" si="34"/>
        <v>331</v>
      </c>
      <c r="AE257" s="627">
        <f t="shared" si="38"/>
        <v>218</v>
      </c>
      <c r="AF257" s="627">
        <f t="shared" si="38"/>
        <v>130</v>
      </c>
      <c r="AG257" s="627">
        <f t="shared" si="38"/>
        <v>62</v>
      </c>
      <c r="AH257" s="627">
        <f t="shared" si="38"/>
        <v>20</v>
      </c>
      <c r="AI257" s="627">
        <f t="shared" si="38"/>
        <v>147</v>
      </c>
      <c r="AJ257" s="627">
        <f t="shared" si="38"/>
        <v>365</v>
      </c>
      <c r="AK257" s="627">
        <f t="shared" si="38"/>
        <v>181</v>
      </c>
      <c r="AL257" s="627">
        <f t="shared" si="38"/>
        <v>147</v>
      </c>
      <c r="AM257" s="627">
        <f t="shared" si="38"/>
        <v>156</v>
      </c>
      <c r="AN257" s="627">
        <f t="shared" si="38"/>
        <v>103</v>
      </c>
      <c r="AO257" s="627">
        <f t="shared" si="37"/>
        <v>102</v>
      </c>
      <c r="AP257" s="627">
        <f t="shared" si="37"/>
        <v>153</v>
      </c>
      <c r="AQ257" s="627">
        <f t="shared" si="37"/>
        <v>114</v>
      </c>
      <c r="AR257" s="627">
        <f t="shared" si="37"/>
        <v>172</v>
      </c>
      <c r="AS257" s="627">
        <f t="shared" si="37"/>
        <v>215</v>
      </c>
      <c r="AT257" s="627">
        <f t="shared" si="37"/>
        <v>186</v>
      </c>
      <c r="AU257" s="627">
        <f t="shared" si="36"/>
        <v>112</v>
      </c>
      <c r="AV257" s="627">
        <f t="shared" si="36"/>
        <v>150</v>
      </c>
      <c r="AW257" s="627">
        <f t="shared" si="36"/>
        <v>267</v>
      </c>
      <c r="AX257" s="627">
        <f t="shared" si="36"/>
        <v>153</v>
      </c>
      <c r="AY257" s="627">
        <f t="shared" si="36"/>
        <v>340</v>
      </c>
      <c r="AZ257" s="627">
        <f t="shared" si="36"/>
        <v>469</v>
      </c>
      <c r="BA257" s="627">
        <f t="shared" si="36"/>
        <v>359</v>
      </c>
    </row>
    <row r="258" spans="1:53">
      <c r="A258" s="105">
        <f t="shared" si="32"/>
        <v>247</v>
      </c>
      <c r="B258" s="745">
        <v>42616</v>
      </c>
      <c r="C258" s="746" t="s">
        <v>1772</v>
      </c>
      <c r="D258" s="747">
        <v>4446</v>
      </c>
      <c r="E258" s="747">
        <v>4207</v>
      </c>
      <c r="F258" s="747">
        <v>4074</v>
      </c>
      <c r="G258" s="747">
        <v>3995</v>
      </c>
      <c r="H258" s="747">
        <v>3976</v>
      </c>
      <c r="I258" s="747">
        <v>4057</v>
      </c>
      <c r="J258" s="747">
        <v>4053</v>
      </c>
      <c r="K258" s="747">
        <v>4206</v>
      </c>
      <c r="L258" s="747">
        <v>4403</v>
      </c>
      <c r="M258" s="747">
        <v>4586</v>
      </c>
      <c r="N258" s="747">
        <v>4882</v>
      </c>
      <c r="O258" s="747">
        <v>5152</v>
      </c>
      <c r="P258" s="747">
        <v>5408</v>
      </c>
      <c r="Q258" s="747">
        <v>5595</v>
      </c>
      <c r="R258" s="747">
        <v>5749</v>
      </c>
      <c r="S258" s="747">
        <v>5781</v>
      </c>
      <c r="T258" s="747">
        <v>5876</v>
      </c>
      <c r="U258" s="747">
        <v>5934</v>
      </c>
      <c r="V258" s="747">
        <v>5765</v>
      </c>
      <c r="W258" s="747">
        <v>5651</v>
      </c>
      <c r="X258" s="747">
        <v>5571</v>
      </c>
      <c r="Y258" s="747">
        <v>5287</v>
      </c>
      <c r="Z258" s="747">
        <v>4866</v>
      </c>
      <c r="AA258" s="747">
        <v>4518</v>
      </c>
      <c r="AC258" s="628">
        <f t="shared" si="33"/>
        <v>247</v>
      </c>
      <c r="AD258" s="627">
        <f t="shared" si="34"/>
        <v>177</v>
      </c>
      <c r="AE258" s="627">
        <f t="shared" si="38"/>
        <v>239</v>
      </c>
      <c r="AF258" s="627">
        <f t="shared" si="38"/>
        <v>133</v>
      </c>
      <c r="AG258" s="627">
        <f t="shared" si="38"/>
        <v>79</v>
      </c>
      <c r="AH258" s="627">
        <f t="shared" si="38"/>
        <v>19</v>
      </c>
      <c r="AI258" s="627">
        <f t="shared" si="38"/>
        <v>81</v>
      </c>
      <c r="AJ258" s="627">
        <f t="shared" si="38"/>
        <v>4</v>
      </c>
      <c r="AK258" s="627">
        <f t="shared" si="38"/>
        <v>153</v>
      </c>
      <c r="AL258" s="627">
        <f t="shared" si="38"/>
        <v>197</v>
      </c>
      <c r="AM258" s="627">
        <f t="shared" si="38"/>
        <v>183</v>
      </c>
      <c r="AN258" s="627">
        <f t="shared" si="38"/>
        <v>296</v>
      </c>
      <c r="AO258" s="627">
        <f t="shared" si="37"/>
        <v>270</v>
      </c>
      <c r="AP258" s="627">
        <f t="shared" si="37"/>
        <v>256</v>
      </c>
      <c r="AQ258" s="627">
        <f t="shared" si="37"/>
        <v>187</v>
      </c>
      <c r="AR258" s="627">
        <f t="shared" si="37"/>
        <v>154</v>
      </c>
      <c r="AS258" s="627">
        <f t="shared" si="37"/>
        <v>32</v>
      </c>
      <c r="AT258" s="627">
        <f t="shared" si="37"/>
        <v>95</v>
      </c>
      <c r="AU258" s="627">
        <f t="shared" si="36"/>
        <v>58</v>
      </c>
      <c r="AV258" s="627">
        <f t="shared" si="36"/>
        <v>169</v>
      </c>
      <c r="AW258" s="627">
        <f t="shared" si="36"/>
        <v>114</v>
      </c>
      <c r="AX258" s="627">
        <f t="shared" si="36"/>
        <v>80</v>
      </c>
      <c r="AY258" s="627">
        <f t="shared" si="36"/>
        <v>284</v>
      </c>
      <c r="AZ258" s="627">
        <f t="shared" si="36"/>
        <v>421</v>
      </c>
      <c r="BA258" s="627">
        <f t="shared" si="36"/>
        <v>348</v>
      </c>
    </row>
    <row r="259" spans="1:53">
      <c r="A259" s="105">
        <f t="shared" si="32"/>
        <v>248</v>
      </c>
      <c r="B259" s="745">
        <v>42617</v>
      </c>
      <c r="C259" s="746" t="s">
        <v>1772</v>
      </c>
      <c r="D259" s="747">
        <v>4294</v>
      </c>
      <c r="E259" s="747">
        <v>4089</v>
      </c>
      <c r="F259" s="747">
        <v>3938</v>
      </c>
      <c r="G259" s="747">
        <v>3891</v>
      </c>
      <c r="H259" s="747">
        <v>3927</v>
      </c>
      <c r="I259" s="747">
        <v>3954</v>
      </c>
      <c r="J259" s="747">
        <v>4010</v>
      </c>
      <c r="K259" s="747">
        <v>4001</v>
      </c>
      <c r="L259" s="747">
        <v>4165</v>
      </c>
      <c r="M259" s="747">
        <v>4431</v>
      </c>
      <c r="N259" s="747">
        <v>4646</v>
      </c>
      <c r="O259" s="747">
        <v>4828</v>
      </c>
      <c r="P259" s="747">
        <v>5082</v>
      </c>
      <c r="Q259" s="747">
        <v>5347</v>
      </c>
      <c r="R259" s="747">
        <v>5578</v>
      </c>
      <c r="S259" s="747">
        <v>5624</v>
      </c>
      <c r="T259" s="747">
        <v>5728</v>
      </c>
      <c r="U259" s="747">
        <v>5829</v>
      </c>
      <c r="V259" s="747">
        <v>5787</v>
      </c>
      <c r="W259" s="747">
        <v>5598</v>
      </c>
      <c r="X259" s="747">
        <v>5467</v>
      </c>
      <c r="Y259" s="747">
        <v>5159</v>
      </c>
      <c r="Z259" s="747">
        <v>4743</v>
      </c>
      <c r="AA259" s="747">
        <v>4417</v>
      </c>
      <c r="AC259" s="628">
        <f t="shared" si="33"/>
        <v>248</v>
      </c>
      <c r="AD259" s="627">
        <f t="shared" si="34"/>
        <v>224</v>
      </c>
      <c r="AE259" s="627">
        <f t="shared" si="38"/>
        <v>205</v>
      </c>
      <c r="AF259" s="627">
        <f t="shared" si="38"/>
        <v>151</v>
      </c>
      <c r="AG259" s="627">
        <f t="shared" si="38"/>
        <v>47</v>
      </c>
      <c r="AH259" s="627">
        <f t="shared" si="38"/>
        <v>36</v>
      </c>
      <c r="AI259" s="627">
        <f t="shared" si="38"/>
        <v>27</v>
      </c>
      <c r="AJ259" s="627">
        <f t="shared" si="38"/>
        <v>56</v>
      </c>
      <c r="AK259" s="627">
        <f t="shared" si="38"/>
        <v>9</v>
      </c>
      <c r="AL259" s="627">
        <f t="shared" si="38"/>
        <v>164</v>
      </c>
      <c r="AM259" s="627">
        <f t="shared" si="38"/>
        <v>266</v>
      </c>
      <c r="AN259" s="627">
        <f t="shared" si="38"/>
        <v>215</v>
      </c>
      <c r="AO259" s="627">
        <f t="shared" si="37"/>
        <v>182</v>
      </c>
      <c r="AP259" s="627">
        <f t="shared" si="37"/>
        <v>254</v>
      </c>
      <c r="AQ259" s="627">
        <f t="shared" si="37"/>
        <v>265</v>
      </c>
      <c r="AR259" s="627">
        <f t="shared" si="37"/>
        <v>231</v>
      </c>
      <c r="AS259" s="627">
        <f t="shared" si="37"/>
        <v>46</v>
      </c>
      <c r="AT259" s="627">
        <f t="shared" si="37"/>
        <v>104</v>
      </c>
      <c r="AU259" s="627">
        <f t="shared" si="36"/>
        <v>101</v>
      </c>
      <c r="AV259" s="627">
        <f t="shared" si="36"/>
        <v>42</v>
      </c>
      <c r="AW259" s="627">
        <f t="shared" si="36"/>
        <v>189</v>
      </c>
      <c r="AX259" s="627">
        <f t="shared" si="36"/>
        <v>131</v>
      </c>
      <c r="AY259" s="627">
        <f t="shared" si="36"/>
        <v>308</v>
      </c>
      <c r="AZ259" s="627">
        <f t="shared" si="36"/>
        <v>416</v>
      </c>
      <c r="BA259" s="627">
        <f t="shared" si="36"/>
        <v>326</v>
      </c>
    </row>
    <row r="260" spans="1:53">
      <c r="A260" s="105">
        <f t="shared" si="32"/>
        <v>249</v>
      </c>
      <c r="B260" s="745">
        <v>42618</v>
      </c>
      <c r="C260" s="746" t="s">
        <v>1772</v>
      </c>
      <c r="D260" s="747">
        <v>4236</v>
      </c>
      <c r="E260" s="747">
        <v>4099</v>
      </c>
      <c r="F260" s="747">
        <v>3966</v>
      </c>
      <c r="G260" s="747">
        <v>3899</v>
      </c>
      <c r="H260" s="747">
        <v>3865</v>
      </c>
      <c r="I260" s="747">
        <v>3878</v>
      </c>
      <c r="J260" s="747">
        <v>3937</v>
      </c>
      <c r="K260" s="747">
        <v>4037</v>
      </c>
      <c r="L260" s="747">
        <v>4293</v>
      </c>
      <c r="M260" s="747">
        <v>4588</v>
      </c>
      <c r="N260" s="747">
        <v>4801</v>
      </c>
      <c r="O260" s="747">
        <v>4996</v>
      </c>
      <c r="P260" s="747">
        <v>5231</v>
      </c>
      <c r="Q260" s="747">
        <v>5513</v>
      </c>
      <c r="R260" s="747">
        <v>5831</v>
      </c>
      <c r="S260" s="747">
        <v>6160</v>
      </c>
      <c r="T260" s="747">
        <v>6428</v>
      </c>
      <c r="U260" s="747">
        <v>6522</v>
      </c>
      <c r="V260" s="747">
        <v>6328</v>
      </c>
      <c r="W260" s="747">
        <v>6149</v>
      </c>
      <c r="X260" s="747">
        <v>6016</v>
      </c>
      <c r="Y260" s="747">
        <v>5684</v>
      </c>
      <c r="Z260" s="747">
        <v>5216</v>
      </c>
      <c r="AA260" s="747">
        <v>4725</v>
      </c>
      <c r="AC260" s="628">
        <f t="shared" si="33"/>
        <v>249</v>
      </c>
      <c r="AD260" s="627">
        <f t="shared" si="34"/>
        <v>181</v>
      </c>
      <c r="AE260" s="627">
        <f t="shared" si="38"/>
        <v>137</v>
      </c>
      <c r="AF260" s="627">
        <f t="shared" si="38"/>
        <v>133</v>
      </c>
      <c r="AG260" s="627">
        <f t="shared" si="38"/>
        <v>67</v>
      </c>
      <c r="AH260" s="627">
        <f t="shared" si="38"/>
        <v>34</v>
      </c>
      <c r="AI260" s="627">
        <f t="shared" si="38"/>
        <v>13</v>
      </c>
      <c r="AJ260" s="627">
        <f t="shared" si="38"/>
        <v>59</v>
      </c>
      <c r="AK260" s="627">
        <f t="shared" si="38"/>
        <v>100</v>
      </c>
      <c r="AL260" s="627">
        <f t="shared" si="38"/>
        <v>256</v>
      </c>
      <c r="AM260" s="627">
        <f t="shared" si="38"/>
        <v>295</v>
      </c>
      <c r="AN260" s="627">
        <f t="shared" si="38"/>
        <v>213</v>
      </c>
      <c r="AO260" s="627">
        <f t="shared" si="37"/>
        <v>195</v>
      </c>
      <c r="AP260" s="627">
        <f t="shared" si="37"/>
        <v>235</v>
      </c>
      <c r="AQ260" s="627">
        <f t="shared" si="37"/>
        <v>282</v>
      </c>
      <c r="AR260" s="627">
        <f t="shared" si="37"/>
        <v>318</v>
      </c>
      <c r="AS260" s="627">
        <f t="shared" si="37"/>
        <v>329</v>
      </c>
      <c r="AT260" s="627">
        <f t="shared" si="37"/>
        <v>268</v>
      </c>
      <c r="AU260" s="627">
        <f t="shared" si="36"/>
        <v>94</v>
      </c>
      <c r="AV260" s="627">
        <f t="shared" si="36"/>
        <v>194</v>
      </c>
      <c r="AW260" s="627">
        <f t="shared" si="36"/>
        <v>179</v>
      </c>
      <c r="AX260" s="627">
        <f t="shared" si="36"/>
        <v>133</v>
      </c>
      <c r="AY260" s="627">
        <f t="shared" si="36"/>
        <v>332</v>
      </c>
      <c r="AZ260" s="627">
        <f t="shared" si="36"/>
        <v>468</v>
      </c>
      <c r="BA260" s="627">
        <f t="shared" si="36"/>
        <v>491</v>
      </c>
    </row>
    <row r="261" spans="1:53">
      <c r="A261" s="105">
        <f t="shared" si="32"/>
        <v>250</v>
      </c>
      <c r="B261" s="745">
        <v>42619</v>
      </c>
      <c r="C261" s="746" t="s">
        <v>1772</v>
      </c>
      <c r="D261" s="747">
        <v>4386</v>
      </c>
      <c r="E261" s="747">
        <v>4191</v>
      </c>
      <c r="F261" s="747">
        <v>3988</v>
      </c>
      <c r="G261" s="747">
        <v>3886</v>
      </c>
      <c r="H261" s="747">
        <v>3985</v>
      </c>
      <c r="I261" s="747">
        <v>4156</v>
      </c>
      <c r="J261" s="747">
        <v>4612</v>
      </c>
      <c r="K261" s="747">
        <v>4838</v>
      </c>
      <c r="L261" s="747">
        <v>4983</v>
      </c>
      <c r="M261" s="747">
        <v>5075</v>
      </c>
      <c r="N261" s="747">
        <v>5237</v>
      </c>
      <c r="O261" s="747">
        <v>5373</v>
      </c>
      <c r="P261" s="747">
        <v>5543</v>
      </c>
      <c r="Q261" s="747">
        <v>5772</v>
      </c>
      <c r="R261" s="747">
        <v>5955</v>
      </c>
      <c r="S261" s="747">
        <v>6072</v>
      </c>
      <c r="T261" s="747">
        <v>6282</v>
      </c>
      <c r="U261" s="747">
        <v>6386</v>
      </c>
      <c r="V261" s="747">
        <v>6262</v>
      </c>
      <c r="W261" s="747">
        <v>6128</v>
      </c>
      <c r="X261" s="747">
        <v>6013</v>
      </c>
      <c r="Y261" s="747">
        <v>5634</v>
      </c>
      <c r="Z261" s="747">
        <v>5179</v>
      </c>
      <c r="AA261" s="747">
        <v>4742</v>
      </c>
      <c r="AC261" s="628">
        <f t="shared" si="33"/>
        <v>250</v>
      </c>
      <c r="AD261" s="627">
        <f t="shared" si="34"/>
        <v>339</v>
      </c>
      <c r="AE261" s="627">
        <f t="shared" si="38"/>
        <v>195</v>
      </c>
      <c r="AF261" s="627">
        <f t="shared" si="38"/>
        <v>203</v>
      </c>
      <c r="AG261" s="627">
        <f t="shared" si="38"/>
        <v>102</v>
      </c>
      <c r="AH261" s="627">
        <f t="shared" si="38"/>
        <v>99</v>
      </c>
      <c r="AI261" s="627">
        <f t="shared" si="38"/>
        <v>171</v>
      </c>
      <c r="AJ261" s="627">
        <f t="shared" si="38"/>
        <v>456</v>
      </c>
      <c r="AK261" s="627">
        <f t="shared" si="38"/>
        <v>226</v>
      </c>
      <c r="AL261" s="627">
        <f t="shared" si="38"/>
        <v>145</v>
      </c>
      <c r="AM261" s="627">
        <f t="shared" si="38"/>
        <v>92</v>
      </c>
      <c r="AN261" s="627">
        <f t="shared" si="38"/>
        <v>162</v>
      </c>
      <c r="AO261" s="627">
        <f t="shared" si="37"/>
        <v>136</v>
      </c>
      <c r="AP261" s="627">
        <f t="shared" si="37"/>
        <v>170</v>
      </c>
      <c r="AQ261" s="627">
        <f t="shared" si="37"/>
        <v>229</v>
      </c>
      <c r="AR261" s="627">
        <f t="shared" si="37"/>
        <v>183</v>
      </c>
      <c r="AS261" s="627">
        <f t="shared" si="37"/>
        <v>117</v>
      </c>
      <c r="AT261" s="627">
        <f t="shared" si="37"/>
        <v>210</v>
      </c>
      <c r="AU261" s="627">
        <f t="shared" si="36"/>
        <v>104</v>
      </c>
      <c r="AV261" s="627">
        <f t="shared" si="36"/>
        <v>124</v>
      </c>
      <c r="AW261" s="627">
        <f t="shared" si="36"/>
        <v>134</v>
      </c>
      <c r="AX261" s="627">
        <f t="shared" si="36"/>
        <v>115</v>
      </c>
      <c r="AY261" s="627">
        <f t="shared" si="36"/>
        <v>379</v>
      </c>
      <c r="AZ261" s="627">
        <f t="shared" si="36"/>
        <v>455</v>
      </c>
      <c r="BA261" s="627">
        <f t="shared" si="36"/>
        <v>437</v>
      </c>
    </row>
    <row r="262" spans="1:53">
      <c r="A262" s="105">
        <f t="shared" si="32"/>
        <v>251</v>
      </c>
      <c r="B262" s="745">
        <v>42620</v>
      </c>
      <c r="C262" s="746" t="s">
        <v>1772</v>
      </c>
      <c r="D262" s="747">
        <v>4429</v>
      </c>
      <c r="E262" s="747">
        <v>4263</v>
      </c>
      <c r="F262" s="747">
        <v>4154</v>
      </c>
      <c r="G262" s="747">
        <v>4046</v>
      </c>
      <c r="H262" s="747">
        <v>4064</v>
      </c>
      <c r="I262" s="747">
        <v>4309</v>
      </c>
      <c r="J262" s="747">
        <v>4622</v>
      </c>
      <c r="K262" s="747">
        <v>4826</v>
      </c>
      <c r="L262" s="747">
        <v>4933</v>
      </c>
      <c r="M262" s="747">
        <v>5188</v>
      </c>
      <c r="N262" s="747">
        <v>5402</v>
      </c>
      <c r="O262" s="747">
        <v>5582</v>
      </c>
      <c r="P262" s="747">
        <v>5732</v>
      </c>
      <c r="Q262" s="747">
        <v>5890</v>
      </c>
      <c r="R262" s="747">
        <v>6082</v>
      </c>
      <c r="S262" s="747">
        <v>6308</v>
      </c>
      <c r="T262" s="747">
        <v>6500</v>
      </c>
      <c r="U262" s="747">
        <v>6642</v>
      </c>
      <c r="V262" s="747">
        <v>6461</v>
      </c>
      <c r="W262" s="747">
        <v>6278</v>
      </c>
      <c r="X262" s="747">
        <v>6087</v>
      </c>
      <c r="Y262" s="747">
        <v>5643</v>
      </c>
      <c r="Z262" s="747">
        <v>5166</v>
      </c>
      <c r="AA262" s="747">
        <v>4812</v>
      </c>
      <c r="AC262" s="628">
        <f t="shared" si="33"/>
        <v>251</v>
      </c>
      <c r="AD262" s="627">
        <f t="shared" si="34"/>
        <v>313</v>
      </c>
      <c r="AE262" s="627">
        <f t="shared" si="38"/>
        <v>166</v>
      </c>
      <c r="AF262" s="627">
        <f t="shared" si="38"/>
        <v>109</v>
      </c>
      <c r="AG262" s="627">
        <f t="shared" si="38"/>
        <v>108</v>
      </c>
      <c r="AH262" s="627">
        <f t="shared" si="38"/>
        <v>18</v>
      </c>
      <c r="AI262" s="627">
        <f t="shared" si="38"/>
        <v>245</v>
      </c>
      <c r="AJ262" s="627">
        <f t="shared" si="38"/>
        <v>313</v>
      </c>
      <c r="AK262" s="627">
        <f t="shared" si="38"/>
        <v>204</v>
      </c>
      <c r="AL262" s="627">
        <f t="shared" si="38"/>
        <v>107</v>
      </c>
      <c r="AM262" s="627">
        <f t="shared" si="38"/>
        <v>255</v>
      </c>
      <c r="AN262" s="627">
        <f t="shared" si="38"/>
        <v>214</v>
      </c>
      <c r="AO262" s="627">
        <f t="shared" si="37"/>
        <v>180</v>
      </c>
      <c r="AP262" s="627">
        <f t="shared" si="37"/>
        <v>150</v>
      </c>
      <c r="AQ262" s="627">
        <f t="shared" si="37"/>
        <v>158</v>
      </c>
      <c r="AR262" s="627">
        <f t="shared" si="37"/>
        <v>192</v>
      </c>
      <c r="AS262" s="627">
        <f t="shared" si="37"/>
        <v>226</v>
      </c>
      <c r="AT262" s="627">
        <f t="shared" si="37"/>
        <v>192</v>
      </c>
      <c r="AU262" s="627">
        <f t="shared" si="36"/>
        <v>142</v>
      </c>
      <c r="AV262" s="627">
        <f t="shared" si="36"/>
        <v>181</v>
      </c>
      <c r="AW262" s="627">
        <f t="shared" si="36"/>
        <v>183</v>
      </c>
      <c r="AX262" s="627">
        <f t="shared" si="36"/>
        <v>191</v>
      </c>
      <c r="AY262" s="627">
        <f t="shared" si="36"/>
        <v>444</v>
      </c>
      <c r="AZ262" s="627">
        <f t="shared" si="36"/>
        <v>477</v>
      </c>
      <c r="BA262" s="627">
        <f t="shared" si="36"/>
        <v>354</v>
      </c>
    </row>
    <row r="263" spans="1:53">
      <c r="A263" s="105">
        <f t="shared" si="32"/>
        <v>252</v>
      </c>
      <c r="B263" s="745">
        <v>42621</v>
      </c>
      <c r="C263" s="746" t="s">
        <v>1772</v>
      </c>
      <c r="D263" s="747">
        <v>4468</v>
      </c>
      <c r="E263" s="747">
        <v>4251</v>
      </c>
      <c r="F263" s="747">
        <v>4113</v>
      </c>
      <c r="G263" s="747">
        <v>4079</v>
      </c>
      <c r="H263" s="747">
        <v>4060</v>
      </c>
      <c r="I263" s="747">
        <v>4265</v>
      </c>
      <c r="J263" s="747">
        <v>4649</v>
      </c>
      <c r="K263" s="747">
        <v>4763</v>
      </c>
      <c r="L263" s="747">
        <v>4908</v>
      </c>
      <c r="M263" s="747">
        <v>5063</v>
      </c>
      <c r="N263" s="747">
        <v>5333</v>
      </c>
      <c r="O263" s="747">
        <v>5528</v>
      </c>
      <c r="P263" s="747">
        <v>5758</v>
      </c>
      <c r="Q263" s="747">
        <v>6034</v>
      </c>
      <c r="R263" s="747">
        <v>6301</v>
      </c>
      <c r="S263" s="747">
        <v>6559</v>
      </c>
      <c r="T263" s="747">
        <v>6812</v>
      </c>
      <c r="U263" s="747">
        <v>6937</v>
      </c>
      <c r="V263" s="747">
        <v>6710</v>
      </c>
      <c r="W263" s="747">
        <v>6413</v>
      </c>
      <c r="X263" s="747">
        <v>6183</v>
      </c>
      <c r="Y263" s="747">
        <v>5713</v>
      </c>
      <c r="Z263" s="747">
        <v>5220</v>
      </c>
      <c r="AA263" s="747">
        <v>4685</v>
      </c>
      <c r="AC263" s="628">
        <f t="shared" si="33"/>
        <v>252</v>
      </c>
      <c r="AD263" s="627">
        <f t="shared" si="34"/>
        <v>344</v>
      </c>
      <c r="AE263" s="627">
        <f t="shared" si="38"/>
        <v>217</v>
      </c>
      <c r="AF263" s="627">
        <f t="shared" si="38"/>
        <v>138</v>
      </c>
      <c r="AG263" s="627">
        <f t="shared" si="38"/>
        <v>34</v>
      </c>
      <c r="AH263" s="627">
        <f t="shared" si="38"/>
        <v>19</v>
      </c>
      <c r="AI263" s="627">
        <f t="shared" si="38"/>
        <v>205</v>
      </c>
      <c r="AJ263" s="627">
        <f t="shared" si="38"/>
        <v>384</v>
      </c>
      <c r="AK263" s="627">
        <f t="shared" si="38"/>
        <v>114</v>
      </c>
      <c r="AL263" s="627">
        <f t="shared" si="38"/>
        <v>145</v>
      </c>
      <c r="AM263" s="627">
        <f t="shared" si="38"/>
        <v>155</v>
      </c>
      <c r="AN263" s="627">
        <f t="shared" si="38"/>
        <v>270</v>
      </c>
      <c r="AO263" s="627">
        <f t="shared" si="37"/>
        <v>195</v>
      </c>
      <c r="AP263" s="627">
        <f t="shared" si="37"/>
        <v>230</v>
      </c>
      <c r="AQ263" s="627">
        <f t="shared" si="37"/>
        <v>276</v>
      </c>
      <c r="AR263" s="627">
        <f t="shared" si="37"/>
        <v>267</v>
      </c>
      <c r="AS263" s="627">
        <f t="shared" si="37"/>
        <v>258</v>
      </c>
      <c r="AT263" s="627">
        <f t="shared" si="37"/>
        <v>253</v>
      </c>
      <c r="AU263" s="627">
        <f t="shared" si="36"/>
        <v>125</v>
      </c>
      <c r="AV263" s="627">
        <f t="shared" si="36"/>
        <v>227</v>
      </c>
      <c r="AW263" s="627">
        <f t="shared" si="36"/>
        <v>297</v>
      </c>
      <c r="AX263" s="627">
        <f t="shared" si="36"/>
        <v>230</v>
      </c>
      <c r="AY263" s="627">
        <f t="shared" si="36"/>
        <v>470</v>
      </c>
      <c r="AZ263" s="627">
        <f t="shared" si="36"/>
        <v>493</v>
      </c>
      <c r="BA263" s="627">
        <f t="shared" si="36"/>
        <v>535</v>
      </c>
    </row>
    <row r="264" spans="1:53">
      <c r="A264" s="105">
        <f t="shared" si="32"/>
        <v>253</v>
      </c>
      <c r="B264" s="745">
        <v>42622</v>
      </c>
      <c r="C264" s="746" t="s">
        <v>1772</v>
      </c>
      <c r="D264" s="747">
        <v>4394</v>
      </c>
      <c r="E264" s="747">
        <v>4222</v>
      </c>
      <c r="F264" s="747">
        <v>4127</v>
      </c>
      <c r="G264" s="747">
        <v>4122</v>
      </c>
      <c r="H264" s="747">
        <v>4180</v>
      </c>
      <c r="I264" s="747">
        <v>4390</v>
      </c>
      <c r="J264" s="747">
        <v>4650</v>
      </c>
      <c r="K264" s="747">
        <v>4785</v>
      </c>
      <c r="L264" s="747">
        <v>4920</v>
      </c>
      <c r="M264" s="747">
        <v>4991</v>
      </c>
      <c r="N264" s="747">
        <v>5129</v>
      </c>
      <c r="O264" s="747">
        <v>5247</v>
      </c>
      <c r="P264" s="747">
        <v>5353</v>
      </c>
      <c r="Q264" s="747">
        <v>5488</v>
      </c>
      <c r="R264" s="747">
        <v>5586</v>
      </c>
      <c r="S264" s="747">
        <v>5660</v>
      </c>
      <c r="T264" s="747">
        <v>5613</v>
      </c>
      <c r="U264" s="747">
        <v>5408</v>
      </c>
      <c r="V264" s="747">
        <v>5178</v>
      </c>
      <c r="W264" s="747">
        <v>5144</v>
      </c>
      <c r="X264" s="747">
        <v>5067</v>
      </c>
      <c r="Y264" s="747">
        <v>4893</v>
      </c>
      <c r="Z264" s="747">
        <v>4494</v>
      </c>
      <c r="AA264" s="747">
        <v>4253</v>
      </c>
      <c r="AC264" s="628">
        <f t="shared" si="33"/>
        <v>253</v>
      </c>
      <c r="AD264" s="627">
        <f t="shared" si="34"/>
        <v>291</v>
      </c>
      <c r="AE264" s="627">
        <f t="shared" si="38"/>
        <v>172</v>
      </c>
      <c r="AF264" s="627">
        <f t="shared" si="38"/>
        <v>95</v>
      </c>
      <c r="AG264" s="627">
        <f t="shared" si="38"/>
        <v>5</v>
      </c>
      <c r="AH264" s="627">
        <f t="shared" si="38"/>
        <v>58</v>
      </c>
      <c r="AI264" s="627">
        <f t="shared" si="38"/>
        <v>210</v>
      </c>
      <c r="AJ264" s="627">
        <f t="shared" si="38"/>
        <v>260</v>
      </c>
      <c r="AK264" s="627">
        <f t="shared" si="38"/>
        <v>135</v>
      </c>
      <c r="AL264" s="627">
        <f t="shared" si="38"/>
        <v>135</v>
      </c>
      <c r="AM264" s="627">
        <f t="shared" si="38"/>
        <v>71</v>
      </c>
      <c r="AN264" s="627">
        <f t="shared" si="38"/>
        <v>138</v>
      </c>
      <c r="AO264" s="627">
        <f t="shared" si="37"/>
        <v>118</v>
      </c>
      <c r="AP264" s="627">
        <f t="shared" si="37"/>
        <v>106</v>
      </c>
      <c r="AQ264" s="627">
        <f t="shared" si="37"/>
        <v>135</v>
      </c>
      <c r="AR264" s="627">
        <f t="shared" si="37"/>
        <v>98</v>
      </c>
      <c r="AS264" s="627">
        <f t="shared" si="37"/>
        <v>74</v>
      </c>
      <c r="AT264" s="627">
        <f t="shared" si="37"/>
        <v>47</v>
      </c>
      <c r="AU264" s="627">
        <f t="shared" si="37"/>
        <v>205</v>
      </c>
      <c r="AV264" s="627">
        <f t="shared" si="37"/>
        <v>230</v>
      </c>
      <c r="AW264" s="627">
        <f t="shared" si="37"/>
        <v>34</v>
      </c>
      <c r="AX264" s="627">
        <f t="shared" si="37"/>
        <v>77</v>
      </c>
      <c r="AY264" s="627">
        <f t="shared" si="37"/>
        <v>174</v>
      </c>
      <c r="AZ264" s="627">
        <f t="shared" si="37"/>
        <v>399</v>
      </c>
      <c r="BA264" s="627">
        <f t="shared" si="37"/>
        <v>241</v>
      </c>
    </row>
    <row r="265" spans="1:53">
      <c r="A265" s="105">
        <f t="shared" si="32"/>
        <v>254</v>
      </c>
      <c r="B265" s="745">
        <v>42623</v>
      </c>
      <c r="C265" s="746" t="s">
        <v>1772</v>
      </c>
      <c r="D265" s="747">
        <v>3978</v>
      </c>
      <c r="E265" s="747">
        <v>3824</v>
      </c>
      <c r="F265" s="747">
        <v>3734</v>
      </c>
      <c r="G265" s="747">
        <v>3783</v>
      </c>
      <c r="H265" s="747">
        <v>3769</v>
      </c>
      <c r="I265" s="747">
        <v>3885</v>
      </c>
      <c r="J265" s="747">
        <v>3982</v>
      </c>
      <c r="K265" s="747">
        <v>4002</v>
      </c>
      <c r="L265" s="747">
        <v>4178</v>
      </c>
      <c r="M265" s="747">
        <v>4286</v>
      </c>
      <c r="N265" s="747">
        <v>4337</v>
      </c>
      <c r="O265" s="747">
        <v>4400</v>
      </c>
      <c r="P265" s="747">
        <v>4455</v>
      </c>
      <c r="Q265" s="747">
        <v>4580</v>
      </c>
      <c r="R265" s="747">
        <v>4741</v>
      </c>
      <c r="S265" s="747">
        <v>4932</v>
      </c>
      <c r="T265" s="747">
        <v>5158</v>
      </c>
      <c r="U265" s="747">
        <v>5357</v>
      </c>
      <c r="V265" s="747">
        <v>5367</v>
      </c>
      <c r="W265" s="747">
        <v>5322</v>
      </c>
      <c r="X265" s="747">
        <v>5257</v>
      </c>
      <c r="Y265" s="747">
        <v>4964</v>
      </c>
      <c r="Z265" s="747">
        <v>4668</v>
      </c>
      <c r="AA265" s="747">
        <v>4380</v>
      </c>
      <c r="AC265" s="628">
        <f t="shared" si="33"/>
        <v>254</v>
      </c>
      <c r="AD265" s="627">
        <f t="shared" si="34"/>
        <v>275</v>
      </c>
      <c r="AE265" s="627">
        <f t="shared" si="38"/>
        <v>154</v>
      </c>
      <c r="AF265" s="627">
        <f t="shared" si="38"/>
        <v>90</v>
      </c>
      <c r="AG265" s="627">
        <f t="shared" si="38"/>
        <v>49</v>
      </c>
      <c r="AH265" s="627">
        <f t="shared" si="38"/>
        <v>14</v>
      </c>
      <c r="AI265" s="627">
        <f t="shared" si="38"/>
        <v>116</v>
      </c>
      <c r="AJ265" s="627">
        <f t="shared" ref="AH265:AW285" si="39">ABS(J265-I265)</f>
        <v>97</v>
      </c>
      <c r="AK265" s="627">
        <f t="shared" si="39"/>
        <v>20</v>
      </c>
      <c r="AL265" s="627">
        <f t="shared" si="39"/>
        <v>176</v>
      </c>
      <c r="AM265" s="627">
        <f t="shared" si="39"/>
        <v>108</v>
      </c>
      <c r="AN265" s="627">
        <f t="shared" si="39"/>
        <v>51</v>
      </c>
      <c r="AO265" s="627">
        <f t="shared" si="37"/>
        <v>63</v>
      </c>
      <c r="AP265" s="627">
        <f t="shared" si="37"/>
        <v>55</v>
      </c>
      <c r="AQ265" s="627">
        <f t="shared" si="37"/>
        <v>125</v>
      </c>
      <c r="AR265" s="627">
        <f t="shared" si="37"/>
        <v>161</v>
      </c>
      <c r="AS265" s="627">
        <f t="shared" si="37"/>
        <v>191</v>
      </c>
      <c r="AT265" s="627">
        <f t="shared" si="37"/>
        <v>226</v>
      </c>
      <c r="AU265" s="627">
        <f t="shared" si="37"/>
        <v>199</v>
      </c>
      <c r="AV265" s="627">
        <f t="shared" si="37"/>
        <v>10</v>
      </c>
      <c r="AW265" s="627">
        <f t="shared" si="37"/>
        <v>45</v>
      </c>
      <c r="AX265" s="627">
        <f t="shared" si="37"/>
        <v>65</v>
      </c>
      <c r="AY265" s="627">
        <f t="shared" si="37"/>
        <v>293</v>
      </c>
      <c r="AZ265" s="627">
        <f t="shared" si="37"/>
        <v>296</v>
      </c>
      <c r="BA265" s="627">
        <f t="shared" si="37"/>
        <v>288</v>
      </c>
    </row>
    <row r="266" spans="1:53">
      <c r="A266" s="105">
        <f t="shared" si="32"/>
        <v>255</v>
      </c>
      <c r="B266" s="745">
        <v>42624</v>
      </c>
      <c r="C266" s="746" t="s">
        <v>1772</v>
      </c>
      <c r="D266" s="747">
        <v>4186</v>
      </c>
      <c r="E266" s="747">
        <v>3990</v>
      </c>
      <c r="F266" s="747">
        <v>3893</v>
      </c>
      <c r="G266" s="747">
        <v>3799</v>
      </c>
      <c r="H266" s="747">
        <v>3682</v>
      </c>
      <c r="I266" s="747">
        <v>3726</v>
      </c>
      <c r="J266" s="747">
        <v>3682</v>
      </c>
      <c r="K266" s="747">
        <v>3752</v>
      </c>
      <c r="L266" s="747">
        <v>4007</v>
      </c>
      <c r="M266" s="747">
        <v>4235</v>
      </c>
      <c r="N266" s="747">
        <v>4431</v>
      </c>
      <c r="O266" s="747">
        <v>4601</v>
      </c>
      <c r="P266" s="747">
        <v>4837</v>
      </c>
      <c r="Q266" s="747">
        <v>5079</v>
      </c>
      <c r="R266" s="747">
        <v>5364</v>
      </c>
      <c r="S266" s="747">
        <v>5697</v>
      </c>
      <c r="T266" s="747">
        <v>5908</v>
      </c>
      <c r="U266" s="747">
        <v>5984</v>
      </c>
      <c r="V266" s="747">
        <v>5937</v>
      </c>
      <c r="W266" s="747">
        <v>5952</v>
      </c>
      <c r="X266" s="747">
        <v>5819</v>
      </c>
      <c r="Y266" s="747">
        <v>5425</v>
      </c>
      <c r="Z266" s="747">
        <v>4867</v>
      </c>
      <c r="AA266" s="747">
        <v>4534</v>
      </c>
      <c r="AC266" s="628">
        <f t="shared" si="33"/>
        <v>255</v>
      </c>
      <c r="AD266" s="627">
        <f t="shared" si="34"/>
        <v>194</v>
      </c>
      <c r="AE266" s="627">
        <f t="shared" ref="AE266:AR299" si="40">ABS(E266-D266)</f>
        <v>196</v>
      </c>
      <c r="AF266" s="627">
        <f t="shared" si="40"/>
        <v>97</v>
      </c>
      <c r="AG266" s="627">
        <f t="shared" si="40"/>
        <v>94</v>
      </c>
      <c r="AH266" s="627">
        <f t="shared" si="39"/>
        <v>117</v>
      </c>
      <c r="AI266" s="627">
        <f t="shared" si="39"/>
        <v>44</v>
      </c>
      <c r="AJ266" s="627">
        <f t="shared" si="39"/>
        <v>44</v>
      </c>
      <c r="AK266" s="627">
        <f t="shared" si="39"/>
        <v>70</v>
      </c>
      <c r="AL266" s="627">
        <f t="shared" si="39"/>
        <v>255</v>
      </c>
      <c r="AM266" s="627">
        <f t="shared" si="39"/>
        <v>228</v>
      </c>
      <c r="AN266" s="627">
        <f t="shared" si="39"/>
        <v>196</v>
      </c>
      <c r="AO266" s="627">
        <f t="shared" si="37"/>
        <v>170</v>
      </c>
      <c r="AP266" s="627">
        <f t="shared" si="37"/>
        <v>236</v>
      </c>
      <c r="AQ266" s="627">
        <f t="shared" si="37"/>
        <v>242</v>
      </c>
      <c r="AR266" s="627">
        <f t="shared" si="37"/>
        <v>285</v>
      </c>
      <c r="AS266" s="627">
        <f t="shared" si="37"/>
        <v>333</v>
      </c>
      <c r="AT266" s="627">
        <f t="shared" si="37"/>
        <v>211</v>
      </c>
      <c r="AU266" s="627">
        <f t="shared" si="37"/>
        <v>76</v>
      </c>
      <c r="AV266" s="627">
        <f t="shared" si="37"/>
        <v>47</v>
      </c>
      <c r="AW266" s="627">
        <f t="shared" si="37"/>
        <v>15</v>
      </c>
      <c r="AX266" s="627">
        <f t="shared" si="37"/>
        <v>133</v>
      </c>
      <c r="AY266" s="627">
        <f t="shared" si="37"/>
        <v>394</v>
      </c>
      <c r="AZ266" s="627">
        <f t="shared" si="37"/>
        <v>558</v>
      </c>
      <c r="BA266" s="627">
        <f t="shared" si="37"/>
        <v>333</v>
      </c>
    </row>
    <row r="267" spans="1:53">
      <c r="A267" s="105">
        <f t="shared" si="32"/>
        <v>256</v>
      </c>
      <c r="B267" s="745">
        <v>42625</v>
      </c>
      <c r="C267" s="746" t="s">
        <v>1772</v>
      </c>
      <c r="D267" s="747">
        <v>4306</v>
      </c>
      <c r="E267" s="747">
        <v>4168</v>
      </c>
      <c r="F267" s="747">
        <v>4095</v>
      </c>
      <c r="G267" s="747">
        <v>4077</v>
      </c>
      <c r="H267" s="747">
        <v>4074</v>
      </c>
      <c r="I267" s="747">
        <v>4295</v>
      </c>
      <c r="J267" s="747">
        <v>4711</v>
      </c>
      <c r="K267" s="747">
        <v>4869</v>
      </c>
      <c r="L267" s="747">
        <v>4991</v>
      </c>
      <c r="M267" s="747">
        <v>5150</v>
      </c>
      <c r="N267" s="747">
        <v>5286</v>
      </c>
      <c r="O267" s="747">
        <v>5326</v>
      </c>
      <c r="P267" s="747">
        <v>5514</v>
      </c>
      <c r="Q267" s="747">
        <v>5661</v>
      </c>
      <c r="R267" s="747">
        <v>5695</v>
      </c>
      <c r="S267" s="747">
        <v>5677</v>
      </c>
      <c r="T267" s="747">
        <v>5691</v>
      </c>
      <c r="U267" s="747">
        <v>5662</v>
      </c>
      <c r="V267" s="747">
        <v>5554</v>
      </c>
      <c r="W267" s="747">
        <v>5564</v>
      </c>
      <c r="X267" s="747">
        <v>5446</v>
      </c>
      <c r="Y267" s="747">
        <v>5040</v>
      </c>
      <c r="Z267" s="747">
        <v>4630</v>
      </c>
      <c r="AA267" s="747">
        <v>4314</v>
      </c>
      <c r="AC267" s="628">
        <f t="shared" si="33"/>
        <v>256</v>
      </c>
      <c r="AD267" s="627">
        <f t="shared" si="34"/>
        <v>228</v>
      </c>
      <c r="AE267" s="627">
        <f t="shared" si="40"/>
        <v>138</v>
      </c>
      <c r="AF267" s="627">
        <f t="shared" si="40"/>
        <v>73</v>
      </c>
      <c r="AG267" s="627">
        <f t="shared" si="40"/>
        <v>18</v>
      </c>
      <c r="AH267" s="627">
        <f t="shared" si="39"/>
        <v>3</v>
      </c>
      <c r="AI267" s="627">
        <f t="shared" si="39"/>
        <v>221</v>
      </c>
      <c r="AJ267" s="627">
        <f t="shared" si="39"/>
        <v>416</v>
      </c>
      <c r="AK267" s="627">
        <f t="shared" si="39"/>
        <v>158</v>
      </c>
      <c r="AL267" s="627">
        <f t="shared" si="39"/>
        <v>122</v>
      </c>
      <c r="AM267" s="627">
        <f t="shared" si="39"/>
        <v>159</v>
      </c>
      <c r="AN267" s="627">
        <f t="shared" si="39"/>
        <v>136</v>
      </c>
      <c r="AO267" s="627">
        <f t="shared" si="39"/>
        <v>40</v>
      </c>
      <c r="AP267" s="627">
        <f t="shared" si="39"/>
        <v>188</v>
      </c>
      <c r="AQ267" s="627">
        <f t="shared" si="39"/>
        <v>147</v>
      </c>
      <c r="AR267" s="627">
        <f t="shared" si="39"/>
        <v>34</v>
      </c>
      <c r="AS267" s="627">
        <f t="shared" si="39"/>
        <v>18</v>
      </c>
      <c r="AT267" s="627">
        <f t="shared" si="39"/>
        <v>14</v>
      </c>
      <c r="AU267" s="627">
        <f t="shared" si="39"/>
        <v>29</v>
      </c>
      <c r="AV267" s="627">
        <f t="shared" si="39"/>
        <v>108</v>
      </c>
      <c r="AW267" s="627">
        <f t="shared" si="39"/>
        <v>10</v>
      </c>
      <c r="AX267" s="627">
        <f t="shared" ref="AU267:BA304" si="41">ABS(X267-W267)</f>
        <v>118</v>
      </c>
      <c r="AY267" s="627">
        <f t="shared" si="41"/>
        <v>406</v>
      </c>
      <c r="AZ267" s="627">
        <f t="shared" si="41"/>
        <v>410</v>
      </c>
      <c r="BA267" s="627">
        <f t="shared" si="41"/>
        <v>316</v>
      </c>
    </row>
    <row r="268" spans="1:53">
      <c r="A268" s="105">
        <f t="shared" si="32"/>
        <v>257</v>
      </c>
      <c r="B268" s="745">
        <v>42626</v>
      </c>
      <c r="C268" s="746" t="s">
        <v>1772</v>
      </c>
      <c r="D268" s="747">
        <v>4083</v>
      </c>
      <c r="E268" s="747">
        <v>3889</v>
      </c>
      <c r="F268" s="747">
        <v>3849</v>
      </c>
      <c r="G268" s="747">
        <v>3807</v>
      </c>
      <c r="H268" s="747">
        <v>3772</v>
      </c>
      <c r="I268" s="747">
        <v>3985</v>
      </c>
      <c r="J268" s="747">
        <v>4433</v>
      </c>
      <c r="K268" s="747">
        <v>4657</v>
      </c>
      <c r="L268" s="747">
        <v>4803</v>
      </c>
      <c r="M268" s="747">
        <v>4887</v>
      </c>
      <c r="N268" s="747">
        <v>4957</v>
      </c>
      <c r="O268" s="747">
        <v>5004</v>
      </c>
      <c r="P268" s="747">
        <v>5014</v>
      </c>
      <c r="Q268" s="747">
        <v>5038</v>
      </c>
      <c r="R268" s="747">
        <v>5084</v>
      </c>
      <c r="S268" s="747">
        <v>5073</v>
      </c>
      <c r="T268" s="747">
        <v>5092</v>
      </c>
      <c r="U268" s="747">
        <v>5089</v>
      </c>
      <c r="V268" s="747">
        <v>5061</v>
      </c>
      <c r="W268" s="747">
        <v>5190</v>
      </c>
      <c r="X268" s="747">
        <v>5146</v>
      </c>
      <c r="Y268" s="747">
        <v>4835</v>
      </c>
      <c r="Z268" s="747">
        <v>4409</v>
      </c>
      <c r="AA268" s="747">
        <v>4141</v>
      </c>
      <c r="AC268" s="628">
        <f t="shared" si="33"/>
        <v>257</v>
      </c>
      <c r="AD268" s="627">
        <f t="shared" si="34"/>
        <v>231</v>
      </c>
      <c r="AE268" s="627">
        <f t="shared" si="40"/>
        <v>194</v>
      </c>
      <c r="AF268" s="627">
        <f t="shared" si="40"/>
        <v>40</v>
      </c>
      <c r="AG268" s="627">
        <f t="shared" si="40"/>
        <v>42</v>
      </c>
      <c r="AH268" s="627">
        <f t="shared" si="39"/>
        <v>35</v>
      </c>
      <c r="AI268" s="627">
        <f t="shared" si="39"/>
        <v>213</v>
      </c>
      <c r="AJ268" s="627">
        <f t="shared" si="39"/>
        <v>448</v>
      </c>
      <c r="AK268" s="627">
        <f t="shared" si="39"/>
        <v>224</v>
      </c>
      <c r="AL268" s="627">
        <f t="shared" si="39"/>
        <v>146</v>
      </c>
      <c r="AM268" s="627">
        <f t="shared" si="39"/>
        <v>84</v>
      </c>
      <c r="AN268" s="627">
        <f t="shared" si="39"/>
        <v>70</v>
      </c>
      <c r="AO268" s="627">
        <f t="shared" si="39"/>
        <v>47</v>
      </c>
      <c r="AP268" s="627">
        <f t="shared" si="39"/>
        <v>10</v>
      </c>
      <c r="AQ268" s="627">
        <f t="shared" si="39"/>
        <v>24</v>
      </c>
      <c r="AR268" s="627">
        <f t="shared" si="39"/>
        <v>46</v>
      </c>
      <c r="AS268" s="627">
        <f t="shared" si="39"/>
        <v>11</v>
      </c>
      <c r="AT268" s="627">
        <f t="shared" si="39"/>
        <v>19</v>
      </c>
      <c r="AU268" s="627">
        <f t="shared" si="41"/>
        <v>3</v>
      </c>
      <c r="AV268" s="627">
        <f t="shared" si="41"/>
        <v>28</v>
      </c>
      <c r="AW268" s="627">
        <f t="shared" si="41"/>
        <v>129</v>
      </c>
      <c r="AX268" s="627">
        <f t="shared" si="41"/>
        <v>44</v>
      </c>
      <c r="AY268" s="627">
        <f t="shared" si="41"/>
        <v>311</v>
      </c>
      <c r="AZ268" s="627">
        <f t="shared" si="41"/>
        <v>426</v>
      </c>
      <c r="BA268" s="627">
        <f t="shared" si="41"/>
        <v>268</v>
      </c>
    </row>
    <row r="269" spans="1:53">
      <c r="A269" s="105">
        <f t="shared" si="32"/>
        <v>258</v>
      </c>
      <c r="B269" s="745">
        <v>42627</v>
      </c>
      <c r="C269" s="746" t="s">
        <v>1772</v>
      </c>
      <c r="D269" s="747">
        <v>3944</v>
      </c>
      <c r="E269" s="747">
        <v>3822</v>
      </c>
      <c r="F269" s="747">
        <v>3745</v>
      </c>
      <c r="G269" s="747">
        <v>3733</v>
      </c>
      <c r="H269" s="747">
        <v>3818</v>
      </c>
      <c r="I269" s="747">
        <v>4084</v>
      </c>
      <c r="J269" s="747">
        <v>4437</v>
      </c>
      <c r="K269" s="747">
        <v>4587</v>
      </c>
      <c r="L269" s="747">
        <v>4703</v>
      </c>
      <c r="M269" s="747">
        <v>4693</v>
      </c>
      <c r="N269" s="747">
        <v>4845</v>
      </c>
      <c r="O269" s="747">
        <v>4959</v>
      </c>
      <c r="P269" s="747">
        <v>5086</v>
      </c>
      <c r="Q269" s="747">
        <v>5239</v>
      </c>
      <c r="R269" s="747">
        <v>5357</v>
      </c>
      <c r="S269" s="747">
        <v>5470</v>
      </c>
      <c r="T269" s="747">
        <v>5461</v>
      </c>
      <c r="U269" s="747">
        <v>5472</v>
      </c>
      <c r="V269" s="747">
        <v>5374</v>
      </c>
      <c r="W269" s="747">
        <v>5436</v>
      </c>
      <c r="X269" s="747">
        <v>5312</v>
      </c>
      <c r="Y269" s="747">
        <v>4989</v>
      </c>
      <c r="Z269" s="747">
        <v>4467</v>
      </c>
      <c r="AA269" s="747">
        <v>4074</v>
      </c>
      <c r="AC269" s="628">
        <f t="shared" si="33"/>
        <v>258</v>
      </c>
      <c r="AD269" s="627">
        <f t="shared" si="34"/>
        <v>197</v>
      </c>
      <c r="AE269" s="627">
        <f t="shared" si="40"/>
        <v>122</v>
      </c>
      <c r="AF269" s="627">
        <f t="shared" si="40"/>
        <v>77</v>
      </c>
      <c r="AG269" s="627">
        <f t="shared" si="40"/>
        <v>12</v>
      </c>
      <c r="AH269" s="627">
        <f t="shared" si="39"/>
        <v>85</v>
      </c>
      <c r="AI269" s="627">
        <f t="shared" si="39"/>
        <v>266</v>
      </c>
      <c r="AJ269" s="627">
        <f t="shared" si="39"/>
        <v>353</v>
      </c>
      <c r="AK269" s="627">
        <f t="shared" si="39"/>
        <v>150</v>
      </c>
      <c r="AL269" s="627">
        <f t="shared" si="39"/>
        <v>116</v>
      </c>
      <c r="AM269" s="627">
        <f t="shared" si="39"/>
        <v>10</v>
      </c>
      <c r="AN269" s="627">
        <f t="shared" si="39"/>
        <v>152</v>
      </c>
      <c r="AO269" s="627">
        <f t="shared" si="39"/>
        <v>114</v>
      </c>
      <c r="AP269" s="627">
        <f t="shared" si="39"/>
        <v>127</v>
      </c>
      <c r="AQ269" s="627">
        <f t="shared" si="39"/>
        <v>153</v>
      </c>
      <c r="AR269" s="627">
        <f t="shared" si="39"/>
        <v>118</v>
      </c>
      <c r="AS269" s="627">
        <f t="shared" si="39"/>
        <v>113</v>
      </c>
      <c r="AT269" s="627">
        <f t="shared" si="39"/>
        <v>9</v>
      </c>
      <c r="AU269" s="627">
        <f t="shared" si="41"/>
        <v>11</v>
      </c>
      <c r="AV269" s="627">
        <f t="shared" si="41"/>
        <v>98</v>
      </c>
      <c r="AW269" s="627">
        <f t="shared" si="41"/>
        <v>62</v>
      </c>
      <c r="AX269" s="627">
        <f t="shared" si="41"/>
        <v>124</v>
      </c>
      <c r="AY269" s="627">
        <f t="shared" si="41"/>
        <v>323</v>
      </c>
      <c r="AZ269" s="627">
        <f t="shared" si="41"/>
        <v>522</v>
      </c>
      <c r="BA269" s="627">
        <f t="shared" si="41"/>
        <v>393</v>
      </c>
    </row>
    <row r="270" spans="1:53">
      <c r="A270" s="105">
        <f t="shared" ref="A270:A333" si="42">A269+1</f>
        <v>259</v>
      </c>
      <c r="B270" s="745">
        <v>42628</v>
      </c>
      <c r="C270" s="746" t="s">
        <v>1772</v>
      </c>
      <c r="D270" s="747">
        <v>3813</v>
      </c>
      <c r="E270" s="747">
        <v>3724</v>
      </c>
      <c r="F270" s="747">
        <v>3685</v>
      </c>
      <c r="G270" s="747">
        <v>3670</v>
      </c>
      <c r="H270" s="747">
        <v>3729</v>
      </c>
      <c r="I270" s="747">
        <v>4007</v>
      </c>
      <c r="J270" s="747">
        <v>4422</v>
      </c>
      <c r="K270" s="747">
        <v>4609</v>
      </c>
      <c r="L270" s="747">
        <v>4671</v>
      </c>
      <c r="M270" s="747">
        <v>4810</v>
      </c>
      <c r="N270" s="747">
        <v>4900</v>
      </c>
      <c r="O270" s="747">
        <v>5024</v>
      </c>
      <c r="P270" s="747">
        <v>5123</v>
      </c>
      <c r="Q270" s="747">
        <v>5233</v>
      </c>
      <c r="R270" s="747">
        <v>5328</v>
      </c>
      <c r="S270" s="747">
        <v>5387</v>
      </c>
      <c r="T270" s="747">
        <v>5435</v>
      </c>
      <c r="U270" s="747">
        <v>5357</v>
      </c>
      <c r="V270" s="747">
        <v>5286</v>
      </c>
      <c r="W270" s="747">
        <v>5457</v>
      </c>
      <c r="X270" s="747">
        <v>5382</v>
      </c>
      <c r="Y270" s="747">
        <v>5055</v>
      </c>
      <c r="Z270" s="747">
        <v>4605</v>
      </c>
      <c r="AA270" s="747">
        <v>4239</v>
      </c>
      <c r="AC270" s="628">
        <f t="shared" ref="AC270:AC333" si="43">AC269+1</f>
        <v>259</v>
      </c>
      <c r="AD270" s="627">
        <f t="shared" ref="AD270:AD333" si="44">ABS(D270-AA269)</f>
        <v>261</v>
      </c>
      <c r="AE270" s="627">
        <f t="shared" si="40"/>
        <v>89</v>
      </c>
      <c r="AF270" s="627">
        <f t="shared" si="40"/>
        <v>39</v>
      </c>
      <c r="AG270" s="627">
        <f t="shared" si="40"/>
        <v>15</v>
      </c>
      <c r="AH270" s="627">
        <f t="shared" si="39"/>
        <v>59</v>
      </c>
      <c r="AI270" s="627">
        <f t="shared" si="39"/>
        <v>278</v>
      </c>
      <c r="AJ270" s="627">
        <f t="shared" si="39"/>
        <v>415</v>
      </c>
      <c r="AK270" s="627">
        <f t="shared" si="39"/>
        <v>187</v>
      </c>
      <c r="AL270" s="627">
        <f t="shared" si="39"/>
        <v>62</v>
      </c>
      <c r="AM270" s="627">
        <f t="shared" si="39"/>
        <v>139</v>
      </c>
      <c r="AN270" s="627">
        <f t="shared" si="39"/>
        <v>90</v>
      </c>
      <c r="AO270" s="627">
        <f t="shared" si="39"/>
        <v>124</v>
      </c>
      <c r="AP270" s="627">
        <f t="shared" si="39"/>
        <v>99</v>
      </c>
      <c r="AQ270" s="627">
        <f t="shared" si="39"/>
        <v>110</v>
      </c>
      <c r="AR270" s="627">
        <f t="shared" si="39"/>
        <v>95</v>
      </c>
      <c r="AS270" s="627">
        <f t="shared" si="39"/>
        <v>59</v>
      </c>
      <c r="AT270" s="627">
        <f t="shared" si="39"/>
        <v>48</v>
      </c>
      <c r="AU270" s="627">
        <f t="shared" si="41"/>
        <v>78</v>
      </c>
      <c r="AV270" s="627">
        <f t="shared" si="41"/>
        <v>71</v>
      </c>
      <c r="AW270" s="627">
        <f t="shared" si="41"/>
        <v>171</v>
      </c>
      <c r="AX270" s="627">
        <f t="shared" si="41"/>
        <v>75</v>
      </c>
      <c r="AY270" s="627">
        <f t="shared" si="41"/>
        <v>327</v>
      </c>
      <c r="AZ270" s="627">
        <f t="shared" si="41"/>
        <v>450</v>
      </c>
      <c r="BA270" s="627">
        <f t="shared" si="41"/>
        <v>366</v>
      </c>
    </row>
    <row r="271" spans="1:53">
      <c r="A271" s="105">
        <f t="shared" si="42"/>
        <v>260</v>
      </c>
      <c r="B271" s="745">
        <v>42629</v>
      </c>
      <c r="C271" s="746" t="s">
        <v>1772</v>
      </c>
      <c r="D271" s="747">
        <v>4004</v>
      </c>
      <c r="E271" s="747">
        <v>3858</v>
      </c>
      <c r="F271" s="747">
        <v>3751</v>
      </c>
      <c r="G271" s="747">
        <v>3700</v>
      </c>
      <c r="H271" s="747">
        <v>3677</v>
      </c>
      <c r="I271" s="747">
        <v>3969</v>
      </c>
      <c r="J271" s="747">
        <v>4371</v>
      </c>
      <c r="K271" s="747">
        <v>4550</v>
      </c>
      <c r="L271" s="747">
        <v>4643</v>
      </c>
      <c r="M271" s="747">
        <v>4705</v>
      </c>
      <c r="N271" s="747">
        <v>4723</v>
      </c>
      <c r="O271" s="747">
        <v>4820</v>
      </c>
      <c r="P271" s="747">
        <v>4876</v>
      </c>
      <c r="Q271" s="747">
        <v>4971</v>
      </c>
      <c r="R271" s="747">
        <v>5056</v>
      </c>
      <c r="S271" s="747">
        <v>5116</v>
      </c>
      <c r="T271" s="747">
        <v>5175</v>
      </c>
      <c r="U271" s="747">
        <v>5194</v>
      </c>
      <c r="V271" s="747">
        <v>5060</v>
      </c>
      <c r="W271" s="747">
        <v>5098</v>
      </c>
      <c r="X271" s="747">
        <v>5029</v>
      </c>
      <c r="Y271" s="747">
        <v>4793</v>
      </c>
      <c r="Z271" s="747">
        <v>4444</v>
      </c>
      <c r="AA271" s="747">
        <v>4061</v>
      </c>
      <c r="AC271" s="628">
        <f t="shared" si="43"/>
        <v>260</v>
      </c>
      <c r="AD271" s="627">
        <f t="shared" si="44"/>
        <v>235</v>
      </c>
      <c r="AE271" s="627">
        <f t="shared" si="40"/>
        <v>146</v>
      </c>
      <c r="AF271" s="627">
        <f t="shared" si="40"/>
        <v>107</v>
      </c>
      <c r="AG271" s="627">
        <f t="shared" si="40"/>
        <v>51</v>
      </c>
      <c r="AH271" s="627">
        <f t="shared" si="39"/>
        <v>23</v>
      </c>
      <c r="AI271" s="627">
        <f t="shared" si="39"/>
        <v>292</v>
      </c>
      <c r="AJ271" s="627">
        <f t="shared" si="39"/>
        <v>402</v>
      </c>
      <c r="AK271" s="627">
        <f t="shared" si="39"/>
        <v>179</v>
      </c>
      <c r="AL271" s="627">
        <f t="shared" si="39"/>
        <v>93</v>
      </c>
      <c r="AM271" s="627">
        <f t="shared" si="39"/>
        <v>62</v>
      </c>
      <c r="AN271" s="627">
        <f t="shared" si="39"/>
        <v>18</v>
      </c>
      <c r="AO271" s="627">
        <f t="shared" si="39"/>
        <v>97</v>
      </c>
      <c r="AP271" s="627">
        <f t="shared" si="39"/>
        <v>56</v>
      </c>
      <c r="AQ271" s="627">
        <f t="shared" si="39"/>
        <v>95</v>
      </c>
      <c r="AR271" s="627">
        <f t="shared" si="39"/>
        <v>85</v>
      </c>
      <c r="AS271" s="627">
        <f t="shared" si="39"/>
        <v>60</v>
      </c>
      <c r="AT271" s="627">
        <f t="shared" si="39"/>
        <v>59</v>
      </c>
      <c r="AU271" s="627">
        <f t="shared" si="41"/>
        <v>19</v>
      </c>
      <c r="AV271" s="627">
        <f t="shared" si="41"/>
        <v>134</v>
      </c>
      <c r="AW271" s="627">
        <f t="shared" si="41"/>
        <v>38</v>
      </c>
      <c r="AX271" s="627">
        <f t="shared" si="41"/>
        <v>69</v>
      </c>
      <c r="AY271" s="627">
        <f t="shared" si="41"/>
        <v>236</v>
      </c>
      <c r="AZ271" s="627">
        <f t="shared" si="41"/>
        <v>349</v>
      </c>
      <c r="BA271" s="627">
        <f t="shared" si="41"/>
        <v>383</v>
      </c>
    </row>
    <row r="272" spans="1:53">
      <c r="A272" s="105">
        <f t="shared" si="42"/>
        <v>261</v>
      </c>
      <c r="B272" s="745">
        <v>42630</v>
      </c>
      <c r="C272" s="746" t="s">
        <v>1772</v>
      </c>
      <c r="D272" s="747">
        <v>3914</v>
      </c>
      <c r="E272" s="747">
        <v>3762</v>
      </c>
      <c r="F272" s="747">
        <v>3661</v>
      </c>
      <c r="G272" s="747">
        <v>3623</v>
      </c>
      <c r="H272" s="747">
        <v>3635</v>
      </c>
      <c r="I272" s="747">
        <v>3740</v>
      </c>
      <c r="J272" s="747">
        <v>3882</v>
      </c>
      <c r="K272" s="747">
        <v>4010</v>
      </c>
      <c r="L272" s="747">
        <v>4110</v>
      </c>
      <c r="M272" s="747">
        <v>4252</v>
      </c>
      <c r="N272" s="747">
        <v>4361</v>
      </c>
      <c r="O272" s="747">
        <v>4425</v>
      </c>
      <c r="P272" s="747">
        <v>4481</v>
      </c>
      <c r="Q272" s="747">
        <v>4547</v>
      </c>
      <c r="R272" s="747">
        <v>4649</v>
      </c>
      <c r="S272" s="747">
        <v>4814</v>
      </c>
      <c r="T272" s="747">
        <v>4958</v>
      </c>
      <c r="U272" s="747">
        <v>5070</v>
      </c>
      <c r="V272" s="747">
        <v>5049</v>
      </c>
      <c r="W272" s="747">
        <v>5067</v>
      </c>
      <c r="X272" s="747">
        <v>4950</v>
      </c>
      <c r="Y272" s="747">
        <v>4673</v>
      </c>
      <c r="Z272" s="747">
        <v>4338</v>
      </c>
      <c r="AA272" s="747">
        <v>3999</v>
      </c>
      <c r="AC272" s="628">
        <f t="shared" si="43"/>
        <v>261</v>
      </c>
      <c r="AD272" s="627">
        <f t="shared" si="44"/>
        <v>147</v>
      </c>
      <c r="AE272" s="627">
        <f t="shared" si="40"/>
        <v>152</v>
      </c>
      <c r="AF272" s="627">
        <f t="shared" si="40"/>
        <v>101</v>
      </c>
      <c r="AG272" s="627">
        <f t="shared" si="40"/>
        <v>38</v>
      </c>
      <c r="AH272" s="627">
        <f t="shared" si="39"/>
        <v>12</v>
      </c>
      <c r="AI272" s="627">
        <f t="shared" si="39"/>
        <v>105</v>
      </c>
      <c r="AJ272" s="627">
        <f t="shared" si="39"/>
        <v>142</v>
      </c>
      <c r="AK272" s="627">
        <f t="shared" si="39"/>
        <v>128</v>
      </c>
      <c r="AL272" s="627">
        <f t="shared" si="39"/>
        <v>100</v>
      </c>
      <c r="AM272" s="627">
        <f t="shared" si="39"/>
        <v>142</v>
      </c>
      <c r="AN272" s="627">
        <f t="shared" si="39"/>
        <v>109</v>
      </c>
      <c r="AO272" s="627">
        <f t="shared" si="39"/>
        <v>64</v>
      </c>
      <c r="AP272" s="627">
        <f t="shared" si="39"/>
        <v>56</v>
      </c>
      <c r="AQ272" s="627">
        <f t="shared" si="39"/>
        <v>66</v>
      </c>
      <c r="AR272" s="627">
        <f t="shared" si="39"/>
        <v>102</v>
      </c>
      <c r="AS272" s="627">
        <f t="shared" si="39"/>
        <v>165</v>
      </c>
      <c r="AT272" s="627">
        <f t="shared" si="39"/>
        <v>144</v>
      </c>
      <c r="AU272" s="627">
        <f t="shared" si="41"/>
        <v>112</v>
      </c>
      <c r="AV272" s="627">
        <f t="shared" si="41"/>
        <v>21</v>
      </c>
      <c r="AW272" s="627">
        <f t="shared" si="41"/>
        <v>18</v>
      </c>
      <c r="AX272" s="627">
        <f t="shared" si="41"/>
        <v>117</v>
      </c>
      <c r="AY272" s="627">
        <f t="shared" si="41"/>
        <v>277</v>
      </c>
      <c r="AZ272" s="627">
        <f t="shared" si="41"/>
        <v>335</v>
      </c>
      <c r="BA272" s="627">
        <f t="shared" si="41"/>
        <v>339</v>
      </c>
    </row>
    <row r="273" spans="1:53">
      <c r="A273" s="105">
        <f t="shared" si="42"/>
        <v>262</v>
      </c>
      <c r="B273" s="745">
        <v>42631</v>
      </c>
      <c r="C273" s="746" t="s">
        <v>1772</v>
      </c>
      <c r="D273" s="747">
        <v>3759</v>
      </c>
      <c r="E273" s="747">
        <v>3680</v>
      </c>
      <c r="F273" s="747">
        <v>3625</v>
      </c>
      <c r="G273" s="747">
        <v>3585</v>
      </c>
      <c r="H273" s="747">
        <v>3582</v>
      </c>
      <c r="I273" s="747">
        <v>3645</v>
      </c>
      <c r="J273" s="747">
        <v>3710</v>
      </c>
      <c r="K273" s="747">
        <v>3719</v>
      </c>
      <c r="L273" s="747">
        <v>3950</v>
      </c>
      <c r="M273" s="747">
        <v>4182</v>
      </c>
      <c r="N273" s="747">
        <v>4364</v>
      </c>
      <c r="O273" s="747">
        <v>4541</v>
      </c>
      <c r="P273" s="747">
        <v>4714</v>
      </c>
      <c r="Q273" s="747">
        <v>4912</v>
      </c>
      <c r="R273" s="747">
        <v>5178</v>
      </c>
      <c r="S273" s="747">
        <v>5458</v>
      </c>
      <c r="T273" s="747">
        <v>5725</v>
      </c>
      <c r="U273" s="747">
        <v>5887</v>
      </c>
      <c r="V273" s="747">
        <v>5880</v>
      </c>
      <c r="W273" s="747">
        <v>5840</v>
      </c>
      <c r="X273" s="747">
        <v>5625</v>
      </c>
      <c r="Y273" s="747">
        <v>5191</v>
      </c>
      <c r="Z273" s="747">
        <v>4664</v>
      </c>
      <c r="AA273" s="747">
        <v>4322</v>
      </c>
      <c r="AC273" s="628">
        <f t="shared" si="43"/>
        <v>262</v>
      </c>
      <c r="AD273" s="627">
        <f t="shared" si="44"/>
        <v>240</v>
      </c>
      <c r="AE273" s="627">
        <f t="shared" si="40"/>
        <v>79</v>
      </c>
      <c r="AF273" s="627">
        <f t="shared" si="40"/>
        <v>55</v>
      </c>
      <c r="AG273" s="627">
        <f t="shared" si="40"/>
        <v>40</v>
      </c>
      <c r="AH273" s="627">
        <f t="shared" si="39"/>
        <v>3</v>
      </c>
      <c r="AI273" s="627">
        <f t="shared" si="39"/>
        <v>63</v>
      </c>
      <c r="AJ273" s="627">
        <f t="shared" si="39"/>
        <v>65</v>
      </c>
      <c r="AK273" s="627">
        <f t="shared" si="39"/>
        <v>9</v>
      </c>
      <c r="AL273" s="627">
        <f t="shared" si="39"/>
        <v>231</v>
      </c>
      <c r="AM273" s="627">
        <f t="shared" si="39"/>
        <v>232</v>
      </c>
      <c r="AN273" s="627">
        <f t="shared" si="39"/>
        <v>182</v>
      </c>
      <c r="AO273" s="627">
        <f t="shared" si="39"/>
        <v>177</v>
      </c>
      <c r="AP273" s="627">
        <f t="shared" si="39"/>
        <v>173</v>
      </c>
      <c r="AQ273" s="627">
        <f t="shared" si="39"/>
        <v>198</v>
      </c>
      <c r="AR273" s="627">
        <f t="shared" si="39"/>
        <v>266</v>
      </c>
      <c r="AS273" s="627">
        <f t="shared" si="39"/>
        <v>280</v>
      </c>
      <c r="AT273" s="627">
        <f t="shared" si="39"/>
        <v>267</v>
      </c>
      <c r="AU273" s="627">
        <f t="shared" si="41"/>
        <v>162</v>
      </c>
      <c r="AV273" s="627">
        <f t="shared" si="41"/>
        <v>7</v>
      </c>
      <c r="AW273" s="627">
        <f t="shared" si="41"/>
        <v>40</v>
      </c>
      <c r="AX273" s="627">
        <f t="shared" si="41"/>
        <v>215</v>
      </c>
      <c r="AY273" s="627">
        <f t="shared" si="41"/>
        <v>434</v>
      </c>
      <c r="AZ273" s="627">
        <f t="shared" si="41"/>
        <v>527</v>
      </c>
      <c r="BA273" s="627">
        <f t="shared" si="41"/>
        <v>342</v>
      </c>
    </row>
    <row r="274" spans="1:53">
      <c r="A274" s="105">
        <f t="shared" si="42"/>
        <v>263</v>
      </c>
      <c r="B274" s="745">
        <v>42632</v>
      </c>
      <c r="C274" s="746" t="s">
        <v>1772</v>
      </c>
      <c r="D274" s="747">
        <v>4006</v>
      </c>
      <c r="E274" s="747">
        <v>3831</v>
      </c>
      <c r="F274" s="747">
        <v>3744</v>
      </c>
      <c r="G274" s="747">
        <v>3728</v>
      </c>
      <c r="H274" s="747">
        <v>3795</v>
      </c>
      <c r="I274" s="747">
        <v>3962</v>
      </c>
      <c r="J274" s="747">
        <v>4384</v>
      </c>
      <c r="K274" s="747">
        <v>4599</v>
      </c>
      <c r="L274" s="747">
        <v>4840</v>
      </c>
      <c r="M274" s="747">
        <v>5092</v>
      </c>
      <c r="N274" s="747">
        <v>5324</v>
      </c>
      <c r="O274" s="747">
        <v>5594</v>
      </c>
      <c r="P274" s="747">
        <v>5818</v>
      </c>
      <c r="Q274" s="747">
        <v>6029</v>
      </c>
      <c r="R274" s="747">
        <v>6326</v>
      </c>
      <c r="S274" s="747">
        <v>6590.11</v>
      </c>
      <c r="T274" s="747">
        <v>6813.22</v>
      </c>
      <c r="U274" s="747">
        <v>6876.18</v>
      </c>
      <c r="V274" s="747">
        <v>6656.05</v>
      </c>
      <c r="W274" s="747">
        <v>6494</v>
      </c>
      <c r="X274" s="747">
        <v>6166</v>
      </c>
      <c r="Y274" s="747">
        <v>5683</v>
      </c>
      <c r="Z274" s="747">
        <v>5193</v>
      </c>
      <c r="AA274" s="747">
        <v>4657</v>
      </c>
      <c r="AC274" s="628">
        <f t="shared" si="43"/>
        <v>263</v>
      </c>
      <c r="AD274" s="627">
        <f t="shared" si="44"/>
        <v>316</v>
      </c>
      <c r="AE274" s="627">
        <f t="shared" si="40"/>
        <v>175</v>
      </c>
      <c r="AF274" s="627">
        <f t="shared" si="40"/>
        <v>87</v>
      </c>
      <c r="AG274" s="627">
        <f t="shared" si="40"/>
        <v>16</v>
      </c>
      <c r="AH274" s="627">
        <f t="shared" si="39"/>
        <v>67</v>
      </c>
      <c r="AI274" s="627">
        <f t="shared" si="39"/>
        <v>167</v>
      </c>
      <c r="AJ274" s="627">
        <f t="shared" si="39"/>
        <v>422</v>
      </c>
      <c r="AK274" s="627">
        <f t="shared" si="39"/>
        <v>215</v>
      </c>
      <c r="AL274" s="627">
        <f t="shared" si="39"/>
        <v>241</v>
      </c>
      <c r="AM274" s="627">
        <f t="shared" si="39"/>
        <v>252</v>
      </c>
      <c r="AN274" s="627">
        <f t="shared" si="39"/>
        <v>232</v>
      </c>
      <c r="AO274" s="627">
        <f t="shared" si="39"/>
        <v>270</v>
      </c>
      <c r="AP274" s="627">
        <f t="shared" si="39"/>
        <v>224</v>
      </c>
      <c r="AQ274" s="627">
        <f t="shared" si="39"/>
        <v>211</v>
      </c>
      <c r="AR274" s="627">
        <f t="shared" si="39"/>
        <v>297</v>
      </c>
      <c r="AS274" s="627">
        <f t="shared" si="39"/>
        <v>264.10999999999967</v>
      </c>
      <c r="AT274" s="627">
        <f t="shared" si="39"/>
        <v>223.11000000000058</v>
      </c>
      <c r="AU274" s="627">
        <f t="shared" si="41"/>
        <v>62.960000000000036</v>
      </c>
      <c r="AV274" s="627">
        <f t="shared" si="41"/>
        <v>220.13000000000011</v>
      </c>
      <c r="AW274" s="627">
        <f t="shared" si="41"/>
        <v>162.05000000000018</v>
      </c>
      <c r="AX274" s="627">
        <f t="shared" si="41"/>
        <v>328</v>
      </c>
      <c r="AY274" s="627">
        <f t="shared" si="41"/>
        <v>483</v>
      </c>
      <c r="AZ274" s="627">
        <f t="shared" si="41"/>
        <v>490</v>
      </c>
      <c r="BA274" s="627">
        <f t="shared" si="41"/>
        <v>536</v>
      </c>
    </row>
    <row r="275" spans="1:53">
      <c r="A275" s="105">
        <f t="shared" si="42"/>
        <v>264</v>
      </c>
      <c r="B275" s="745">
        <v>42633</v>
      </c>
      <c r="C275" s="746" t="s">
        <v>1772</v>
      </c>
      <c r="D275" s="747">
        <v>4349</v>
      </c>
      <c r="E275" s="747">
        <v>4164</v>
      </c>
      <c r="F275" s="747">
        <v>4046</v>
      </c>
      <c r="G275" s="747">
        <v>3993</v>
      </c>
      <c r="H275" s="747">
        <v>4041</v>
      </c>
      <c r="I275" s="747">
        <v>4160</v>
      </c>
      <c r="J275" s="747">
        <v>4566</v>
      </c>
      <c r="K275" s="747">
        <v>4776</v>
      </c>
      <c r="L275" s="747">
        <v>4913</v>
      </c>
      <c r="M275" s="747">
        <v>5151</v>
      </c>
      <c r="N275" s="747">
        <v>5320</v>
      </c>
      <c r="O275" s="747">
        <v>5511</v>
      </c>
      <c r="P275" s="747">
        <v>5689</v>
      </c>
      <c r="Q275" s="747">
        <v>5976</v>
      </c>
      <c r="R275" s="747">
        <v>6190</v>
      </c>
      <c r="S275" s="747">
        <v>6353</v>
      </c>
      <c r="T275" s="747">
        <v>6412</v>
      </c>
      <c r="U275" s="747">
        <v>6358</v>
      </c>
      <c r="V275" s="747">
        <v>6245</v>
      </c>
      <c r="W275" s="747">
        <v>6264</v>
      </c>
      <c r="X275" s="747">
        <v>6061</v>
      </c>
      <c r="Y275" s="747">
        <v>5606</v>
      </c>
      <c r="Z275" s="747">
        <v>5115</v>
      </c>
      <c r="AA275" s="747">
        <v>4690</v>
      </c>
      <c r="AC275" s="628">
        <f t="shared" si="43"/>
        <v>264</v>
      </c>
      <c r="AD275" s="627">
        <f t="shared" si="44"/>
        <v>308</v>
      </c>
      <c r="AE275" s="627">
        <f t="shared" si="40"/>
        <v>185</v>
      </c>
      <c r="AF275" s="627">
        <f t="shared" si="40"/>
        <v>118</v>
      </c>
      <c r="AG275" s="627">
        <f t="shared" si="40"/>
        <v>53</v>
      </c>
      <c r="AH275" s="627">
        <f t="shared" si="39"/>
        <v>48</v>
      </c>
      <c r="AI275" s="627">
        <f t="shared" si="39"/>
        <v>119</v>
      </c>
      <c r="AJ275" s="627">
        <f t="shared" si="39"/>
        <v>406</v>
      </c>
      <c r="AK275" s="627">
        <f t="shared" si="39"/>
        <v>210</v>
      </c>
      <c r="AL275" s="627">
        <f t="shared" si="39"/>
        <v>137</v>
      </c>
      <c r="AM275" s="627">
        <f t="shared" si="39"/>
        <v>238</v>
      </c>
      <c r="AN275" s="627">
        <f t="shared" si="39"/>
        <v>169</v>
      </c>
      <c r="AO275" s="627">
        <f t="shared" si="39"/>
        <v>191</v>
      </c>
      <c r="AP275" s="627">
        <f t="shared" si="39"/>
        <v>178</v>
      </c>
      <c r="AQ275" s="627">
        <f t="shared" si="39"/>
        <v>287</v>
      </c>
      <c r="AR275" s="627">
        <f t="shared" si="39"/>
        <v>214</v>
      </c>
      <c r="AS275" s="627">
        <f t="shared" si="39"/>
        <v>163</v>
      </c>
      <c r="AT275" s="627">
        <f t="shared" si="39"/>
        <v>59</v>
      </c>
      <c r="AU275" s="627">
        <f t="shared" si="41"/>
        <v>54</v>
      </c>
      <c r="AV275" s="627">
        <f t="shared" si="41"/>
        <v>113</v>
      </c>
      <c r="AW275" s="627">
        <f t="shared" si="41"/>
        <v>19</v>
      </c>
      <c r="AX275" s="627">
        <f t="shared" si="41"/>
        <v>203</v>
      </c>
      <c r="AY275" s="627">
        <f t="shared" si="41"/>
        <v>455</v>
      </c>
      <c r="AZ275" s="627">
        <f t="shared" si="41"/>
        <v>491</v>
      </c>
      <c r="BA275" s="627">
        <f t="shared" si="41"/>
        <v>425</v>
      </c>
    </row>
    <row r="276" spans="1:53">
      <c r="A276" s="105">
        <f t="shared" si="42"/>
        <v>265</v>
      </c>
      <c r="B276" s="745">
        <v>42634</v>
      </c>
      <c r="C276" s="746" t="s">
        <v>1772</v>
      </c>
      <c r="D276" s="747">
        <v>4426</v>
      </c>
      <c r="E276" s="747">
        <v>4251</v>
      </c>
      <c r="F276" s="747">
        <v>4142</v>
      </c>
      <c r="G276" s="747">
        <v>4105</v>
      </c>
      <c r="H276" s="747">
        <v>4141</v>
      </c>
      <c r="I276" s="747">
        <v>4419</v>
      </c>
      <c r="J276" s="747">
        <v>4785</v>
      </c>
      <c r="K276" s="747">
        <v>4903</v>
      </c>
      <c r="L276" s="747">
        <v>5039</v>
      </c>
      <c r="M276" s="747">
        <v>5282</v>
      </c>
      <c r="N276" s="747">
        <v>5502</v>
      </c>
      <c r="O276" s="747">
        <v>5676</v>
      </c>
      <c r="P276" s="747">
        <v>5837</v>
      </c>
      <c r="Q276" s="747">
        <v>5983</v>
      </c>
      <c r="R276" s="747">
        <v>6098</v>
      </c>
      <c r="S276" s="747">
        <v>6124</v>
      </c>
      <c r="T276" s="747">
        <v>6111</v>
      </c>
      <c r="U276" s="747">
        <v>6135</v>
      </c>
      <c r="V276" s="747">
        <v>5945</v>
      </c>
      <c r="W276" s="747">
        <v>6027</v>
      </c>
      <c r="X276" s="747">
        <v>5771</v>
      </c>
      <c r="Y276" s="747">
        <v>5414</v>
      </c>
      <c r="Z276" s="747">
        <v>4938</v>
      </c>
      <c r="AA276" s="747">
        <v>4543</v>
      </c>
      <c r="AC276" s="628">
        <f t="shared" si="43"/>
        <v>265</v>
      </c>
      <c r="AD276" s="627">
        <f t="shared" si="44"/>
        <v>264</v>
      </c>
      <c r="AE276" s="627">
        <f t="shared" si="40"/>
        <v>175</v>
      </c>
      <c r="AF276" s="627">
        <f t="shared" si="40"/>
        <v>109</v>
      </c>
      <c r="AG276" s="627">
        <f t="shared" si="40"/>
        <v>37</v>
      </c>
      <c r="AH276" s="627">
        <f t="shared" si="39"/>
        <v>36</v>
      </c>
      <c r="AI276" s="627">
        <f t="shared" si="39"/>
        <v>278</v>
      </c>
      <c r="AJ276" s="627">
        <f t="shared" si="39"/>
        <v>366</v>
      </c>
      <c r="AK276" s="627">
        <f t="shared" si="39"/>
        <v>118</v>
      </c>
      <c r="AL276" s="627">
        <f t="shared" si="39"/>
        <v>136</v>
      </c>
      <c r="AM276" s="627">
        <f t="shared" si="39"/>
        <v>243</v>
      </c>
      <c r="AN276" s="627">
        <f t="shared" si="39"/>
        <v>220</v>
      </c>
      <c r="AO276" s="627">
        <f t="shared" si="39"/>
        <v>174</v>
      </c>
      <c r="AP276" s="627">
        <f t="shared" si="39"/>
        <v>161</v>
      </c>
      <c r="AQ276" s="627">
        <f t="shared" si="39"/>
        <v>146</v>
      </c>
      <c r="AR276" s="627">
        <f t="shared" si="39"/>
        <v>115</v>
      </c>
      <c r="AS276" s="627">
        <f t="shared" si="39"/>
        <v>26</v>
      </c>
      <c r="AT276" s="627">
        <f t="shared" si="39"/>
        <v>13</v>
      </c>
      <c r="AU276" s="627">
        <f t="shared" si="41"/>
        <v>24</v>
      </c>
      <c r="AV276" s="627">
        <f t="shared" si="41"/>
        <v>190</v>
      </c>
      <c r="AW276" s="627">
        <f t="shared" si="41"/>
        <v>82</v>
      </c>
      <c r="AX276" s="627">
        <f t="shared" si="41"/>
        <v>256</v>
      </c>
      <c r="AY276" s="627">
        <f t="shared" si="41"/>
        <v>357</v>
      </c>
      <c r="AZ276" s="627">
        <f t="shared" si="41"/>
        <v>476</v>
      </c>
      <c r="BA276" s="627">
        <f t="shared" si="41"/>
        <v>395</v>
      </c>
    </row>
    <row r="277" spans="1:53">
      <c r="A277" s="105">
        <f t="shared" si="42"/>
        <v>266</v>
      </c>
      <c r="B277" s="745">
        <v>42635</v>
      </c>
      <c r="C277" s="746" t="s">
        <v>1772</v>
      </c>
      <c r="D277" s="747">
        <v>4226</v>
      </c>
      <c r="E277" s="747">
        <v>4071</v>
      </c>
      <c r="F277" s="747">
        <v>3966</v>
      </c>
      <c r="G277" s="747">
        <v>3913</v>
      </c>
      <c r="H277" s="747">
        <v>3921</v>
      </c>
      <c r="I277" s="747">
        <v>4133</v>
      </c>
      <c r="J277" s="747">
        <v>4552</v>
      </c>
      <c r="K277" s="747">
        <v>4734</v>
      </c>
      <c r="L277" s="747">
        <v>4863</v>
      </c>
      <c r="M277" s="747">
        <v>4940</v>
      </c>
      <c r="N277" s="747">
        <v>5020</v>
      </c>
      <c r="O277" s="747">
        <v>5089</v>
      </c>
      <c r="P277" s="747">
        <v>5192</v>
      </c>
      <c r="Q277" s="747">
        <v>5364</v>
      </c>
      <c r="R277" s="747">
        <v>5511</v>
      </c>
      <c r="S277" s="747">
        <v>5599</v>
      </c>
      <c r="T277" s="747">
        <v>5733</v>
      </c>
      <c r="U277" s="747">
        <v>5749</v>
      </c>
      <c r="V277" s="747">
        <v>5635</v>
      </c>
      <c r="W277" s="747">
        <v>5695</v>
      </c>
      <c r="X277" s="747">
        <v>5531</v>
      </c>
      <c r="Y277" s="747">
        <v>5192</v>
      </c>
      <c r="Z277" s="747">
        <v>4789</v>
      </c>
      <c r="AA277" s="747">
        <v>4398</v>
      </c>
      <c r="AC277" s="628">
        <f t="shared" si="43"/>
        <v>266</v>
      </c>
      <c r="AD277" s="627">
        <f t="shared" si="44"/>
        <v>317</v>
      </c>
      <c r="AE277" s="627">
        <f t="shared" si="40"/>
        <v>155</v>
      </c>
      <c r="AF277" s="627">
        <f t="shared" si="40"/>
        <v>105</v>
      </c>
      <c r="AG277" s="627">
        <f t="shared" si="40"/>
        <v>53</v>
      </c>
      <c r="AH277" s="627">
        <f t="shared" si="39"/>
        <v>8</v>
      </c>
      <c r="AI277" s="627">
        <f t="shared" si="39"/>
        <v>212</v>
      </c>
      <c r="AJ277" s="627">
        <f t="shared" si="39"/>
        <v>419</v>
      </c>
      <c r="AK277" s="627">
        <f t="shared" si="39"/>
        <v>182</v>
      </c>
      <c r="AL277" s="627">
        <f t="shared" si="39"/>
        <v>129</v>
      </c>
      <c r="AM277" s="627">
        <f t="shared" si="39"/>
        <v>77</v>
      </c>
      <c r="AN277" s="627">
        <f t="shared" si="39"/>
        <v>80</v>
      </c>
      <c r="AO277" s="627">
        <f t="shared" si="39"/>
        <v>69</v>
      </c>
      <c r="AP277" s="627">
        <f t="shared" si="39"/>
        <v>103</v>
      </c>
      <c r="AQ277" s="627">
        <f t="shared" si="39"/>
        <v>172</v>
      </c>
      <c r="AR277" s="627">
        <f t="shared" si="39"/>
        <v>147</v>
      </c>
      <c r="AS277" s="627">
        <f t="shared" si="39"/>
        <v>88</v>
      </c>
      <c r="AT277" s="627">
        <f t="shared" si="39"/>
        <v>134</v>
      </c>
      <c r="AU277" s="627">
        <f t="shared" si="41"/>
        <v>16</v>
      </c>
      <c r="AV277" s="627">
        <f t="shared" si="41"/>
        <v>114</v>
      </c>
      <c r="AW277" s="627">
        <f t="shared" si="41"/>
        <v>60</v>
      </c>
      <c r="AX277" s="627">
        <f t="shared" si="41"/>
        <v>164</v>
      </c>
      <c r="AY277" s="627">
        <f t="shared" si="41"/>
        <v>339</v>
      </c>
      <c r="AZ277" s="627">
        <f t="shared" si="41"/>
        <v>403</v>
      </c>
      <c r="BA277" s="627">
        <f t="shared" si="41"/>
        <v>391</v>
      </c>
    </row>
    <row r="278" spans="1:53">
      <c r="A278" s="105">
        <f t="shared" si="42"/>
        <v>267</v>
      </c>
      <c r="B278" s="745">
        <v>42636</v>
      </c>
      <c r="C278" s="746" t="s">
        <v>1772</v>
      </c>
      <c r="D278" s="747">
        <v>4146</v>
      </c>
      <c r="E278" s="747">
        <v>3979</v>
      </c>
      <c r="F278" s="747">
        <v>3881</v>
      </c>
      <c r="G278" s="747">
        <v>3865</v>
      </c>
      <c r="H278" s="747">
        <v>3940</v>
      </c>
      <c r="I278" s="747">
        <v>4182</v>
      </c>
      <c r="J278" s="747">
        <v>4591</v>
      </c>
      <c r="K278" s="747">
        <v>4679</v>
      </c>
      <c r="L278" s="747">
        <v>4839</v>
      </c>
      <c r="M278" s="747">
        <v>5039</v>
      </c>
      <c r="N278" s="747">
        <v>5163</v>
      </c>
      <c r="O278" s="747">
        <v>5352</v>
      </c>
      <c r="P278" s="747">
        <v>5478</v>
      </c>
      <c r="Q278" s="747">
        <v>5756</v>
      </c>
      <c r="R278" s="747">
        <v>5945</v>
      </c>
      <c r="S278" s="747">
        <v>6082</v>
      </c>
      <c r="T278" s="747">
        <v>6112</v>
      </c>
      <c r="U278" s="747">
        <v>5914</v>
      </c>
      <c r="V278" s="747">
        <v>5552</v>
      </c>
      <c r="W278" s="747">
        <v>5472</v>
      </c>
      <c r="X278" s="747">
        <v>5272</v>
      </c>
      <c r="Y278" s="747">
        <v>4968</v>
      </c>
      <c r="Z278" s="747">
        <v>4676</v>
      </c>
      <c r="AA278" s="747">
        <v>4243</v>
      </c>
      <c r="AC278" s="628">
        <f t="shared" si="43"/>
        <v>267</v>
      </c>
      <c r="AD278" s="627">
        <f t="shared" si="44"/>
        <v>252</v>
      </c>
      <c r="AE278" s="627">
        <f t="shared" si="40"/>
        <v>167</v>
      </c>
      <c r="AF278" s="627">
        <f t="shared" si="40"/>
        <v>98</v>
      </c>
      <c r="AG278" s="627">
        <f t="shared" si="40"/>
        <v>16</v>
      </c>
      <c r="AH278" s="627">
        <f t="shared" si="39"/>
        <v>75</v>
      </c>
      <c r="AI278" s="627">
        <f t="shared" si="39"/>
        <v>242</v>
      </c>
      <c r="AJ278" s="627">
        <f t="shared" si="39"/>
        <v>409</v>
      </c>
      <c r="AK278" s="627">
        <f t="shared" si="39"/>
        <v>88</v>
      </c>
      <c r="AL278" s="627">
        <f t="shared" si="39"/>
        <v>160</v>
      </c>
      <c r="AM278" s="627">
        <f t="shared" si="39"/>
        <v>200</v>
      </c>
      <c r="AN278" s="627">
        <f t="shared" si="39"/>
        <v>124</v>
      </c>
      <c r="AO278" s="627">
        <f t="shared" si="39"/>
        <v>189</v>
      </c>
      <c r="AP278" s="627">
        <f t="shared" si="39"/>
        <v>126</v>
      </c>
      <c r="AQ278" s="627">
        <f t="shared" si="39"/>
        <v>278</v>
      </c>
      <c r="AR278" s="627">
        <f t="shared" si="39"/>
        <v>189</v>
      </c>
      <c r="AS278" s="627">
        <f t="shared" si="39"/>
        <v>137</v>
      </c>
      <c r="AT278" s="627">
        <f t="shared" si="39"/>
        <v>30</v>
      </c>
      <c r="AU278" s="627">
        <f t="shared" si="41"/>
        <v>198</v>
      </c>
      <c r="AV278" s="627">
        <f t="shared" si="41"/>
        <v>362</v>
      </c>
      <c r="AW278" s="627">
        <f t="shared" si="41"/>
        <v>80</v>
      </c>
      <c r="AX278" s="627">
        <f t="shared" si="41"/>
        <v>200</v>
      </c>
      <c r="AY278" s="627">
        <f t="shared" si="41"/>
        <v>304</v>
      </c>
      <c r="AZ278" s="627">
        <f t="shared" si="41"/>
        <v>292</v>
      </c>
      <c r="BA278" s="627">
        <f t="shared" si="41"/>
        <v>433</v>
      </c>
    </row>
    <row r="279" spans="1:53">
      <c r="A279" s="105">
        <f t="shared" si="42"/>
        <v>268</v>
      </c>
      <c r="B279" s="745">
        <v>42637</v>
      </c>
      <c r="C279" s="746" t="s">
        <v>1772</v>
      </c>
      <c r="D279" s="747">
        <v>3924</v>
      </c>
      <c r="E279" s="747">
        <v>3809</v>
      </c>
      <c r="F279" s="747">
        <v>3682</v>
      </c>
      <c r="G279" s="747">
        <v>3582</v>
      </c>
      <c r="H279" s="747">
        <v>3559</v>
      </c>
      <c r="I279" s="747">
        <v>3614</v>
      </c>
      <c r="J279" s="747">
        <v>3768</v>
      </c>
      <c r="K279" s="747">
        <v>3898</v>
      </c>
      <c r="L279" s="747">
        <v>4066</v>
      </c>
      <c r="M279" s="747">
        <v>4216</v>
      </c>
      <c r="N279" s="747">
        <v>4297</v>
      </c>
      <c r="O279" s="747">
        <v>4344</v>
      </c>
      <c r="P279" s="747">
        <v>4351</v>
      </c>
      <c r="Q279" s="747">
        <v>4408</v>
      </c>
      <c r="R279" s="747">
        <v>4442</v>
      </c>
      <c r="S279" s="747">
        <v>4445</v>
      </c>
      <c r="T279" s="747">
        <v>4468</v>
      </c>
      <c r="U279" s="747">
        <v>4549</v>
      </c>
      <c r="V279" s="747">
        <v>4575</v>
      </c>
      <c r="W279" s="747">
        <v>4727</v>
      </c>
      <c r="X279" s="747">
        <v>4662</v>
      </c>
      <c r="Y279" s="747">
        <v>4460</v>
      </c>
      <c r="Z279" s="747">
        <v>4190</v>
      </c>
      <c r="AA279" s="747">
        <v>3989</v>
      </c>
      <c r="AC279" s="628">
        <f t="shared" si="43"/>
        <v>268</v>
      </c>
      <c r="AD279" s="627">
        <f t="shared" si="44"/>
        <v>319</v>
      </c>
      <c r="AE279" s="627">
        <f t="shared" si="40"/>
        <v>115</v>
      </c>
      <c r="AF279" s="627">
        <f t="shared" si="40"/>
        <v>127</v>
      </c>
      <c r="AG279" s="627">
        <f t="shared" si="40"/>
        <v>100</v>
      </c>
      <c r="AH279" s="627">
        <f t="shared" si="39"/>
        <v>23</v>
      </c>
      <c r="AI279" s="627">
        <f t="shared" si="39"/>
        <v>55</v>
      </c>
      <c r="AJ279" s="627">
        <f t="shared" si="39"/>
        <v>154</v>
      </c>
      <c r="AK279" s="627">
        <f t="shared" si="39"/>
        <v>130</v>
      </c>
      <c r="AL279" s="627">
        <f t="shared" si="39"/>
        <v>168</v>
      </c>
      <c r="AM279" s="627">
        <f t="shared" si="39"/>
        <v>150</v>
      </c>
      <c r="AN279" s="627">
        <f t="shared" si="39"/>
        <v>81</v>
      </c>
      <c r="AO279" s="627">
        <f t="shared" si="39"/>
        <v>47</v>
      </c>
      <c r="AP279" s="627">
        <f t="shared" si="39"/>
        <v>7</v>
      </c>
      <c r="AQ279" s="627">
        <f t="shared" si="39"/>
        <v>57</v>
      </c>
      <c r="AR279" s="627">
        <f t="shared" si="39"/>
        <v>34</v>
      </c>
      <c r="AS279" s="627">
        <f t="shared" si="39"/>
        <v>3</v>
      </c>
      <c r="AT279" s="627">
        <f t="shared" si="39"/>
        <v>23</v>
      </c>
      <c r="AU279" s="627">
        <f t="shared" si="41"/>
        <v>81</v>
      </c>
      <c r="AV279" s="627">
        <f t="shared" si="41"/>
        <v>26</v>
      </c>
      <c r="AW279" s="627">
        <f t="shared" si="41"/>
        <v>152</v>
      </c>
      <c r="AX279" s="627">
        <f t="shared" si="41"/>
        <v>65</v>
      </c>
      <c r="AY279" s="627">
        <f t="shared" si="41"/>
        <v>202</v>
      </c>
      <c r="AZ279" s="627">
        <f t="shared" si="41"/>
        <v>270</v>
      </c>
      <c r="BA279" s="627">
        <f t="shared" si="41"/>
        <v>201</v>
      </c>
    </row>
    <row r="280" spans="1:53">
      <c r="A280" s="105">
        <f t="shared" si="42"/>
        <v>269</v>
      </c>
      <c r="B280" s="745">
        <v>42638</v>
      </c>
      <c r="C280" s="746" t="s">
        <v>1772</v>
      </c>
      <c r="D280" s="747">
        <v>3765</v>
      </c>
      <c r="E280" s="747">
        <v>3650</v>
      </c>
      <c r="F280" s="747">
        <v>3585</v>
      </c>
      <c r="G280" s="747">
        <v>3543</v>
      </c>
      <c r="H280" s="747">
        <v>3550</v>
      </c>
      <c r="I280" s="747">
        <v>3634</v>
      </c>
      <c r="J280" s="747">
        <v>3770</v>
      </c>
      <c r="K280" s="747">
        <v>3797</v>
      </c>
      <c r="L280" s="747">
        <v>3914</v>
      </c>
      <c r="M280" s="747">
        <v>4019</v>
      </c>
      <c r="N280" s="747">
        <v>4135</v>
      </c>
      <c r="O280" s="747">
        <v>4202</v>
      </c>
      <c r="P280" s="747">
        <v>4238</v>
      </c>
      <c r="Q280" s="747">
        <v>4236</v>
      </c>
      <c r="R280" s="747">
        <v>4294</v>
      </c>
      <c r="S280" s="747">
        <v>4385</v>
      </c>
      <c r="T280" s="747">
        <v>4532</v>
      </c>
      <c r="U280" s="747">
        <v>4700</v>
      </c>
      <c r="V280" s="747">
        <v>4778</v>
      </c>
      <c r="W280" s="747">
        <v>4955</v>
      </c>
      <c r="X280" s="747">
        <v>4819</v>
      </c>
      <c r="Y280" s="747">
        <v>4537</v>
      </c>
      <c r="Z280" s="747">
        <v>4142</v>
      </c>
      <c r="AA280" s="747">
        <v>3802</v>
      </c>
      <c r="AC280" s="628">
        <f t="shared" si="43"/>
        <v>269</v>
      </c>
      <c r="AD280" s="627">
        <f t="shared" si="44"/>
        <v>224</v>
      </c>
      <c r="AE280" s="627">
        <f t="shared" si="40"/>
        <v>115</v>
      </c>
      <c r="AF280" s="627">
        <f t="shared" si="40"/>
        <v>65</v>
      </c>
      <c r="AG280" s="627">
        <f t="shared" si="40"/>
        <v>42</v>
      </c>
      <c r="AH280" s="627">
        <f t="shared" si="39"/>
        <v>7</v>
      </c>
      <c r="AI280" s="627">
        <f t="shared" si="39"/>
        <v>84</v>
      </c>
      <c r="AJ280" s="627">
        <f t="shared" si="39"/>
        <v>136</v>
      </c>
      <c r="AK280" s="627">
        <f t="shared" si="39"/>
        <v>27</v>
      </c>
      <c r="AL280" s="627">
        <f t="shared" si="39"/>
        <v>117</v>
      </c>
      <c r="AM280" s="627">
        <f t="shared" si="39"/>
        <v>105</v>
      </c>
      <c r="AN280" s="627">
        <f t="shared" si="39"/>
        <v>116</v>
      </c>
      <c r="AO280" s="627">
        <f t="shared" si="39"/>
        <v>67</v>
      </c>
      <c r="AP280" s="627">
        <f t="shared" si="39"/>
        <v>36</v>
      </c>
      <c r="AQ280" s="627">
        <f t="shared" si="39"/>
        <v>2</v>
      </c>
      <c r="AR280" s="627">
        <f t="shared" si="39"/>
        <v>58</v>
      </c>
      <c r="AS280" s="627">
        <f t="shared" si="39"/>
        <v>91</v>
      </c>
      <c r="AT280" s="627">
        <f t="shared" si="39"/>
        <v>147</v>
      </c>
      <c r="AU280" s="627">
        <f t="shared" si="41"/>
        <v>168</v>
      </c>
      <c r="AV280" s="627">
        <f t="shared" si="41"/>
        <v>78</v>
      </c>
      <c r="AW280" s="627">
        <f t="shared" si="41"/>
        <v>177</v>
      </c>
      <c r="AX280" s="627">
        <f t="shared" si="41"/>
        <v>136</v>
      </c>
      <c r="AY280" s="627">
        <f t="shared" si="41"/>
        <v>282</v>
      </c>
      <c r="AZ280" s="627">
        <f t="shared" si="41"/>
        <v>395</v>
      </c>
      <c r="BA280" s="627">
        <f t="shared" si="41"/>
        <v>340</v>
      </c>
    </row>
    <row r="281" spans="1:53">
      <c r="A281" s="105">
        <f t="shared" si="42"/>
        <v>270</v>
      </c>
      <c r="B281" s="745">
        <v>42639</v>
      </c>
      <c r="C281" s="746" t="s">
        <v>1772</v>
      </c>
      <c r="D281" s="747">
        <v>3714</v>
      </c>
      <c r="E281" s="747">
        <v>3620</v>
      </c>
      <c r="F281" s="747">
        <v>3564</v>
      </c>
      <c r="G281" s="747">
        <v>3580</v>
      </c>
      <c r="H281" s="747">
        <v>3622</v>
      </c>
      <c r="I281" s="747">
        <v>3886</v>
      </c>
      <c r="J281" s="747">
        <v>4342</v>
      </c>
      <c r="K281" s="747">
        <v>4575</v>
      </c>
      <c r="L281" s="747">
        <v>4652</v>
      </c>
      <c r="M281" s="747">
        <v>4728</v>
      </c>
      <c r="N281" s="747">
        <v>4836</v>
      </c>
      <c r="O281" s="747">
        <v>4898</v>
      </c>
      <c r="P281" s="747">
        <v>4993</v>
      </c>
      <c r="Q281" s="747">
        <v>5115</v>
      </c>
      <c r="R281" s="747">
        <v>5203</v>
      </c>
      <c r="S281" s="747">
        <v>5288</v>
      </c>
      <c r="T281" s="747">
        <v>5407</v>
      </c>
      <c r="U281" s="747">
        <v>5420</v>
      </c>
      <c r="V281" s="747">
        <v>5365</v>
      </c>
      <c r="W281" s="747">
        <v>5401</v>
      </c>
      <c r="X281" s="747">
        <v>5180</v>
      </c>
      <c r="Y281" s="747">
        <v>4865</v>
      </c>
      <c r="Z281" s="747">
        <v>4386</v>
      </c>
      <c r="AA281" s="747">
        <v>4113</v>
      </c>
      <c r="AC281" s="628">
        <f t="shared" si="43"/>
        <v>270</v>
      </c>
      <c r="AD281" s="627">
        <f t="shared" si="44"/>
        <v>88</v>
      </c>
      <c r="AE281" s="627">
        <f t="shared" si="40"/>
        <v>94</v>
      </c>
      <c r="AF281" s="627">
        <f t="shared" si="40"/>
        <v>56</v>
      </c>
      <c r="AG281" s="627">
        <f t="shared" si="40"/>
        <v>16</v>
      </c>
      <c r="AH281" s="627">
        <f t="shared" si="40"/>
        <v>42</v>
      </c>
      <c r="AI281" s="627">
        <f t="shared" si="39"/>
        <v>264</v>
      </c>
      <c r="AJ281" s="627">
        <f t="shared" si="39"/>
        <v>456</v>
      </c>
      <c r="AK281" s="627">
        <f t="shared" si="39"/>
        <v>233</v>
      </c>
      <c r="AL281" s="627">
        <f t="shared" si="39"/>
        <v>77</v>
      </c>
      <c r="AM281" s="627">
        <f t="shared" si="39"/>
        <v>76</v>
      </c>
      <c r="AN281" s="627">
        <f t="shared" si="39"/>
        <v>108</v>
      </c>
      <c r="AO281" s="627">
        <f t="shared" si="39"/>
        <v>62</v>
      </c>
      <c r="AP281" s="627">
        <f t="shared" si="39"/>
        <v>95</v>
      </c>
      <c r="AQ281" s="627">
        <f t="shared" si="39"/>
        <v>122</v>
      </c>
      <c r="AR281" s="627">
        <f t="shared" si="39"/>
        <v>88</v>
      </c>
      <c r="AS281" s="627">
        <f t="shared" si="39"/>
        <v>85</v>
      </c>
      <c r="AT281" s="627">
        <f t="shared" si="39"/>
        <v>119</v>
      </c>
      <c r="AU281" s="627">
        <f t="shared" si="41"/>
        <v>13</v>
      </c>
      <c r="AV281" s="627">
        <f t="shared" si="41"/>
        <v>55</v>
      </c>
      <c r="AW281" s="627">
        <f t="shared" si="41"/>
        <v>36</v>
      </c>
      <c r="AX281" s="627">
        <f t="shared" si="41"/>
        <v>221</v>
      </c>
      <c r="AY281" s="627">
        <f t="shared" si="41"/>
        <v>315</v>
      </c>
      <c r="AZ281" s="627">
        <f t="shared" si="41"/>
        <v>479</v>
      </c>
      <c r="BA281" s="627">
        <f t="shared" si="41"/>
        <v>273</v>
      </c>
    </row>
    <row r="282" spans="1:53">
      <c r="A282" s="105">
        <f t="shared" si="42"/>
        <v>271</v>
      </c>
      <c r="B282" s="745">
        <v>42640</v>
      </c>
      <c r="C282" s="746" t="s">
        <v>1772</v>
      </c>
      <c r="D282" s="747">
        <v>3942</v>
      </c>
      <c r="E282" s="747">
        <v>3827</v>
      </c>
      <c r="F282" s="747">
        <v>3756</v>
      </c>
      <c r="G282" s="747">
        <v>3727</v>
      </c>
      <c r="H282" s="747">
        <v>3820</v>
      </c>
      <c r="I282" s="747">
        <v>4099</v>
      </c>
      <c r="J282" s="747">
        <v>4506</v>
      </c>
      <c r="K282" s="747">
        <v>4599</v>
      </c>
      <c r="L282" s="747">
        <v>4667</v>
      </c>
      <c r="M282" s="747">
        <v>4763</v>
      </c>
      <c r="N282" s="747">
        <v>4950</v>
      </c>
      <c r="O282" s="747">
        <v>5031</v>
      </c>
      <c r="P282" s="747">
        <v>5102</v>
      </c>
      <c r="Q282" s="747">
        <v>5243</v>
      </c>
      <c r="R282" s="747">
        <v>5342</v>
      </c>
      <c r="S282" s="747">
        <v>5525</v>
      </c>
      <c r="T282" s="747">
        <v>5634</v>
      </c>
      <c r="U282" s="747">
        <v>5697</v>
      </c>
      <c r="V282" s="747">
        <v>5607</v>
      </c>
      <c r="W282" s="747">
        <v>5679</v>
      </c>
      <c r="X282" s="747">
        <v>5388</v>
      </c>
      <c r="Y282" s="747">
        <v>5035</v>
      </c>
      <c r="Z282" s="747">
        <v>4548</v>
      </c>
      <c r="AA282" s="747">
        <v>4190</v>
      </c>
      <c r="AC282" s="628">
        <f t="shared" si="43"/>
        <v>271</v>
      </c>
      <c r="AD282" s="627">
        <f t="shared" si="44"/>
        <v>171</v>
      </c>
      <c r="AE282" s="627">
        <f t="shared" si="40"/>
        <v>115</v>
      </c>
      <c r="AF282" s="627">
        <f t="shared" si="40"/>
        <v>71</v>
      </c>
      <c r="AG282" s="627">
        <f t="shared" si="40"/>
        <v>29</v>
      </c>
      <c r="AH282" s="627">
        <f t="shared" si="40"/>
        <v>93</v>
      </c>
      <c r="AI282" s="627">
        <f t="shared" si="39"/>
        <v>279</v>
      </c>
      <c r="AJ282" s="627">
        <f t="shared" si="39"/>
        <v>407</v>
      </c>
      <c r="AK282" s="627">
        <f t="shared" si="39"/>
        <v>93</v>
      </c>
      <c r="AL282" s="627">
        <f t="shared" si="39"/>
        <v>68</v>
      </c>
      <c r="AM282" s="627">
        <f t="shared" si="39"/>
        <v>96</v>
      </c>
      <c r="AN282" s="627">
        <f t="shared" si="39"/>
        <v>187</v>
      </c>
      <c r="AO282" s="627">
        <f t="shared" si="39"/>
        <v>81</v>
      </c>
      <c r="AP282" s="627">
        <f t="shared" si="39"/>
        <v>71</v>
      </c>
      <c r="AQ282" s="627">
        <f t="shared" si="39"/>
        <v>141</v>
      </c>
      <c r="AR282" s="627">
        <f t="shared" si="39"/>
        <v>99</v>
      </c>
      <c r="AS282" s="627">
        <f t="shared" si="39"/>
        <v>183</v>
      </c>
      <c r="AT282" s="627">
        <f t="shared" si="39"/>
        <v>109</v>
      </c>
      <c r="AU282" s="627">
        <f t="shared" si="41"/>
        <v>63</v>
      </c>
      <c r="AV282" s="627">
        <f t="shared" si="41"/>
        <v>90</v>
      </c>
      <c r="AW282" s="627">
        <f t="shared" si="41"/>
        <v>72</v>
      </c>
      <c r="AX282" s="627">
        <f t="shared" si="41"/>
        <v>291</v>
      </c>
      <c r="AY282" s="627">
        <f t="shared" si="41"/>
        <v>353</v>
      </c>
      <c r="AZ282" s="627">
        <f t="shared" si="41"/>
        <v>487</v>
      </c>
      <c r="BA282" s="627">
        <f t="shared" si="41"/>
        <v>358</v>
      </c>
    </row>
    <row r="283" spans="1:53">
      <c r="A283" s="105">
        <f t="shared" si="42"/>
        <v>272</v>
      </c>
      <c r="B283" s="745">
        <v>42641</v>
      </c>
      <c r="C283" s="746" t="s">
        <v>1772</v>
      </c>
      <c r="D283" s="747">
        <v>3998</v>
      </c>
      <c r="E283" s="747">
        <v>3854</v>
      </c>
      <c r="F283" s="747">
        <v>3775</v>
      </c>
      <c r="G283" s="747">
        <v>3752</v>
      </c>
      <c r="H283" s="747">
        <v>3825</v>
      </c>
      <c r="I283" s="747">
        <v>4099</v>
      </c>
      <c r="J283" s="747">
        <v>4446</v>
      </c>
      <c r="K283" s="747">
        <v>4636</v>
      </c>
      <c r="L283" s="747">
        <v>4736</v>
      </c>
      <c r="M283" s="747">
        <v>4862</v>
      </c>
      <c r="N283" s="747">
        <v>4986</v>
      </c>
      <c r="O283" s="747">
        <v>5069</v>
      </c>
      <c r="P283" s="747">
        <v>5212</v>
      </c>
      <c r="Q283" s="747">
        <v>5371</v>
      </c>
      <c r="R283" s="747">
        <v>5525</v>
      </c>
      <c r="S283" s="747">
        <v>5654</v>
      </c>
      <c r="T283" s="747">
        <v>5818</v>
      </c>
      <c r="U283" s="747">
        <v>5836</v>
      </c>
      <c r="V283" s="747">
        <v>5716</v>
      </c>
      <c r="W283" s="747">
        <v>5750</v>
      </c>
      <c r="X283" s="747">
        <v>5496</v>
      </c>
      <c r="Y283" s="747">
        <v>5191</v>
      </c>
      <c r="Z283" s="747">
        <v>4754</v>
      </c>
      <c r="AA283" s="747">
        <v>4326</v>
      </c>
      <c r="AC283" s="628">
        <f t="shared" si="43"/>
        <v>272</v>
      </c>
      <c r="AD283" s="627">
        <f t="shared" si="44"/>
        <v>192</v>
      </c>
      <c r="AE283" s="627">
        <f t="shared" si="40"/>
        <v>144</v>
      </c>
      <c r="AF283" s="627">
        <f t="shared" si="40"/>
        <v>79</v>
      </c>
      <c r="AG283" s="627">
        <f t="shared" si="40"/>
        <v>23</v>
      </c>
      <c r="AH283" s="627">
        <f t="shared" si="40"/>
        <v>73</v>
      </c>
      <c r="AI283" s="627">
        <f t="shared" si="39"/>
        <v>274</v>
      </c>
      <c r="AJ283" s="627">
        <f t="shared" si="39"/>
        <v>347</v>
      </c>
      <c r="AK283" s="627">
        <f t="shared" si="39"/>
        <v>190</v>
      </c>
      <c r="AL283" s="627">
        <f t="shared" si="39"/>
        <v>100</v>
      </c>
      <c r="AM283" s="627">
        <f t="shared" si="39"/>
        <v>126</v>
      </c>
      <c r="AN283" s="627">
        <f t="shared" si="39"/>
        <v>124</v>
      </c>
      <c r="AO283" s="627">
        <f t="shared" si="39"/>
        <v>83</v>
      </c>
      <c r="AP283" s="627">
        <f t="shared" si="39"/>
        <v>143</v>
      </c>
      <c r="AQ283" s="627">
        <f t="shared" si="39"/>
        <v>159</v>
      </c>
      <c r="AR283" s="627">
        <f t="shared" si="39"/>
        <v>154</v>
      </c>
      <c r="AS283" s="627">
        <f t="shared" si="39"/>
        <v>129</v>
      </c>
      <c r="AT283" s="627">
        <f t="shared" si="39"/>
        <v>164</v>
      </c>
      <c r="AU283" s="627">
        <f t="shared" si="41"/>
        <v>18</v>
      </c>
      <c r="AV283" s="627">
        <f t="shared" si="41"/>
        <v>120</v>
      </c>
      <c r="AW283" s="627">
        <f t="shared" si="41"/>
        <v>34</v>
      </c>
      <c r="AX283" s="627">
        <f t="shared" si="41"/>
        <v>254</v>
      </c>
      <c r="AY283" s="627">
        <f t="shared" si="41"/>
        <v>305</v>
      </c>
      <c r="AZ283" s="627">
        <f t="shared" si="41"/>
        <v>437</v>
      </c>
      <c r="BA283" s="627">
        <f t="shared" si="41"/>
        <v>428</v>
      </c>
    </row>
    <row r="284" spans="1:53">
      <c r="A284" s="105">
        <f t="shared" si="42"/>
        <v>273</v>
      </c>
      <c r="B284" s="745">
        <v>42642</v>
      </c>
      <c r="C284" s="746" t="s">
        <v>1772</v>
      </c>
      <c r="D284" s="747">
        <v>4067</v>
      </c>
      <c r="E284" s="747">
        <v>3900</v>
      </c>
      <c r="F284" s="747">
        <v>3823</v>
      </c>
      <c r="G284" s="747">
        <v>3777</v>
      </c>
      <c r="H284" s="747">
        <v>3799</v>
      </c>
      <c r="I284" s="747">
        <v>4039</v>
      </c>
      <c r="J284" s="747">
        <v>4477</v>
      </c>
      <c r="K284" s="747">
        <v>4544</v>
      </c>
      <c r="L284" s="747">
        <v>4663</v>
      </c>
      <c r="M284" s="747">
        <v>4826</v>
      </c>
      <c r="N284" s="747">
        <v>4941</v>
      </c>
      <c r="O284" s="747">
        <v>5071</v>
      </c>
      <c r="P284" s="747">
        <v>5200</v>
      </c>
      <c r="Q284" s="747">
        <v>5360</v>
      </c>
      <c r="R284" s="747">
        <v>5522</v>
      </c>
      <c r="S284" s="747">
        <v>5674</v>
      </c>
      <c r="T284" s="747">
        <v>5781</v>
      </c>
      <c r="U284" s="747">
        <v>5740</v>
      </c>
      <c r="V284" s="747">
        <v>5589</v>
      </c>
      <c r="W284" s="747">
        <v>5670</v>
      </c>
      <c r="X284" s="747">
        <v>5451</v>
      </c>
      <c r="Y284" s="747">
        <v>5153</v>
      </c>
      <c r="Z284" s="747">
        <v>4703</v>
      </c>
      <c r="AA284" s="747">
        <v>4308</v>
      </c>
      <c r="AC284" s="628">
        <f t="shared" si="43"/>
        <v>273</v>
      </c>
      <c r="AD284" s="627">
        <f t="shared" si="44"/>
        <v>259</v>
      </c>
      <c r="AE284" s="627">
        <f t="shared" si="40"/>
        <v>167</v>
      </c>
      <c r="AF284" s="627">
        <f t="shared" si="40"/>
        <v>77</v>
      </c>
      <c r="AG284" s="627">
        <f t="shared" si="40"/>
        <v>46</v>
      </c>
      <c r="AH284" s="627">
        <f t="shared" si="40"/>
        <v>22</v>
      </c>
      <c r="AI284" s="627">
        <f t="shared" si="39"/>
        <v>240</v>
      </c>
      <c r="AJ284" s="627">
        <f t="shared" si="39"/>
        <v>438</v>
      </c>
      <c r="AK284" s="627">
        <f t="shared" si="39"/>
        <v>67</v>
      </c>
      <c r="AL284" s="627">
        <f t="shared" si="39"/>
        <v>119</v>
      </c>
      <c r="AM284" s="627">
        <f t="shared" si="39"/>
        <v>163</v>
      </c>
      <c r="AN284" s="627">
        <f t="shared" si="39"/>
        <v>115</v>
      </c>
      <c r="AO284" s="627">
        <f t="shared" si="39"/>
        <v>130</v>
      </c>
      <c r="AP284" s="627">
        <f t="shared" si="39"/>
        <v>129</v>
      </c>
      <c r="AQ284" s="627">
        <f t="shared" si="39"/>
        <v>160</v>
      </c>
      <c r="AR284" s="627">
        <f t="shared" si="39"/>
        <v>162</v>
      </c>
      <c r="AS284" s="627">
        <f t="shared" si="39"/>
        <v>152</v>
      </c>
      <c r="AT284" s="627">
        <f t="shared" si="39"/>
        <v>107</v>
      </c>
      <c r="AU284" s="627">
        <f t="shared" si="41"/>
        <v>41</v>
      </c>
      <c r="AV284" s="627">
        <f t="shared" si="41"/>
        <v>151</v>
      </c>
      <c r="AW284" s="627">
        <f t="shared" si="41"/>
        <v>81</v>
      </c>
      <c r="AX284" s="627">
        <f t="shared" si="41"/>
        <v>219</v>
      </c>
      <c r="AY284" s="627">
        <f t="shared" si="41"/>
        <v>298</v>
      </c>
      <c r="AZ284" s="627">
        <f t="shared" si="41"/>
        <v>450</v>
      </c>
      <c r="BA284" s="627">
        <f t="shared" si="41"/>
        <v>395</v>
      </c>
    </row>
    <row r="285" spans="1:53">
      <c r="A285" s="105">
        <f t="shared" si="42"/>
        <v>274</v>
      </c>
      <c r="B285" s="745">
        <v>42643</v>
      </c>
      <c r="C285" s="746" t="s">
        <v>1772</v>
      </c>
      <c r="D285" s="747">
        <v>4030</v>
      </c>
      <c r="E285" s="747">
        <v>3820</v>
      </c>
      <c r="F285" s="747">
        <v>3736</v>
      </c>
      <c r="G285" s="747">
        <v>3714</v>
      </c>
      <c r="H285" s="747">
        <v>3838</v>
      </c>
      <c r="I285" s="747">
        <v>4037</v>
      </c>
      <c r="J285" s="747">
        <v>4442</v>
      </c>
      <c r="K285" s="747">
        <v>4682</v>
      </c>
      <c r="L285" s="747">
        <v>4788</v>
      </c>
      <c r="M285" s="747">
        <v>4891</v>
      </c>
      <c r="N285" s="747">
        <v>4991</v>
      </c>
      <c r="O285" s="747">
        <v>5064</v>
      </c>
      <c r="P285" s="747">
        <v>5045</v>
      </c>
      <c r="Q285" s="747">
        <v>5082</v>
      </c>
      <c r="R285" s="747">
        <v>5112</v>
      </c>
      <c r="S285" s="747">
        <v>5124</v>
      </c>
      <c r="T285" s="747">
        <v>5193</v>
      </c>
      <c r="U285" s="747">
        <v>5168</v>
      </c>
      <c r="V285" s="747">
        <v>5130</v>
      </c>
      <c r="W285" s="747">
        <v>5219</v>
      </c>
      <c r="X285" s="747">
        <v>5037</v>
      </c>
      <c r="Y285" s="747">
        <v>4747</v>
      </c>
      <c r="Z285" s="747">
        <v>4424</v>
      </c>
      <c r="AA285" s="747">
        <v>4075</v>
      </c>
      <c r="AC285" s="628">
        <f t="shared" si="43"/>
        <v>274</v>
      </c>
      <c r="AD285" s="627">
        <f t="shared" si="44"/>
        <v>278</v>
      </c>
      <c r="AE285" s="627">
        <f t="shared" si="40"/>
        <v>210</v>
      </c>
      <c r="AF285" s="627">
        <f t="shared" si="40"/>
        <v>84</v>
      </c>
      <c r="AG285" s="627">
        <f t="shared" si="40"/>
        <v>22</v>
      </c>
      <c r="AH285" s="627">
        <f t="shared" si="40"/>
        <v>124</v>
      </c>
      <c r="AI285" s="627">
        <f t="shared" si="39"/>
        <v>199</v>
      </c>
      <c r="AJ285" s="627">
        <f t="shared" si="39"/>
        <v>405</v>
      </c>
      <c r="AK285" s="627">
        <f t="shared" si="39"/>
        <v>240</v>
      </c>
      <c r="AL285" s="627">
        <f t="shared" si="39"/>
        <v>106</v>
      </c>
      <c r="AM285" s="627">
        <f t="shared" si="39"/>
        <v>103</v>
      </c>
      <c r="AN285" s="627">
        <f t="shared" si="39"/>
        <v>100</v>
      </c>
      <c r="AO285" s="627">
        <f t="shared" si="39"/>
        <v>73</v>
      </c>
      <c r="AP285" s="627">
        <f t="shared" si="39"/>
        <v>19</v>
      </c>
      <c r="AQ285" s="627">
        <f t="shared" si="39"/>
        <v>37</v>
      </c>
      <c r="AR285" s="627">
        <f t="shared" si="39"/>
        <v>30</v>
      </c>
      <c r="AS285" s="627">
        <f t="shared" ref="AS285:AT302" si="45">ABS(S285-R285)</f>
        <v>12</v>
      </c>
      <c r="AT285" s="627">
        <f t="shared" si="45"/>
        <v>69</v>
      </c>
      <c r="AU285" s="627">
        <f t="shared" si="41"/>
        <v>25</v>
      </c>
      <c r="AV285" s="627">
        <f t="shared" si="41"/>
        <v>38</v>
      </c>
      <c r="AW285" s="627">
        <f t="shared" si="41"/>
        <v>89</v>
      </c>
      <c r="AX285" s="627">
        <f t="shared" si="41"/>
        <v>182</v>
      </c>
      <c r="AY285" s="627">
        <f t="shared" si="41"/>
        <v>290</v>
      </c>
      <c r="AZ285" s="627">
        <f t="shared" si="41"/>
        <v>323</v>
      </c>
      <c r="BA285" s="627">
        <f t="shared" si="41"/>
        <v>349</v>
      </c>
    </row>
    <row r="286" spans="1:53">
      <c r="A286" s="105">
        <f t="shared" si="42"/>
        <v>275</v>
      </c>
      <c r="B286" s="745">
        <v>42644</v>
      </c>
      <c r="C286" s="746" t="s">
        <v>1772</v>
      </c>
      <c r="D286" s="747">
        <v>3834</v>
      </c>
      <c r="E286" s="747">
        <v>3675</v>
      </c>
      <c r="F286" s="747">
        <v>3593</v>
      </c>
      <c r="G286" s="747">
        <v>3531</v>
      </c>
      <c r="H286" s="747">
        <v>3534</v>
      </c>
      <c r="I286" s="747">
        <v>3651</v>
      </c>
      <c r="J286" s="747">
        <v>3857</v>
      </c>
      <c r="K286" s="747">
        <v>3980</v>
      </c>
      <c r="L286" s="747">
        <v>4126</v>
      </c>
      <c r="M286" s="747">
        <v>4323</v>
      </c>
      <c r="N286" s="747">
        <v>4475</v>
      </c>
      <c r="O286" s="747">
        <v>4561</v>
      </c>
      <c r="P286" s="747">
        <v>4646</v>
      </c>
      <c r="Q286" s="747">
        <v>4751</v>
      </c>
      <c r="R286" s="747">
        <v>4866</v>
      </c>
      <c r="S286" s="747">
        <v>5018</v>
      </c>
      <c r="T286" s="747">
        <v>5129</v>
      </c>
      <c r="U286" s="747">
        <v>5209</v>
      </c>
      <c r="V286" s="747">
        <v>5181</v>
      </c>
      <c r="W286" s="747">
        <v>5201</v>
      </c>
      <c r="X286" s="747">
        <v>5019</v>
      </c>
      <c r="Y286" s="747">
        <v>4778</v>
      </c>
      <c r="Z286" s="747">
        <v>4554</v>
      </c>
      <c r="AA286" s="747">
        <v>4173</v>
      </c>
      <c r="AB286" s="627">
        <f>MAX(D286:AA316)</f>
        <v>5459</v>
      </c>
      <c r="AC286" s="628">
        <f t="shared" si="43"/>
        <v>275</v>
      </c>
      <c r="AD286" s="627">
        <f t="shared" si="44"/>
        <v>241</v>
      </c>
      <c r="AE286" s="627">
        <f t="shared" si="40"/>
        <v>159</v>
      </c>
      <c r="AF286" s="627">
        <f t="shared" si="40"/>
        <v>82</v>
      </c>
      <c r="AG286" s="627">
        <f t="shared" si="40"/>
        <v>62</v>
      </c>
      <c r="AH286" s="627">
        <f t="shared" si="40"/>
        <v>3</v>
      </c>
      <c r="AI286" s="627">
        <f t="shared" si="40"/>
        <v>117</v>
      </c>
      <c r="AJ286" s="627">
        <f t="shared" si="40"/>
        <v>206</v>
      </c>
      <c r="AK286" s="627">
        <f t="shared" si="40"/>
        <v>123</v>
      </c>
      <c r="AL286" s="627">
        <f t="shared" si="40"/>
        <v>146</v>
      </c>
      <c r="AM286" s="627">
        <f t="shared" si="40"/>
        <v>197</v>
      </c>
      <c r="AN286" s="627">
        <f t="shared" si="40"/>
        <v>152</v>
      </c>
      <c r="AO286" s="627">
        <f t="shared" si="40"/>
        <v>86</v>
      </c>
      <c r="AP286" s="627">
        <f t="shared" si="40"/>
        <v>85</v>
      </c>
      <c r="AQ286" s="627">
        <f t="shared" si="40"/>
        <v>105</v>
      </c>
      <c r="AR286" s="627">
        <f t="shared" si="40"/>
        <v>115</v>
      </c>
      <c r="AS286" s="627">
        <f t="shared" si="45"/>
        <v>152</v>
      </c>
      <c r="AT286" s="627">
        <f t="shared" si="45"/>
        <v>111</v>
      </c>
      <c r="AU286" s="627">
        <f t="shared" si="41"/>
        <v>80</v>
      </c>
      <c r="AV286" s="627">
        <f t="shared" si="41"/>
        <v>28</v>
      </c>
      <c r="AW286" s="627">
        <f t="shared" si="41"/>
        <v>20</v>
      </c>
      <c r="AX286" s="627">
        <f t="shared" si="41"/>
        <v>182</v>
      </c>
      <c r="AY286" s="627">
        <f t="shared" si="41"/>
        <v>241</v>
      </c>
      <c r="AZ286" s="627">
        <f t="shared" si="41"/>
        <v>224</v>
      </c>
      <c r="BA286" s="627">
        <f t="shared" si="41"/>
        <v>381</v>
      </c>
    </row>
    <row r="287" spans="1:53">
      <c r="A287" s="105">
        <f t="shared" si="42"/>
        <v>276</v>
      </c>
      <c r="B287" s="745">
        <v>42645</v>
      </c>
      <c r="C287" s="746" t="s">
        <v>1772</v>
      </c>
      <c r="D287" s="747">
        <v>3908</v>
      </c>
      <c r="E287" s="747">
        <v>3738</v>
      </c>
      <c r="F287" s="747">
        <v>3605</v>
      </c>
      <c r="G287" s="747">
        <v>3525</v>
      </c>
      <c r="H287" s="747">
        <v>3531</v>
      </c>
      <c r="I287" s="747">
        <v>3606</v>
      </c>
      <c r="J287" s="747">
        <v>3745</v>
      </c>
      <c r="K287" s="747">
        <v>3833</v>
      </c>
      <c r="L287" s="747">
        <v>3946</v>
      </c>
      <c r="M287" s="747">
        <v>4119</v>
      </c>
      <c r="N287" s="747">
        <v>4288</v>
      </c>
      <c r="O287" s="747">
        <v>4451</v>
      </c>
      <c r="P287" s="747">
        <v>4609</v>
      </c>
      <c r="Q287" s="747">
        <v>4767</v>
      </c>
      <c r="R287" s="747">
        <v>4912</v>
      </c>
      <c r="S287" s="747">
        <v>5042</v>
      </c>
      <c r="T287" s="747">
        <v>5177</v>
      </c>
      <c r="U287" s="747">
        <v>5284</v>
      </c>
      <c r="V287" s="747">
        <v>5282</v>
      </c>
      <c r="W287" s="747">
        <v>5356</v>
      </c>
      <c r="X287" s="747">
        <v>5154</v>
      </c>
      <c r="Y287" s="747">
        <v>4865</v>
      </c>
      <c r="Z287" s="747">
        <v>4476</v>
      </c>
      <c r="AA287" s="747">
        <v>4097</v>
      </c>
      <c r="AC287" s="628">
        <f t="shared" si="43"/>
        <v>276</v>
      </c>
      <c r="AD287" s="627">
        <f t="shared" si="44"/>
        <v>265</v>
      </c>
      <c r="AE287" s="627">
        <f t="shared" si="40"/>
        <v>170</v>
      </c>
      <c r="AF287" s="627">
        <f t="shared" si="40"/>
        <v>133</v>
      </c>
      <c r="AG287" s="627">
        <f t="shared" si="40"/>
        <v>80</v>
      </c>
      <c r="AH287" s="627">
        <f t="shared" si="40"/>
        <v>6</v>
      </c>
      <c r="AI287" s="627">
        <f t="shared" si="40"/>
        <v>75</v>
      </c>
      <c r="AJ287" s="627">
        <f t="shared" si="40"/>
        <v>139</v>
      </c>
      <c r="AK287" s="627">
        <f t="shared" si="40"/>
        <v>88</v>
      </c>
      <c r="AL287" s="627">
        <f t="shared" si="40"/>
        <v>113</v>
      </c>
      <c r="AM287" s="627">
        <f t="shared" si="40"/>
        <v>173</v>
      </c>
      <c r="AN287" s="627">
        <f t="shared" si="40"/>
        <v>169</v>
      </c>
      <c r="AO287" s="627">
        <f t="shared" si="40"/>
        <v>163</v>
      </c>
      <c r="AP287" s="627">
        <f t="shared" si="40"/>
        <v>158</v>
      </c>
      <c r="AQ287" s="627">
        <f t="shared" si="40"/>
        <v>158</v>
      </c>
      <c r="AR287" s="627">
        <f t="shared" si="40"/>
        <v>145</v>
      </c>
      <c r="AS287" s="627">
        <f t="shared" si="45"/>
        <v>130</v>
      </c>
      <c r="AT287" s="627">
        <f t="shared" si="45"/>
        <v>135</v>
      </c>
      <c r="AU287" s="627">
        <f t="shared" si="41"/>
        <v>107</v>
      </c>
      <c r="AV287" s="627">
        <f t="shared" si="41"/>
        <v>2</v>
      </c>
      <c r="AW287" s="627">
        <f t="shared" si="41"/>
        <v>74</v>
      </c>
      <c r="AX287" s="627">
        <f t="shared" si="41"/>
        <v>202</v>
      </c>
      <c r="AY287" s="627">
        <f t="shared" si="41"/>
        <v>289</v>
      </c>
      <c r="AZ287" s="627">
        <f t="shared" si="41"/>
        <v>389</v>
      </c>
      <c r="BA287" s="627">
        <f t="shared" si="41"/>
        <v>379</v>
      </c>
    </row>
    <row r="288" spans="1:53">
      <c r="A288" s="105">
        <f t="shared" si="42"/>
        <v>277</v>
      </c>
      <c r="B288" s="745">
        <v>42646</v>
      </c>
      <c r="C288" s="746" t="s">
        <v>1772</v>
      </c>
      <c r="D288" s="747">
        <v>3861</v>
      </c>
      <c r="E288" s="747">
        <v>3729</v>
      </c>
      <c r="F288" s="747">
        <v>3659</v>
      </c>
      <c r="G288" s="747">
        <v>3665</v>
      </c>
      <c r="H288" s="747">
        <v>3768</v>
      </c>
      <c r="I288" s="747">
        <v>4056</v>
      </c>
      <c r="J288" s="747">
        <v>4528</v>
      </c>
      <c r="K288" s="747">
        <v>4772</v>
      </c>
      <c r="L288" s="747">
        <v>4873</v>
      </c>
      <c r="M288" s="747">
        <v>5064</v>
      </c>
      <c r="N288" s="747">
        <v>5207</v>
      </c>
      <c r="O288" s="747">
        <v>5182</v>
      </c>
      <c r="P288" s="747">
        <v>5257</v>
      </c>
      <c r="Q288" s="747">
        <v>5368</v>
      </c>
      <c r="R288" s="747">
        <v>5435</v>
      </c>
      <c r="S288" s="747">
        <v>5397</v>
      </c>
      <c r="T288" s="747">
        <v>5406</v>
      </c>
      <c r="U288" s="747">
        <v>5389</v>
      </c>
      <c r="V288" s="747">
        <v>5342</v>
      </c>
      <c r="W288" s="747">
        <v>5402</v>
      </c>
      <c r="X288" s="747">
        <v>5183</v>
      </c>
      <c r="Y288" s="747">
        <v>4833</v>
      </c>
      <c r="Z288" s="747">
        <v>4459</v>
      </c>
      <c r="AA288" s="747">
        <v>4203</v>
      </c>
      <c r="AC288" s="628">
        <f t="shared" si="43"/>
        <v>277</v>
      </c>
      <c r="AD288" s="627">
        <f t="shared" si="44"/>
        <v>236</v>
      </c>
      <c r="AE288" s="627">
        <f t="shared" si="40"/>
        <v>132</v>
      </c>
      <c r="AF288" s="627">
        <f t="shared" si="40"/>
        <v>70</v>
      </c>
      <c r="AG288" s="627">
        <f t="shared" si="40"/>
        <v>6</v>
      </c>
      <c r="AH288" s="627">
        <f t="shared" si="40"/>
        <v>103</v>
      </c>
      <c r="AI288" s="627">
        <f t="shared" si="40"/>
        <v>288</v>
      </c>
      <c r="AJ288" s="627">
        <f t="shared" si="40"/>
        <v>472</v>
      </c>
      <c r="AK288" s="627">
        <f t="shared" si="40"/>
        <v>244</v>
      </c>
      <c r="AL288" s="627">
        <f t="shared" si="40"/>
        <v>101</v>
      </c>
      <c r="AM288" s="627">
        <f t="shared" si="40"/>
        <v>191</v>
      </c>
      <c r="AN288" s="627">
        <f t="shared" si="40"/>
        <v>143</v>
      </c>
      <c r="AO288" s="627">
        <f t="shared" si="40"/>
        <v>25</v>
      </c>
      <c r="AP288" s="627">
        <f t="shared" si="40"/>
        <v>75</v>
      </c>
      <c r="AQ288" s="627">
        <f t="shared" si="40"/>
        <v>111</v>
      </c>
      <c r="AR288" s="627">
        <f t="shared" si="40"/>
        <v>67</v>
      </c>
      <c r="AS288" s="627">
        <f t="shared" si="45"/>
        <v>38</v>
      </c>
      <c r="AT288" s="627">
        <f t="shared" si="45"/>
        <v>9</v>
      </c>
      <c r="AU288" s="627">
        <f t="shared" si="41"/>
        <v>17</v>
      </c>
      <c r="AV288" s="627">
        <f t="shared" si="41"/>
        <v>47</v>
      </c>
      <c r="AW288" s="627">
        <f t="shared" si="41"/>
        <v>60</v>
      </c>
      <c r="AX288" s="627">
        <f t="shared" si="41"/>
        <v>219</v>
      </c>
      <c r="AY288" s="627">
        <f t="shared" si="41"/>
        <v>350</v>
      </c>
      <c r="AZ288" s="627">
        <f t="shared" si="41"/>
        <v>374</v>
      </c>
      <c r="BA288" s="627">
        <f t="shared" si="41"/>
        <v>256</v>
      </c>
    </row>
    <row r="289" spans="1:53">
      <c r="A289" s="105">
        <f t="shared" si="42"/>
        <v>278</v>
      </c>
      <c r="B289" s="745">
        <v>42647</v>
      </c>
      <c r="C289" s="746" t="s">
        <v>1772</v>
      </c>
      <c r="D289" s="747">
        <v>4045</v>
      </c>
      <c r="E289" s="747">
        <v>3922</v>
      </c>
      <c r="F289" s="747">
        <v>3859</v>
      </c>
      <c r="G289" s="747">
        <v>3834</v>
      </c>
      <c r="H289" s="747">
        <v>3890</v>
      </c>
      <c r="I289" s="747">
        <v>4088</v>
      </c>
      <c r="J289" s="747">
        <v>4605</v>
      </c>
      <c r="K289" s="747">
        <v>4676</v>
      </c>
      <c r="L289" s="747">
        <v>4734</v>
      </c>
      <c r="M289" s="747">
        <v>4755</v>
      </c>
      <c r="N289" s="747">
        <v>4794</v>
      </c>
      <c r="O289" s="747">
        <v>4745</v>
      </c>
      <c r="P289" s="747">
        <v>4806</v>
      </c>
      <c r="Q289" s="747">
        <v>4824</v>
      </c>
      <c r="R289" s="747">
        <v>4815</v>
      </c>
      <c r="S289" s="747">
        <v>4894</v>
      </c>
      <c r="T289" s="747">
        <v>4915</v>
      </c>
      <c r="U289" s="747">
        <v>4939</v>
      </c>
      <c r="V289" s="747">
        <v>5072</v>
      </c>
      <c r="W289" s="747">
        <v>5217</v>
      </c>
      <c r="X289" s="747">
        <v>5083</v>
      </c>
      <c r="Y289" s="747">
        <v>4763</v>
      </c>
      <c r="Z289" s="747">
        <v>4365</v>
      </c>
      <c r="AA289" s="747">
        <v>4202</v>
      </c>
      <c r="AC289" s="628">
        <f t="shared" si="43"/>
        <v>278</v>
      </c>
      <c r="AD289" s="627">
        <f t="shared" si="44"/>
        <v>158</v>
      </c>
      <c r="AE289" s="627">
        <f t="shared" si="40"/>
        <v>123</v>
      </c>
      <c r="AF289" s="627">
        <f t="shared" si="40"/>
        <v>63</v>
      </c>
      <c r="AG289" s="627">
        <f t="shared" si="40"/>
        <v>25</v>
      </c>
      <c r="AH289" s="627">
        <f t="shared" si="40"/>
        <v>56</v>
      </c>
      <c r="AI289" s="627">
        <f t="shared" si="40"/>
        <v>198</v>
      </c>
      <c r="AJ289" s="627">
        <f t="shared" si="40"/>
        <v>517</v>
      </c>
      <c r="AK289" s="627">
        <f t="shared" si="40"/>
        <v>71</v>
      </c>
      <c r="AL289" s="627">
        <f t="shared" si="40"/>
        <v>58</v>
      </c>
      <c r="AM289" s="627">
        <f t="shared" si="40"/>
        <v>21</v>
      </c>
      <c r="AN289" s="627">
        <f t="shared" si="40"/>
        <v>39</v>
      </c>
      <c r="AO289" s="627">
        <f t="shared" si="40"/>
        <v>49</v>
      </c>
      <c r="AP289" s="627">
        <f t="shared" si="40"/>
        <v>61</v>
      </c>
      <c r="AQ289" s="627">
        <f t="shared" si="40"/>
        <v>18</v>
      </c>
      <c r="AR289" s="627">
        <f t="shared" si="40"/>
        <v>9</v>
      </c>
      <c r="AS289" s="627">
        <f t="shared" si="45"/>
        <v>79</v>
      </c>
      <c r="AT289" s="627">
        <f t="shared" si="45"/>
        <v>21</v>
      </c>
      <c r="AU289" s="627">
        <f t="shared" si="41"/>
        <v>24</v>
      </c>
      <c r="AV289" s="627">
        <f t="shared" si="41"/>
        <v>133</v>
      </c>
      <c r="AW289" s="627">
        <f t="shared" si="41"/>
        <v>145</v>
      </c>
      <c r="AX289" s="627">
        <f t="shared" si="41"/>
        <v>134</v>
      </c>
      <c r="AY289" s="627">
        <f t="shared" si="41"/>
        <v>320</v>
      </c>
      <c r="AZ289" s="627">
        <f t="shared" si="41"/>
        <v>398</v>
      </c>
      <c r="BA289" s="627">
        <f t="shared" si="41"/>
        <v>163</v>
      </c>
    </row>
    <row r="290" spans="1:53">
      <c r="A290" s="105">
        <f t="shared" si="42"/>
        <v>279</v>
      </c>
      <c r="B290" s="745">
        <v>42648</v>
      </c>
      <c r="C290" s="746" t="s">
        <v>1772</v>
      </c>
      <c r="D290" s="747">
        <v>4075</v>
      </c>
      <c r="E290" s="747">
        <v>3946</v>
      </c>
      <c r="F290" s="747">
        <v>3778</v>
      </c>
      <c r="G290" s="747">
        <v>3791</v>
      </c>
      <c r="H290" s="747">
        <v>3876</v>
      </c>
      <c r="I290" s="747">
        <v>4178</v>
      </c>
      <c r="J290" s="747">
        <v>4554</v>
      </c>
      <c r="K290" s="747">
        <v>4701</v>
      </c>
      <c r="L290" s="747">
        <v>4712</v>
      </c>
      <c r="M290" s="747">
        <v>4693</v>
      </c>
      <c r="N290" s="747">
        <v>4717</v>
      </c>
      <c r="O290" s="747">
        <v>4740</v>
      </c>
      <c r="P290" s="747">
        <v>4788</v>
      </c>
      <c r="Q290" s="747">
        <v>4858</v>
      </c>
      <c r="R290" s="747">
        <v>4869</v>
      </c>
      <c r="S290" s="747">
        <v>4876</v>
      </c>
      <c r="T290" s="747">
        <v>4927</v>
      </c>
      <c r="U290" s="747">
        <v>4991</v>
      </c>
      <c r="V290" s="747">
        <v>5134</v>
      </c>
      <c r="W290" s="747">
        <v>5243</v>
      </c>
      <c r="X290" s="747">
        <v>5085</v>
      </c>
      <c r="Y290" s="747">
        <v>4780</v>
      </c>
      <c r="Z290" s="747">
        <v>4351</v>
      </c>
      <c r="AA290" s="747">
        <v>4142</v>
      </c>
      <c r="AC290" s="628">
        <f t="shared" si="43"/>
        <v>279</v>
      </c>
      <c r="AD290" s="627">
        <f t="shared" si="44"/>
        <v>127</v>
      </c>
      <c r="AE290" s="627">
        <f t="shared" si="40"/>
        <v>129</v>
      </c>
      <c r="AF290" s="627">
        <f t="shared" si="40"/>
        <v>168</v>
      </c>
      <c r="AG290" s="627">
        <f t="shared" si="40"/>
        <v>13</v>
      </c>
      <c r="AH290" s="627">
        <f t="shared" si="40"/>
        <v>85</v>
      </c>
      <c r="AI290" s="627">
        <f t="shared" si="40"/>
        <v>302</v>
      </c>
      <c r="AJ290" s="627">
        <f t="shared" si="40"/>
        <v>376</v>
      </c>
      <c r="AK290" s="627">
        <f t="shared" si="40"/>
        <v>147</v>
      </c>
      <c r="AL290" s="627">
        <f t="shared" si="40"/>
        <v>11</v>
      </c>
      <c r="AM290" s="627">
        <f t="shared" si="40"/>
        <v>19</v>
      </c>
      <c r="AN290" s="627">
        <f t="shared" si="40"/>
        <v>24</v>
      </c>
      <c r="AO290" s="627">
        <f t="shared" si="40"/>
        <v>23</v>
      </c>
      <c r="AP290" s="627">
        <f t="shared" si="40"/>
        <v>48</v>
      </c>
      <c r="AQ290" s="627">
        <f t="shared" si="40"/>
        <v>70</v>
      </c>
      <c r="AR290" s="627">
        <f t="shared" si="40"/>
        <v>11</v>
      </c>
      <c r="AS290" s="627">
        <f t="shared" si="45"/>
        <v>7</v>
      </c>
      <c r="AT290" s="627">
        <f t="shared" si="45"/>
        <v>51</v>
      </c>
      <c r="AU290" s="627">
        <f t="shared" si="41"/>
        <v>64</v>
      </c>
      <c r="AV290" s="627">
        <f t="shared" si="41"/>
        <v>143</v>
      </c>
      <c r="AW290" s="627">
        <f t="shared" si="41"/>
        <v>109</v>
      </c>
      <c r="AX290" s="627">
        <f t="shared" si="41"/>
        <v>158</v>
      </c>
      <c r="AY290" s="627">
        <f t="shared" si="41"/>
        <v>305</v>
      </c>
      <c r="AZ290" s="627">
        <f t="shared" si="41"/>
        <v>429</v>
      </c>
      <c r="BA290" s="627">
        <f t="shared" si="41"/>
        <v>209</v>
      </c>
    </row>
    <row r="291" spans="1:53">
      <c r="A291" s="105">
        <f t="shared" si="42"/>
        <v>280</v>
      </c>
      <c r="B291" s="745">
        <v>42649</v>
      </c>
      <c r="C291" s="746" t="s">
        <v>1772</v>
      </c>
      <c r="D291" s="747">
        <v>4003</v>
      </c>
      <c r="E291" s="747">
        <v>3907</v>
      </c>
      <c r="F291" s="747">
        <v>3891</v>
      </c>
      <c r="G291" s="747">
        <v>3855</v>
      </c>
      <c r="H291" s="747">
        <v>3877</v>
      </c>
      <c r="I291" s="747">
        <v>4163</v>
      </c>
      <c r="J291" s="747">
        <v>4590</v>
      </c>
      <c r="K291" s="747">
        <v>4819</v>
      </c>
      <c r="L291" s="747">
        <v>4916</v>
      </c>
      <c r="M291" s="747">
        <v>4959</v>
      </c>
      <c r="N291" s="747">
        <v>4962</v>
      </c>
      <c r="O291" s="747">
        <v>4945</v>
      </c>
      <c r="P291" s="747">
        <v>4873</v>
      </c>
      <c r="Q291" s="747">
        <v>4745</v>
      </c>
      <c r="R291" s="747">
        <v>4700</v>
      </c>
      <c r="S291" s="747">
        <v>4746</v>
      </c>
      <c r="T291" s="747">
        <v>4811</v>
      </c>
      <c r="U291" s="747">
        <v>4843</v>
      </c>
      <c r="V291" s="747">
        <v>5055</v>
      </c>
      <c r="W291" s="747">
        <v>5225</v>
      </c>
      <c r="X291" s="747">
        <v>5102</v>
      </c>
      <c r="Y291" s="747">
        <v>4822</v>
      </c>
      <c r="Z291" s="747">
        <v>4429</v>
      </c>
      <c r="AA291" s="747">
        <v>4118</v>
      </c>
      <c r="AC291" s="628">
        <f t="shared" si="43"/>
        <v>280</v>
      </c>
      <c r="AD291" s="627">
        <f t="shared" si="44"/>
        <v>139</v>
      </c>
      <c r="AE291" s="627">
        <f t="shared" si="40"/>
        <v>96</v>
      </c>
      <c r="AF291" s="627">
        <f t="shared" si="40"/>
        <v>16</v>
      </c>
      <c r="AG291" s="627">
        <f t="shared" si="40"/>
        <v>36</v>
      </c>
      <c r="AH291" s="627">
        <f t="shared" si="40"/>
        <v>22</v>
      </c>
      <c r="AI291" s="627">
        <f t="shared" si="40"/>
        <v>286</v>
      </c>
      <c r="AJ291" s="627">
        <f t="shared" si="40"/>
        <v>427</v>
      </c>
      <c r="AK291" s="627">
        <f t="shared" si="40"/>
        <v>229</v>
      </c>
      <c r="AL291" s="627">
        <f t="shared" si="40"/>
        <v>97</v>
      </c>
      <c r="AM291" s="627">
        <f t="shared" si="40"/>
        <v>43</v>
      </c>
      <c r="AN291" s="627">
        <f t="shared" si="40"/>
        <v>3</v>
      </c>
      <c r="AO291" s="627">
        <f t="shared" si="40"/>
        <v>17</v>
      </c>
      <c r="AP291" s="627">
        <f t="shared" si="40"/>
        <v>72</v>
      </c>
      <c r="AQ291" s="627">
        <f t="shared" si="40"/>
        <v>128</v>
      </c>
      <c r="AR291" s="627">
        <f t="shared" si="40"/>
        <v>45</v>
      </c>
      <c r="AS291" s="627">
        <f t="shared" si="45"/>
        <v>46</v>
      </c>
      <c r="AT291" s="627">
        <f t="shared" si="45"/>
        <v>65</v>
      </c>
      <c r="AU291" s="627">
        <f t="shared" si="41"/>
        <v>32</v>
      </c>
      <c r="AV291" s="627">
        <f t="shared" si="41"/>
        <v>212</v>
      </c>
      <c r="AW291" s="627">
        <f t="shared" si="41"/>
        <v>170</v>
      </c>
      <c r="AX291" s="627">
        <f t="shared" si="41"/>
        <v>123</v>
      </c>
      <c r="AY291" s="627">
        <f t="shared" si="41"/>
        <v>280</v>
      </c>
      <c r="AZ291" s="627">
        <f t="shared" si="41"/>
        <v>393</v>
      </c>
      <c r="BA291" s="627">
        <f t="shared" si="41"/>
        <v>311</v>
      </c>
    </row>
    <row r="292" spans="1:53">
      <c r="A292" s="105">
        <f t="shared" si="42"/>
        <v>281</v>
      </c>
      <c r="B292" s="745">
        <v>42650</v>
      </c>
      <c r="C292" s="746" t="s">
        <v>1772</v>
      </c>
      <c r="D292" s="747">
        <v>4109</v>
      </c>
      <c r="E292" s="747">
        <v>4042</v>
      </c>
      <c r="F292" s="747">
        <v>3999</v>
      </c>
      <c r="G292" s="747">
        <v>4005</v>
      </c>
      <c r="H292" s="747">
        <v>4027</v>
      </c>
      <c r="I292" s="747">
        <v>4252</v>
      </c>
      <c r="J292" s="747">
        <v>4639</v>
      </c>
      <c r="K292" s="747">
        <v>4814</v>
      </c>
      <c r="L292" s="747">
        <v>4818</v>
      </c>
      <c r="M292" s="747">
        <v>4816</v>
      </c>
      <c r="N292" s="747">
        <v>4799</v>
      </c>
      <c r="O292" s="747">
        <v>4758</v>
      </c>
      <c r="P292" s="747">
        <v>4741</v>
      </c>
      <c r="Q292" s="747">
        <v>4708</v>
      </c>
      <c r="R292" s="747">
        <v>4780</v>
      </c>
      <c r="S292" s="747">
        <v>4768</v>
      </c>
      <c r="T292" s="747">
        <v>4801</v>
      </c>
      <c r="U292" s="747">
        <v>4778</v>
      </c>
      <c r="V292" s="747">
        <v>4849</v>
      </c>
      <c r="W292" s="747">
        <v>4952</v>
      </c>
      <c r="X292" s="747">
        <v>4836</v>
      </c>
      <c r="Y292" s="747">
        <v>4755</v>
      </c>
      <c r="Z292" s="747">
        <v>4594</v>
      </c>
      <c r="AA292" s="747">
        <v>4315</v>
      </c>
      <c r="AC292" s="628">
        <f t="shared" si="43"/>
        <v>281</v>
      </c>
      <c r="AD292" s="627">
        <f t="shared" si="44"/>
        <v>9</v>
      </c>
      <c r="AE292" s="627">
        <f t="shared" si="40"/>
        <v>67</v>
      </c>
      <c r="AF292" s="627">
        <f t="shared" si="40"/>
        <v>43</v>
      </c>
      <c r="AG292" s="627">
        <f t="shared" si="40"/>
        <v>6</v>
      </c>
      <c r="AH292" s="627">
        <f t="shared" si="40"/>
        <v>22</v>
      </c>
      <c r="AI292" s="627">
        <f t="shared" si="40"/>
        <v>225</v>
      </c>
      <c r="AJ292" s="627">
        <f t="shared" si="40"/>
        <v>387</v>
      </c>
      <c r="AK292" s="627">
        <f t="shared" si="40"/>
        <v>175</v>
      </c>
      <c r="AL292" s="627">
        <f t="shared" si="40"/>
        <v>4</v>
      </c>
      <c r="AM292" s="627">
        <f t="shared" si="40"/>
        <v>2</v>
      </c>
      <c r="AN292" s="627">
        <f t="shared" si="40"/>
        <v>17</v>
      </c>
      <c r="AO292" s="627">
        <f t="shared" si="40"/>
        <v>41</v>
      </c>
      <c r="AP292" s="627">
        <f t="shared" si="40"/>
        <v>17</v>
      </c>
      <c r="AQ292" s="627">
        <f t="shared" si="40"/>
        <v>33</v>
      </c>
      <c r="AR292" s="627">
        <f t="shared" si="40"/>
        <v>72</v>
      </c>
      <c r="AS292" s="627">
        <f t="shared" si="45"/>
        <v>12</v>
      </c>
      <c r="AT292" s="627">
        <f t="shared" si="45"/>
        <v>33</v>
      </c>
      <c r="AU292" s="627">
        <f t="shared" si="41"/>
        <v>23</v>
      </c>
      <c r="AV292" s="627">
        <f t="shared" si="41"/>
        <v>71</v>
      </c>
      <c r="AW292" s="627">
        <f t="shared" si="41"/>
        <v>103</v>
      </c>
      <c r="AX292" s="627">
        <f t="shared" si="41"/>
        <v>116</v>
      </c>
      <c r="AY292" s="627">
        <f t="shared" si="41"/>
        <v>81</v>
      </c>
      <c r="AZ292" s="627">
        <f t="shared" si="41"/>
        <v>161</v>
      </c>
      <c r="BA292" s="627">
        <f t="shared" si="41"/>
        <v>279</v>
      </c>
    </row>
    <row r="293" spans="1:53">
      <c r="A293" s="105">
        <f t="shared" si="42"/>
        <v>282</v>
      </c>
      <c r="B293" s="745">
        <v>42651</v>
      </c>
      <c r="C293" s="746" t="s">
        <v>1772</v>
      </c>
      <c r="D293" s="747">
        <v>4114</v>
      </c>
      <c r="E293" s="747">
        <v>3993</v>
      </c>
      <c r="F293" s="747">
        <v>3933</v>
      </c>
      <c r="G293" s="747">
        <v>3913</v>
      </c>
      <c r="H293" s="747">
        <v>3839</v>
      </c>
      <c r="I293" s="747">
        <v>3940</v>
      </c>
      <c r="J293" s="747">
        <v>4152</v>
      </c>
      <c r="K293" s="747">
        <v>4204</v>
      </c>
      <c r="L293" s="747">
        <v>4297</v>
      </c>
      <c r="M293" s="747">
        <v>4361</v>
      </c>
      <c r="N293" s="747">
        <v>4371</v>
      </c>
      <c r="O293" s="747">
        <v>4391</v>
      </c>
      <c r="P293" s="747">
        <v>4376</v>
      </c>
      <c r="Q293" s="747">
        <v>4366</v>
      </c>
      <c r="R293" s="747">
        <v>4382</v>
      </c>
      <c r="S293" s="747">
        <v>4473</v>
      </c>
      <c r="T293" s="747">
        <v>4548</v>
      </c>
      <c r="U293" s="747">
        <v>4607</v>
      </c>
      <c r="V293" s="747">
        <v>4753</v>
      </c>
      <c r="W293" s="747">
        <v>4848</v>
      </c>
      <c r="X293" s="747">
        <v>4666</v>
      </c>
      <c r="Y293" s="747">
        <v>4476</v>
      </c>
      <c r="Z293" s="747">
        <v>4209</v>
      </c>
      <c r="AA293" s="747">
        <v>4033</v>
      </c>
      <c r="AC293" s="628">
        <f t="shared" si="43"/>
        <v>282</v>
      </c>
      <c r="AD293" s="627">
        <f t="shared" si="44"/>
        <v>201</v>
      </c>
      <c r="AE293" s="627">
        <f t="shared" si="40"/>
        <v>121</v>
      </c>
      <c r="AF293" s="627">
        <f t="shared" si="40"/>
        <v>60</v>
      </c>
      <c r="AG293" s="627">
        <f t="shared" si="40"/>
        <v>20</v>
      </c>
      <c r="AH293" s="627">
        <f t="shared" si="40"/>
        <v>74</v>
      </c>
      <c r="AI293" s="627">
        <f t="shared" si="40"/>
        <v>101</v>
      </c>
      <c r="AJ293" s="627">
        <f t="shared" si="40"/>
        <v>212</v>
      </c>
      <c r="AK293" s="627">
        <f t="shared" si="40"/>
        <v>52</v>
      </c>
      <c r="AL293" s="627">
        <f t="shared" si="40"/>
        <v>93</v>
      </c>
      <c r="AM293" s="627">
        <f t="shared" si="40"/>
        <v>64</v>
      </c>
      <c r="AN293" s="627">
        <f t="shared" si="40"/>
        <v>10</v>
      </c>
      <c r="AO293" s="627">
        <f t="shared" si="40"/>
        <v>20</v>
      </c>
      <c r="AP293" s="627">
        <f t="shared" si="40"/>
        <v>15</v>
      </c>
      <c r="AQ293" s="627">
        <f t="shared" si="40"/>
        <v>10</v>
      </c>
      <c r="AR293" s="627">
        <f t="shared" si="40"/>
        <v>16</v>
      </c>
      <c r="AS293" s="627">
        <f t="shared" si="45"/>
        <v>91</v>
      </c>
      <c r="AT293" s="627">
        <f t="shared" si="45"/>
        <v>75</v>
      </c>
      <c r="AU293" s="627">
        <f t="shared" si="41"/>
        <v>59</v>
      </c>
      <c r="AV293" s="627">
        <f t="shared" si="41"/>
        <v>146</v>
      </c>
      <c r="AW293" s="627">
        <f t="shared" si="41"/>
        <v>95</v>
      </c>
      <c r="AX293" s="627">
        <f t="shared" si="41"/>
        <v>182</v>
      </c>
      <c r="AY293" s="627">
        <f t="shared" si="41"/>
        <v>190</v>
      </c>
      <c r="AZ293" s="627">
        <f t="shared" si="41"/>
        <v>267</v>
      </c>
      <c r="BA293" s="627">
        <f t="shared" si="41"/>
        <v>176</v>
      </c>
    </row>
    <row r="294" spans="1:53">
      <c r="A294" s="105">
        <f t="shared" si="42"/>
        <v>283</v>
      </c>
      <c r="B294" s="745">
        <v>42652</v>
      </c>
      <c r="C294" s="746" t="s">
        <v>1772</v>
      </c>
      <c r="D294" s="747">
        <v>3955</v>
      </c>
      <c r="E294" s="747">
        <v>3870</v>
      </c>
      <c r="F294" s="747">
        <v>3750</v>
      </c>
      <c r="G294" s="747">
        <v>3711</v>
      </c>
      <c r="H294" s="747">
        <v>3729</v>
      </c>
      <c r="I294" s="747">
        <v>3717</v>
      </c>
      <c r="J294" s="747">
        <v>3875</v>
      </c>
      <c r="K294" s="747">
        <v>3931</v>
      </c>
      <c r="L294" s="747">
        <v>4008</v>
      </c>
      <c r="M294" s="747">
        <v>4101</v>
      </c>
      <c r="N294" s="747">
        <v>4228</v>
      </c>
      <c r="O294" s="747">
        <v>4268</v>
      </c>
      <c r="P294" s="747">
        <v>4299</v>
      </c>
      <c r="Q294" s="747">
        <v>4388</v>
      </c>
      <c r="R294" s="747">
        <v>4409</v>
      </c>
      <c r="S294" s="747">
        <v>4473</v>
      </c>
      <c r="T294" s="747">
        <v>4556</v>
      </c>
      <c r="U294" s="747">
        <v>4705</v>
      </c>
      <c r="V294" s="747">
        <v>4892</v>
      </c>
      <c r="W294" s="747">
        <v>4960</v>
      </c>
      <c r="X294" s="747">
        <v>4817</v>
      </c>
      <c r="Y294" s="747">
        <v>4683</v>
      </c>
      <c r="Z294" s="747">
        <v>4298</v>
      </c>
      <c r="AA294" s="747">
        <v>3952</v>
      </c>
      <c r="AC294" s="628">
        <f t="shared" si="43"/>
        <v>283</v>
      </c>
      <c r="AD294" s="627">
        <f t="shared" si="44"/>
        <v>78</v>
      </c>
      <c r="AE294" s="627">
        <f t="shared" si="40"/>
        <v>85</v>
      </c>
      <c r="AF294" s="627">
        <f t="shared" si="40"/>
        <v>120</v>
      </c>
      <c r="AG294" s="627">
        <f t="shared" si="40"/>
        <v>39</v>
      </c>
      <c r="AH294" s="627">
        <f t="shared" si="40"/>
        <v>18</v>
      </c>
      <c r="AI294" s="627">
        <f t="shared" si="40"/>
        <v>12</v>
      </c>
      <c r="AJ294" s="627">
        <f t="shared" si="40"/>
        <v>158</v>
      </c>
      <c r="AK294" s="627">
        <f t="shared" si="40"/>
        <v>56</v>
      </c>
      <c r="AL294" s="627">
        <f t="shared" si="40"/>
        <v>77</v>
      </c>
      <c r="AM294" s="627">
        <f t="shared" si="40"/>
        <v>93</v>
      </c>
      <c r="AN294" s="627">
        <f t="shared" si="40"/>
        <v>127</v>
      </c>
      <c r="AO294" s="627">
        <f t="shared" si="40"/>
        <v>40</v>
      </c>
      <c r="AP294" s="627">
        <f t="shared" si="40"/>
        <v>31</v>
      </c>
      <c r="AQ294" s="627">
        <f t="shared" si="40"/>
        <v>89</v>
      </c>
      <c r="AR294" s="627">
        <f t="shared" si="40"/>
        <v>21</v>
      </c>
      <c r="AS294" s="627">
        <f t="shared" si="45"/>
        <v>64</v>
      </c>
      <c r="AT294" s="627">
        <f t="shared" si="45"/>
        <v>83</v>
      </c>
      <c r="AU294" s="627">
        <f t="shared" si="41"/>
        <v>149</v>
      </c>
      <c r="AV294" s="627">
        <f t="shared" si="41"/>
        <v>187</v>
      </c>
      <c r="AW294" s="627">
        <f t="shared" si="41"/>
        <v>68</v>
      </c>
      <c r="AX294" s="627">
        <f t="shared" si="41"/>
        <v>143</v>
      </c>
      <c r="AY294" s="627">
        <f t="shared" si="41"/>
        <v>134</v>
      </c>
      <c r="AZ294" s="627">
        <f t="shared" si="41"/>
        <v>385</v>
      </c>
      <c r="BA294" s="627">
        <f t="shared" si="41"/>
        <v>346</v>
      </c>
    </row>
    <row r="295" spans="1:53">
      <c r="A295" s="105">
        <f t="shared" si="42"/>
        <v>284</v>
      </c>
      <c r="B295" s="745">
        <v>42653</v>
      </c>
      <c r="C295" s="746" t="s">
        <v>1772</v>
      </c>
      <c r="D295" s="747">
        <v>3837</v>
      </c>
      <c r="E295" s="747">
        <v>3766</v>
      </c>
      <c r="F295" s="747">
        <v>3724</v>
      </c>
      <c r="G295" s="747">
        <v>3725</v>
      </c>
      <c r="H295" s="747">
        <v>3782</v>
      </c>
      <c r="I295" s="747">
        <v>4008</v>
      </c>
      <c r="J295" s="747">
        <v>4456</v>
      </c>
      <c r="K295" s="747">
        <v>4713</v>
      </c>
      <c r="L295" s="747">
        <v>4692</v>
      </c>
      <c r="M295" s="747">
        <v>4785</v>
      </c>
      <c r="N295" s="747">
        <v>4883</v>
      </c>
      <c r="O295" s="747">
        <v>4935</v>
      </c>
      <c r="P295" s="747">
        <v>5019</v>
      </c>
      <c r="Q295" s="747">
        <v>5084</v>
      </c>
      <c r="R295" s="747">
        <v>5165</v>
      </c>
      <c r="S295" s="747">
        <v>5245</v>
      </c>
      <c r="T295" s="747">
        <v>5298</v>
      </c>
      <c r="U295" s="747">
        <v>5317</v>
      </c>
      <c r="V295" s="747">
        <v>5436</v>
      </c>
      <c r="W295" s="747">
        <v>5459</v>
      </c>
      <c r="X295" s="747">
        <v>5230</v>
      </c>
      <c r="Y295" s="747">
        <v>4857</v>
      </c>
      <c r="Z295" s="747">
        <v>4458</v>
      </c>
      <c r="AA295" s="747">
        <v>4221</v>
      </c>
      <c r="AC295" s="628">
        <f t="shared" si="43"/>
        <v>284</v>
      </c>
      <c r="AD295" s="627">
        <f t="shared" si="44"/>
        <v>115</v>
      </c>
      <c r="AE295" s="627">
        <f t="shared" si="40"/>
        <v>71</v>
      </c>
      <c r="AF295" s="627">
        <f t="shared" si="40"/>
        <v>42</v>
      </c>
      <c r="AG295" s="627">
        <f t="shared" si="40"/>
        <v>1</v>
      </c>
      <c r="AH295" s="627">
        <f t="shared" si="40"/>
        <v>57</v>
      </c>
      <c r="AI295" s="627">
        <f t="shared" si="40"/>
        <v>226</v>
      </c>
      <c r="AJ295" s="627">
        <f t="shared" si="40"/>
        <v>448</v>
      </c>
      <c r="AK295" s="627">
        <f t="shared" si="40"/>
        <v>257</v>
      </c>
      <c r="AL295" s="627">
        <f t="shared" si="40"/>
        <v>21</v>
      </c>
      <c r="AM295" s="627">
        <f t="shared" si="40"/>
        <v>93</v>
      </c>
      <c r="AN295" s="627">
        <f t="shared" si="40"/>
        <v>98</v>
      </c>
      <c r="AO295" s="627">
        <f t="shared" si="40"/>
        <v>52</v>
      </c>
      <c r="AP295" s="627">
        <f t="shared" si="40"/>
        <v>84</v>
      </c>
      <c r="AQ295" s="627">
        <f t="shared" si="40"/>
        <v>65</v>
      </c>
      <c r="AR295" s="627">
        <f t="shared" si="40"/>
        <v>81</v>
      </c>
      <c r="AS295" s="627">
        <f t="shared" si="45"/>
        <v>80</v>
      </c>
      <c r="AT295" s="627">
        <f t="shared" si="45"/>
        <v>53</v>
      </c>
      <c r="AU295" s="627">
        <f t="shared" si="41"/>
        <v>19</v>
      </c>
      <c r="AV295" s="627">
        <f t="shared" si="41"/>
        <v>119</v>
      </c>
      <c r="AW295" s="627">
        <f t="shared" si="41"/>
        <v>23</v>
      </c>
      <c r="AX295" s="627">
        <f t="shared" si="41"/>
        <v>229</v>
      </c>
      <c r="AY295" s="627">
        <f t="shared" si="41"/>
        <v>373</v>
      </c>
      <c r="AZ295" s="627">
        <f t="shared" si="41"/>
        <v>399</v>
      </c>
      <c r="BA295" s="627">
        <f t="shared" si="41"/>
        <v>237</v>
      </c>
    </row>
    <row r="296" spans="1:53">
      <c r="A296" s="105">
        <f t="shared" si="42"/>
        <v>285</v>
      </c>
      <c r="B296" s="745">
        <v>42654</v>
      </c>
      <c r="C296" s="746" t="s">
        <v>1772</v>
      </c>
      <c r="D296" s="747">
        <v>4108</v>
      </c>
      <c r="E296" s="747">
        <v>4001</v>
      </c>
      <c r="F296" s="747">
        <v>3925</v>
      </c>
      <c r="G296" s="747">
        <v>3922</v>
      </c>
      <c r="H296" s="747">
        <v>3992</v>
      </c>
      <c r="I296" s="747">
        <v>4173</v>
      </c>
      <c r="J296" s="747">
        <v>4665</v>
      </c>
      <c r="K296" s="747">
        <v>4879</v>
      </c>
      <c r="L296" s="747">
        <v>4853</v>
      </c>
      <c r="M296" s="747">
        <v>4888</v>
      </c>
      <c r="N296" s="747">
        <v>4986</v>
      </c>
      <c r="O296" s="747">
        <v>5062</v>
      </c>
      <c r="P296" s="747">
        <v>5135</v>
      </c>
      <c r="Q296" s="747">
        <v>5197</v>
      </c>
      <c r="R296" s="747">
        <v>5205</v>
      </c>
      <c r="S296" s="747">
        <v>5255</v>
      </c>
      <c r="T296" s="747">
        <v>5271</v>
      </c>
      <c r="U296" s="747">
        <v>5288</v>
      </c>
      <c r="V296" s="747">
        <v>5389</v>
      </c>
      <c r="W296" s="747">
        <v>5409</v>
      </c>
      <c r="X296" s="747">
        <v>5192</v>
      </c>
      <c r="Y296" s="747">
        <v>4834</v>
      </c>
      <c r="Z296" s="747">
        <v>4415</v>
      </c>
      <c r="AA296" s="747">
        <v>4066</v>
      </c>
      <c r="AC296" s="628">
        <f t="shared" si="43"/>
        <v>285</v>
      </c>
      <c r="AD296" s="627">
        <f t="shared" si="44"/>
        <v>113</v>
      </c>
      <c r="AE296" s="627">
        <f t="shared" si="40"/>
        <v>107</v>
      </c>
      <c r="AF296" s="627">
        <f t="shared" si="40"/>
        <v>76</v>
      </c>
      <c r="AG296" s="627">
        <f t="shared" si="40"/>
        <v>3</v>
      </c>
      <c r="AH296" s="627">
        <f t="shared" si="40"/>
        <v>70</v>
      </c>
      <c r="AI296" s="627">
        <f t="shared" si="40"/>
        <v>181</v>
      </c>
      <c r="AJ296" s="627">
        <f t="shared" si="40"/>
        <v>492</v>
      </c>
      <c r="AK296" s="627">
        <f t="shared" si="40"/>
        <v>214</v>
      </c>
      <c r="AL296" s="627">
        <f t="shared" si="40"/>
        <v>26</v>
      </c>
      <c r="AM296" s="627">
        <f t="shared" si="40"/>
        <v>35</v>
      </c>
      <c r="AN296" s="627">
        <f t="shared" si="40"/>
        <v>98</v>
      </c>
      <c r="AO296" s="627">
        <f t="shared" si="40"/>
        <v>76</v>
      </c>
      <c r="AP296" s="627">
        <f t="shared" si="40"/>
        <v>73</v>
      </c>
      <c r="AQ296" s="627">
        <f t="shared" si="40"/>
        <v>62</v>
      </c>
      <c r="AR296" s="627">
        <f t="shared" si="40"/>
        <v>8</v>
      </c>
      <c r="AS296" s="627">
        <f t="shared" si="45"/>
        <v>50</v>
      </c>
      <c r="AT296" s="627">
        <f t="shared" si="45"/>
        <v>16</v>
      </c>
      <c r="AU296" s="627">
        <f t="shared" si="41"/>
        <v>17</v>
      </c>
      <c r="AV296" s="627">
        <f t="shared" si="41"/>
        <v>101</v>
      </c>
      <c r="AW296" s="627">
        <f t="shared" si="41"/>
        <v>20</v>
      </c>
      <c r="AX296" s="627">
        <f t="shared" si="41"/>
        <v>217</v>
      </c>
      <c r="AY296" s="627">
        <f t="shared" si="41"/>
        <v>358</v>
      </c>
      <c r="AZ296" s="627">
        <f t="shared" si="41"/>
        <v>419</v>
      </c>
      <c r="BA296" s="627">
        <f t="shared" si="41"/>
        <v>349</v>
      </c>
    </row>
    <row r="297" spans="1:53">
      <c r="A297" s="105">
        <f t="shared" si="42"/>
        <v>286</v>
      </c>
      <c r="B297" s="745">
        <v>42655</v>
      </c>
      <c r="C297" s="746" t="s">
        <v>1772</v>
      </c>
      <c r="D297" s="747">
        <v>3972</v>
      </c>
      <c r="E297" s="747">
        <v>3944</v>
      </c>
      <c r="F297" s="747">
        <v>3882</v>
      </c>
      <c r="G297" s="747">
        <v>3772</v>
      </c>
      <c r="H297" s="747">
        <v>3860</v>
      </c>
      <c r="I297" s="747">
        <v>4099</v>
      </c>
      <c r="J297" s="747">
        <v>4540</v>
      </c>
      <c r="K297" s="747">
        <v>4836</v>
      </c>
      <c r="L297" s="747">
        <v>4924</v>
      </c>
      <c r="M297" s="747">
        <v>4977</v>
      </c>
      <c r="N297" s="747">
        <v>4949</v>
      </c>
      <c r="O297" s="747">
        <v>4980</v>
      </c>
      <c r="P297" s="747">
        <v>4959</v>
      </c>
      <c r="Q297" s="747">
        <v>4956</v>
      </c>
      <c r="R297" s="747">
        <v>4917</v>
      </c>
      <c r="S297" s="747">
        <v>4884</v>
      </c>
      <c r="T297" s="747">
        <v>4926</v>
      </c>
      <c r="U297" s="747">
        <v>5001</v>
      </c>
      <c r="V297" s="747">
        <v>5190</v>
      </c>
      <c r="W297" s="747">
        <v>5286</v>
      </c>
      <c r="X297" s="747">
        <v>5154</v>
      </c>
      <c r="Y297" s="747">
        <v>4808</v>
      </c>
      <c r="Z297" s="747">
        <v>4516</v>
      </c>
      <c r="AA297" s="747">
        <v>4347</v>
      </c>
      <c r="AC297" s="628">
        <f t="shared" si="43"/>
        <v>286</v>
      </c>
      <c r="AD297" s="627">
        <f t="shared" si="44"/>
        <v>94</v>
      </c>
      <c r="AE297" s="627">
        <f t="shared" si="40"/>
        <v>28</v>
      </c>
      <c r="AF297" s="627">
        <f t="shared" si="40"/>
        <v>62</v>
      </c>
      <c r="AG297" s="627">
        <f t="shared" si="40"/>
        <v>110</v>
      </c>
      <c r="AH297" s="627">
        <f t="shared" si="40"/>
        <v>88</v>
      </c>
      <c r="AI297" s="627">
        <f t="shared" si="40"/>
        <v>239</v>
      </c>
      <c r="AJ297" s="627">
        <f t="shared" si="40"/>
        <v>441</v>
      </c>
      <c r="AK297" s="627">
        <f t="shared" si="40"/>
        <v>296</v>
      </c>
      <c r="AL297" s="627">
        <f t="shared" si="40"/>
        <v>88</v>
      </c>
      <c r="AM297" s="627">
        <f t="shared" si="40"/>
        <v>53</v>
      </c>
      <c r="AN297" s="627">
        <f t="shared" si="40"/>
        <v>28</v>
      </c>
      <c r="AO297" s="627">
        <f t="shared" si="40"/>
        <v>31</v>
      </c>
      <c r="AP297" s="627">
        <f t="shared" si="40"/>
        <v>21</v>
      </c>
      <c r="AQ297" s="627">
        <f t="shared" si="40"/>
        <v>3</v>
      </c>
      <c r="AR297" s="627">
        <f t="shared" si="40"/>
        <v>39</v>
      </c>
      <c r="AS297" s="627">
        <f t="shared" si="45"/>
        <v>33</v>
      </c>
      <c r="AT297" s="627">
        <f t="shared" si="45"/>
        <v>42</v>
      </c>
      <c r="AU297" s="627">
        <f t="shared" si="41"/>
        <v>75</v>
      </c>
      <c r="AV297" s="627">
        <f t="shared" si="41"/>
        <v>189</v>
      </c>
      <c r="AW297" s="627">
        <f t="shared" si="41"/>
        <v>96</v>
      </c>
      <c r="AX297" s="627">
        <f t="shared" si="41"/>
        <v>132</v>
      </c>
      <c r="AY297" s="627">
        <f t="shared" si="41"/>
        <v>346</v>
      </c>
      <c r="AZ297" s="627">
        <f t="shared" si="41"/>
        <v>292</v>
      </c>
      <c r="BA297" s="627">
        <f t="shared" si="41"/>
        <v>169</v>
      </c>
    </row>
    <row r="298" spans="1:53">
      <c r="A298" s="105">
        <f t="shared" si="42"/>
        <v>287</v>
      </c>
      <c r="B298" s="745">
        <v>42656</v>
      </c>
      <c r="C298" s="746" t="s">
        <v>1772</v>
      </c>
      <c r="D298" s="747">
        <v>4157</v>
      </c>
      <c r="E298" s="747">
        <v>4047</v>
      </c>
      <c r="F298" s="747">
        <v>3995</v>
      </c>
      <c r="G298" s="747">
        <v>4001</v>
      </c>
      <c r="H298" s="747">
        <v>3985</v>
      </c>
      <c r="I298" s="747">
        <v>4247</v>
      </c>
      <c r="J298" s="747">
        <v>4749</v>
      </c>
      <c r="K298" s="747">
        <v>4859</v>
      </c>
      <c r="L298" s="747">
        <v>4855</v>
      </c>
      <c r="M298" s="747">
        <v>4841</v>
      </c>
      <c r="N298" s="747">
        <v>4838</v>
      </c>
      <c r="O298" s="747">
        <v>4851</v>
      </c>
      <c r="P298" s="747">
        <v>4866</v>
      </c>
      <c r="Q298" s="747">
        <v>4948</v>
      </c>
      <c r="R298" s="747">
        <v>4952</v>
      </c>
      <c r="S298" s="747">
        <v>5000</v>
      </c>
      <c r="T298" s="747">
        <v>5125</v>
      </c>
      <c r="U298" s="747">
        <v>5185</v>
      </c>
      <c r="V298" s="747">
        <v>5239</v>
      </c>
      <c r="W298" s="747">
        <v>5260</v>
      </c>
      <c r="X298" s="747">
        <v>5071</v>
      </c>
      <c r="Y298" s="747">
        <v>4700</v>
      </c>
      <c r="Z298" s="747">
        <v>4347</v>
      </c>
      <c r="AA298" s="747">
        <v>4089</v>
      </c>
      <c r="AC298" s="628">
        <f t="shared" si="43"/>
        <v>287</v>
      </c>
      <c r="AD298" s="627">
        <f t="shared" si="44"/>
        <v>190</v>
      </c>
      <c r="AE298" s="627">
        <f t="shared" si="40"/>
        <v>110</v>
      </c>
      <c r="AF298" s="627">
        <f t="shared" si="40"/>
        <v>52</v>
      </c>
      <c r="AG298" s="627">
        <f t="shared" si="40"/>
        <v>6</v>
      </c>
      <c r="AH298" s="627">
        <f t="shared" si="40"/>
        <v>16</v>
      </c>
      <c r="AI298" s="627">
        <f t="shared" si="40"/>
        <v>262</v>
      </c>
      <c r="AJ298" s="627">
        <f t="shared" si="40"/>
        <v>502</v>
      </c>
      <c r="AK298" s="627">
        <f t="shared" si="40"/>
        <v>110</v>
      </c>
      <c r="AL298" s="627">
        <f t="shared" si="40"/>
        <v>4</v>
      </c>
      <c r="AM298" s="627">
        <f t="shared" si="40"/>
        <v>14</v>
      </c>
      <c r="AN298" s="627">
        <f t="shared" si="40"/>
        <v>3</v>
      </c>
      <c r="AO298" s="627">
        <f t="shared" si="40"/>
        <v>13</v>
      </c>
      <c r="AP298" s="627">
        <f t="shared" si="40"/>
        <v>15</v>
      </c>
      <c r="AQ298" s="627">
        <f t="shared" si="40"/>
        <v>82</v>
      </c>
      <c r="AR298" s="627">
        <f t="shared" si="40"/>
        <v>4</v>
      </c>
      <c r="AS298" s="627">
        <f t="shared" si="45"/>
        <v>48</v>
      </c>
      <c r="AT298" s="627">
        <f t="shared" si="45"/>
        <v>125</v>
      </c>
      <c r="AU298" s="627">
        <f t="shared" si="41"/>
        <v>60</v>
      </c>
      <c r="AV298" s="627">
        <f t="shared" si="41"/>
        <v>54</v>
      </c>
      <c r="AW298" s="627">
        <f t="shared" si="41"/>
        <v>21</v>
      </c>
      <c r="AX298" s="627">
        <f t="shared" si="41"/>
        <v>189</v>
      </c>
      <c r="AY298" s="627">
        <f t="shared" si="41"/>
        <v>371</v>
      </c>
      <c r="AZ298" s="627">
        <f t="shared" si="41"/>
        <v>353</v>
      </c>
      <c r="BA298" s="627">
        <f t="shared" si="41"/>
        <v>258</v>
      </c>
    </row>
    <row r="299" spans="1:53">
      <c r="A299" s="105">
        <f t="shared" si="42"/>
        <v>288</v>
      </c>
      <c r="B299" s="745">
        <v>42657</v>
      </c>
      <c r="C299" s="746" t="s">
        <v>1772</v>
      </c>
      <c r="D299" s="747">
        <v>4037</v>
      </c>
      <c r="E299" s="747">
        <v>3909</v>
      </c>
      <c r="F299" s="747">
        <v>3850</v>
      </c>
      <c r="G299" s="747">
        <v>3720</v>
      </c>
      <c r="H299" s="747">
        <v>3830</v>
      </c>
      <c r="I299" s="747">
        <v>4057</v>
      </c>
      <c r="J299" s="747">
        <v>4410</v>
      </c>
      <c r="K299" s="747">
        <v>4601</v>
      </c>
      <c r="L299" s="747">
        <v>4668</v>
      </c>
      <c r="M299" s="747">
        <v>4787</v>
      </c>
      <c r="N299" s="747">
        <v>4876</v>
      </c>
      <c r="O299" s="747">
        <v>4969</v>
      </c>
      <c r="P299" s="747">
        <v>4905</v>
      </c>
      <c r="Q299" s="747">
        <v>4949</v>
      </c>
      <c r="R299" s="747">
        <v>4995</v>
      </c>
      <c r="S299" s="747">
        <v>4982</v>
      </c>
      <c r="T299" s="747">
        <v>5093</v>
      </c>
      <c r="U299" s="747">
        <v>5078</v>
      </c>
      <c r="V299" s="747">
        <v>5096</v>
      </c>
      <c r="W299" s="747">
        <v>5135</v>
      </c>
      <c r="X299" s="747">
        <v>4961</v>
      </c>
      <c r="Y299" s="747">
        <v>4710</v>
      </c>
      <c r="Z299" s="747">
        <v>4390</v>
      </c>
      <c r="AA299" s="747">
        <v>4123</v>
      </c>
      <c r="AC299" s="628">
        <f t="shared" si="43"/>
        <v>288</v>
      </c>
      <c r="AD299" s="627">
        <f t="shared" si="44"/>
        <v>52</v>
      </c>
      <c r="AE299" s="627">
        <f t="shared" si="40"/>
        <v>128</v>
      </c>
      <c r="AF299" s="627">
        <f t="shared" si="40"/>
        <v>59</v>
      </c>
      <c r="AG299" s="627">
        <f t="shared" si="40"/>
        <v>130</v>
      </c>
      <c r="AH299" s="627">
        <f t="shared" si="40"/>
        <v>110</v>
      </c>
      <c r="AI299" s="627">
        <f t="shared" si="40"/>
        <v>227</v>
      </c>
      <c r="AJ299" s="627">
        <f t="shared" si="40"/>
        <v>353</v>
      </c>
      <c r="AK299" s="627">
        <f t="shared" si="40"/>
        <v>191</v>
      </c>
      <c r="AL299" s="627">
        <f t="shared" si="40"/>
        <v>67</v>
      </c>
      <c r="AM299" s="627">
        <f t="shared" ref="AM299:AW323" si="46">ABS(M299-L299)</f>
        <v>119</v>
      </c>
      <c r="AN299" s="627">
        <f t="shared" si="46"/>
        <v>89</v>
      </c>
      <c r="AO299" s="627">
        <f t="shared" si="46"/>
        <v>93</v>
      </c>
      <c r="AP299" s="627">
        <f t="shared" si="46"/>
        <v>64</v>
      </c>
      <c r="AQ299" s="627">
        <f t="shared" si="46"/>
        <v>44</v>
      </c>
      <c r="AR299" s="627">
        <f t="shared" si="46"/>
        <v>46</v>
      </c>
      <c r="AS299" s="627">
        <f t="shared" si="45"/>
        <v>13</v>
      </c>
      <c r="AT299" s="627">
        <f t="shared" si="45"/>
        <v>111</v>
      </c>
      <c r="AU299" s="627">
        <f t="shared" si="41"/>
        <v>15</v>
      </c>
      <c r="AV299" s="627">
        <f t="shared" si="41"/>
        <v>18</v>
      </c>
      <c r="AW299" s="627">
        <f t="shared" si="41"/>
        <v>39</v>
      </c>
      <c r="AX299" s="627">
        <f t="shared" si="41"/>
        <v>174</v>
      </c>
      <c r="AY299" s="627">
        <f t="shared" si="41"/>
        <v>251</v>
      </c>
      <c r="AZ299" s="627">
        <f t="shared" si="41"/>
        <v>320</v>
      </c>
      <c r="BA299" s="627">
        <f t="shared" si="41"/>
        <v>267</v>
      </c>
    </row>
    <row r="300" spans="1:53">
      <c r="A300" s="105">
        <f t="shared" si="42"/>
        <v>289</v>
      </c>
      <c r="B300" s="745">
        <v>42658</v>
      </c>
      <c r="C300" s="746" t="s">
        <v>1772</v>
      </c>
      <c r="D300" s="747">
        <v>4034</v>
      </c>
      <c r="E300" s="747">
        <v>3912</v>
      </c>
      <c r="F300" s="747">
        <v>3837</v>
      </c>
      <c r="G300" s="747">
        <v>3804</v>
      </c>
      <c r="H300" s="747">
        <v>3752</v>
      </c>
      <c r="I300" s="747">
        <v>3735</v>
      </c>
      <c r="J300" s="747">
        <v>3994</v>
      </c>
      <c r="K300" s="747">
        <v>4085</v>
      </c>
      <c r="L300" s="747">
        <v>4219</v>
      </c>
      <c r="M300" s="747">
        <v>4345</v>
      </c>
      <c r="N300" s="747">
        <v>4478</v>
      </c>
      <c r="O300" s="747">
        <v>4571</v>
      </c>
      <c r="P300" s="747">
        <v>4675</v>
      </c>
      <c r="Q300" s="747">
        <v>4748</v>
      </c>
      <c r="R300" s="747">
        <v>4799</v>
      </c>
      <c r="S300" s="747">
        <v>4931</v>
      </c>
      <c r="T300" s="747">
        <v>5060</v>
      </c>
      <c r="U300" s="747">
        <v>5080</v>
      </c>
      <c r="V300" s="747">
        <v>5153</v>
      </c>
      <c r="W300" s="747">
        <v>5120</v>
      </c>
      <c r="X300" s="747">
        <v>4945</v>
      </c>
      <c r="Y300" s="747">
        <v>4802</v>
      </c>
      <c r="Z300" s="747">
        <v>4496</v>
      </c>
      <c r="AA300" s="747">
        <v>4283</v>
      </c>
      <c r="AC300" s="628">
        <f t="shared" si="43"/>
        <v>289</v>
      </c>
      <c r="AD300" s="627">
        <f t="shared" si="44"/>
        <v>89</v>
      </c>
      <c r="AE300" s="627">
        <f t="shared" ref="AE300:AT328" si="47">ABS(E300-D300)</f>
        <v>122</v>
      </c>
      <c r="AF300" s="627">
        <f t="shared" si="47"/>
        <v>75</v>
      </c>
      <c r="AG300" s="627">
        <f t="shared" si="47"/>
        <v>33</v>
      </c>
      <c r="AH300" s="627">
        <f t="shared" si="47"/>
        <v>52</v>
      </c>
      <c r="AI300" s="627">
        <f t="shared" si="47"/>
        <v>17</v>
      </c>
      <c r="AJ300" s="627">
        <f t="shared" si="47"/>
        <v>259</v>
      </c>
      <c r="AK300" s="627">
        <f t="shared" si="47"/>
        <v>91</v>
      </c>
      <c r="AL300" s="627">
        <f t="shared" si="47"/>
        <v>134</v>
      </c>
      <c r="AM300" s="627">
        <f t="shared" si="46"/>
        <v>126</v>
      </c>
      <c r="AN300" s="627">
        <f t="shared" si="46"/>
        <v>133</v>
      </c>
      <c r="AO300" s="627">
        <f t="shared" si="46"/>
        <v>93</v>
      </c>
      <c r="AP300" s="627">
        <f t="shared" si="46"/>
        <v>104</v>
      </c>
      <c r="AQ300" s="627">
        <f t="shared" si="46"/>
        <v>73</v>
      </c>
      <c r="AR300" s="627">
        <f t="shared" si="46"/>
        <v>51</v>
      </c>
      <c r="AS300" s="627">
        <f t="shared" si="45"/>
        <v>132</v>
      </c>
      <c r="AT300" s="627">
        <f t="shared" si="45"/>
        <v>129</v>
      </c>
      <c r="AU300" s="627">
        <f t="shared" si="41"/>
        <v>20</v>
      </c>
      <c r="AV300" s="627">
        <f t="shared" si="41"/>
        <v>73</v>
      </c>
      <c r="AW300" s="627">
        <f t="shared" si="41"/>
        <v>33</v>
      </c>
      <c r="AX300" s="627">
        <f t="shared" si="41"/>
        <v>175</v>
      </c>
      <c r="AY300" s="627">
        <f t="shared" si="41"/>
        <v>143</v>
      </c>
      <c r="AZ300" s="627">
        <f t="shared" si="41"/>
        <v>306</v>
      </c>
      <c r="BA300" s="627">
        <f t="shared" si="41"/>
        <v>213</v>
      </c>
    </row>
    <row r="301" spans="1:53">
      <c r="A301" s="105">
        <f t="shared" si="42"/>
        <v>290</v>
      </c>
      <c r="B301" s="745">
        <v>42659</v>
      </c>
      <c r="C301" s="746" t="s">
        <v>1772</v>
      </c>
      <c r="D301" s="747">
        <v>4025</v>
      </c>
      <c r="E301" s="747">
        <v>3804</v>
      </c>
      <c r="F301" s="747">
        <v>3688</v>
      </c>
      <c r="G301" s="747">
        <v>3543</v>
      </c>
      <c r="H301" s="747">
        <v>3556</v>
      </c>
      <c r="I301" s="747">
        <v>3593</v>
      </c>
      <c r="J301" s="747">
        <v>3668</v>
      </c>
      <c r="K301" s="747">
        <v>3779</v>
      </c>
      <c r="L301" s="747">
        <v>3935</v>
      </c>
      <c r="M301" s="747">
        <v>4107</v>
      </c>
      <c r="N301" s="747">
        <v>4315</v>
      </c>
      <c r="O301" s="747">
        <v>4433</v>
      </c>
      <c r="P301" s="747">
        <v>4557</v>
      </c>
      <c r="Q301" s="747">
        <v>4671</v>
      </c>
      <c r="R301" s="747">
        <v>4816</v>
      </c>
      <c r="S301" s="747">
        <v>4980</v>
      </c>
      <c r="T301" s="747">
        <v>5186</v>
      </c>
      <c r="U301" s="747">
        <v>5297</v>
      </c>
      <c r="V301" s="747">
        <v>5372</v>
      </c>
      <c r="W301" s="747">
        <v>5308</v>
      </c>
      <c r="X301" s="747">
        <v>5001</v>
      </c>
      <c r="Y301" s="747">
        <v>4666</v>
      </c>
      <c r="Z301" s="747">
        <v>4232</v>
      </c>
      <c r="AA301" s="747">
        <v>3936</v>
      </c>
      <c r="AC301" s="628">
        <f t="shared" si="43"/>
        <v>290</v>
      </c>
      <c r="AD301" s="627">
        <f t="shared" si="44"/>
        <v>258</v>
      </c>
      <c r="AE301" s="627">
        <f t="shared" si="47"/>
        <v>221</v>
      </c>
      <c r="AF301" s="627">
        <f t="shared" si="47"/>
        <v>116</v>
      </c>
      <c r="AG301" s="627">
        <f t="shared" si="47"/>
        <v>145</v>
      </c>
      <c r="AH301" s="627">
        <f t="shared" si="47"/>
        <v>13</v>
      </c>
      <c r="AI301" s="627">
        <f t="shared" si="47"/>
        <v>37</v>
      </c>
      <c r="AJ301" s="627">
        <f t="shared" si="47"/>
        <v>75</v>
      </c>
      <c r="AK301" s="627">
        <f t="shared" si="47"/>
        <v>111</v>
      </c>
      <c r="AL301" s="627">
        <f t="shared" si="47"/>
        <v>156</v>
      </c>
      <c r="AM301" s="627">
        <f t="shared" si="46"/>
        <v>172</v>
      </c>
      <c r="AN301" s="627">
        <f t="shared" si="46"/>
        <v>208</v>
      </c>
      <c r="AO301" s="627">
        <f t="shared" si="46"/>
        <v>118</v>
      </c>
      <c r="AP301" s="627">
        <f t="shared" si="46"/>
        <v>124</v>
      </c>
      <c r="AQ301" s="627">
        <f t="shared" si="46"/>
        <v>114</v>
      </c>
      <c r="AR301" s="627">
        <f t="shared" si="46"/>
        <v>145</v>
      </c>
      <c r="AS301" s="627">
        <f t="shared" si="45"/>
        <v>164</v>
      </c>
      <c r="AT301" s="627">
        <f t="shared" si="45"/>
        <v>206</v>
      </c>
      <c r="AU301" s="627">
        <f t="shared" si="41"/>
        <v>111</v>
      </c>
      <c r="AV301" s="627">
        <f t="shared" si="41"/>
        <v>75</v>
      </c>
      <c r="AW301" s="627">
        <f t="shared" si="41"/>
        <v>64</v>
      </c>
      <c r="AX301" s="627">
        <f t="shared" si="41"/>
        <v>307</v>
      </c>
      <c r="AY301" s="627">
        <f t="shared" si="41"/>
        <v>335</v>
      </c>
      <c r="AZ301" s="627">
        <f t="shared" si="41"/>
        <v>434</v>
      </c>
      <c r="BA301" s="627">
        <f t="shared" si="41"/>
        <v>296</v>
      </c>
    </row>
    <row r="302" spans="1:53">
      <c r="A302" s="105">
        <f t="shared" si="42"/>
        <v>291</v>
      </c>
      <c r="B302" s="745">
        <v>42660</v>
      </c>
      <c r="C302" s="746" t="s">
        <v>1772</v>
      </c>
      <c r="D302" s="747">
        <v>3891</v>
      </c>
      <c r="E302" s="747">
        <v>3775</v>
      </c>
      <c r="F302" s="747">
        <v>3718</v>
      </c>
      <c r="G302" s="747">
        <v>3712</v>
      </c>
      <c r="H302" s="747">
        <v>3718</v>
      </c>
      <c r="I302" s="747">
        <v>3962</v>
      </c>
      <c r="J302" s="747">
        <v>4442</v>
      </c>
      <c r="K302" s="747">
        <v>4588</v>
      </c>
      <c r="L302" s="747">
        <v>4603</v>
      </c>
      <c r="M302" s="747">
        <v>4634</v>
      </c>
      <c r="N302" s="747">
        <v>4723</v>
      </c>
      <c r="O302" s="747">
        <v>4847</v>
      </c>
      <c r="P302" s="747">
        <v>4918</v>
      </c>
      <c r="Q302" s="747">
        <v>4965</v>
      </c>
      <c r="R302" s="747">
        <v>4937</v>
      </c>
      <c r="S302" s="747">
        <v>4941</v>
      </c>
      <c r="T302" s="747">
        <v>4965</v>
      </c>
      <c r="U302" s="747">
        <v>5014</v>
      </c>
      <c r="V302" s="747">
        <v>5170</v>
      </c>
      <c r="W302" s="747">
        <v>5196</v>
      </c>
      <c r="X302" s="747">
        <v>5002</v>
      </c>
      <c r="Y302" s="747">
        <v>4693</v>
      </c>
      <c r="Z302" s="747">
        <v>4372</v>
      </c>
      <c r="AA302" s="747">
        <v>4083</v>
      </c>
      <c r="AC302" s="628">
        <f t="shared" si="43"/>
        <v>291</v>
      </c>
      <c r="AD302" s="627">
        <f t="shared" si="44"/>
        <v>45</v>
      </c>
      <c r="AE302" s="627">
        <f t="shared" si="47"/>
        <v>116</v>
      </c>
      <c r="AF302" s="627">
        <f t="shared" si="47"/>
        <v>57</v>
      </c>
      <c r="AG302" s="627">
        <f t="shared" si="47"/>
        <v>6</v>
      </c>
      <c r="AH302" s="627">
        <f t="shared" si="47"/>
        <v>6</v>
      </c>
      <c r="AI302" s="627">
        <f t="shared" si="47"/>
        <v>244</v>
      </c>
      <c r="AJ302" s="627">
        <f t="shared" si="47"/>
        <v>480</v>
      </c>
      <c r="AK302" s="627">
        <f t="shared" si="47"/>
        <v>146</v>
      </c>
      <c r="AL302" s="627">
        <f t="shared" si="47"/>
        <v>15</v>
      </c>
      <c r="AM302" s="627">
        <f t="shared" si="46"/>
        <v>31</v>
      </c>
      <c r="AN302" s="627">
        <f t="shared" si="46"/>
        <v>89</v>
      </c>
      <c r="AO302" s="627">
        <f t="shared" si="46"/>
        <v>124</v>
      </c>
      <c r="AP302" s="627">
        <f t="shared" si="46"/>
        <v>71</v>
      </c>
      <c r="AQ302" s="627">
        <f t="shared" si="46"/>
        <v>47</v>
      </c>
      <c r="AR302" s="627">
        <f t="shared" si="46"/>
        <v>28</v>
      </c>
      <c r="AS302" s="627">
        <f t="shared" si="45"/>
        <v>4</v>
      </c>
      <c r="AT302" s="627">
        <f t="shared" si="45"/>
        <v>24</v>
      </c>
      <c r="AU302" s="627">
        <f t="shared" si="41"/>
        <v>49</v>
      </c>
      <c r="AV302" s="627">
        <f t="shared" si="41"/>
        <v>156</v>
      </c>
      <c r="AW302" s="627">
        <f t="shared" si="41"/>
        <v>26</v>
      </c>
      <c r="AX302" s="627">
        <f t="shared" si="41"/>
        <v>194</v>
      </c>
      <c r="AY302" s="627">
        <f t="shared" si="41"/>
        <v>309</v>
      </c>
      <c r="AZ302" s="627">
        <f t="shared" si="41"/>
        <v>321</v>
      </c>
      <c r="BA302" s="627">
        <f t="shared" si="41"/>
        <v>289</v>
      </c>
    </row>
    <row r="303" spans="1:53">
      <c r="A303" s="105">
        <f t="shared" si="42"/>
        <v>292</v>
      </c>
      <c r="B303" s="745">
        <v>42661</v>
      </c>
      <c r="C303" s="746" t="s">
        <v>1772</v>
      </c>
      <c r="D303" s="747">
        <v>3933</v>
      </c>
      <c r="E303" s="747">
        <v>3842</v>
      </c>
      <c r="F303" s="747">
        <v>3786</v>
      </c>
      <c r="G303" s="747">
        <v>3736</v>
      </c>
      <c r="H303" s="747">
        <v>3771</v>
      </c>
      <c r="I303" s="747">
        <v>3992</v>
      </c>
      <c r="J303" s="747">
        <v>4494</v>
      </c>
      <c r="K303" s="747">
        <v>4738</v>
      </c>
      <c r="L303" s="747">
        <v>4726</v>
      </c>
      <c r="M303" s="747">
        <v>4727</v>
      </c>
      <c r="N303" s="747">
        <v>4727</v>
      </c>
      <c r="O303" s="747">
        <v>4758</v>
      </c>
      <c r="P303" s="747">
        <v>4748</v>
      </c>
      <c r="Q303" s="747">
        <v>4777</v>
      </c>
      <c r="R303" s="747">
        <v>4794</v>
      </c>
      <c r="S303" s="747">
        <v>4793</v>
      </c>
      <c r="T303" s="747">
        <v>4855</v>
      </c>
      <c r="U303" s="747">
        <v>4959</v>
      </c>
      <c r="V303" s="747">
        <v>5149</v>
      </c>
      <c r="W303" s="747">
        <v>5196</v>
      </c>
      <c r="X303" s="747">
        <v>5013</v>
      </c>
      <c r="Y303" s="747">
        <v>4800</v>
      </c>
      <c r="Z303" s="747">
        <v>4469</v>
      </c>
      <c r="AA303" s="747">
        <v>4213</v>
      </c>
      <c r="AC303" s="628">
        <f t="shared" si="43"/>
        <v>292</v>
      </c>
      <c r="AD303" s="627">
        <f t="shared" si="44"/>
        <v>150</v>
      </c>
      <c r="AE303" s="627">
        <f t="shared" si="47"/>
        <v>91</v>
      </c>
      <c r="AF303" s="627">
        <f t="shared" si="47"/>
        <v>56</v>
      </c>
      <c r="AG303" s="627">
        <f t="shared" si="47"/>
        <v>50</v>
      </c>
      <c r="AH303" s="627">
        <f t="shared" si="47"/>
        <v>35</v>
      </c>
      <c r="AI303" s="627">
        <f t="shared" si="47"/>
        <v>221</v>
      </c>
      <c r="AJ303" s="627">
        <f t="shared" si="47"/>
        <v>502</v>
      </c>
      <c r="AK303" s="627">
        <f t="shared" si="47"/>
        <v>244</v>
      </c>
      <c r="AL303" s="627">
        <f t="shared" si="47"/>
        <v>12</v>
      </c>
      <c r="AM303" s="627">
        <f t="shared" si="46"/>
        <v>1</v>
      </c>
      <c r="AN303" s="627">
        <f t="shared" si="46"/>
        <v>0</v>
      </c>
      <c r="AO303" s="627">
        <f t="shared" si="46"/>
        <v>31</v>
      </c>
      <c r="AP303" s="627">
        <f t="shared" si="46"/>
        <v>10</v>
      </c>
      <c r="AQ303" s="627">
        <f t="shared" si="46"/>
        <v>29</v>
      </c>
      <c r="AR303" s="627">
        <f t="shared" si="46"/>
        <v>17</v>
      </c>
      <c r="AS303" s="627">
        <f t="shared" si="46"/>
        <v>1</v>
      </c>
      <c r="AT303" s="627">
        <f t="shared" si="46"/>
        <v>62</v>
      </c>
      <c r="AU303" s="627">
        <f t="shared" si="46"/>
        <v>104</v>
      </c>
      <c r="AV303" s="627">
        <f t="shared" si="46"/>
        <v>190</v>
      </c>
      <c r="AW303" s="627">
        <f t="shared" si="46"/>
        <v>47</v>
      </c>
      <c r="AX303" s="627">
        <f t="shared" si="41"/>
        <v>183</v>
      </c>
      <c r="AY303" s="627">
        <f t="shared" si="41"/>
        <v>213</v>
      </c>
      <c r="AZ303" s="627">
        <f t="shared" si="41"/>
        <v>331</v>
      </c>
      <c r="BA303" s="627">
        <f t="shared" si="41"/>
        <v>256</v>
      </c>
    </row>
    <row r="304" spans="1:53">
      <c r="A304" s="105">
        <f t="shared" si="42"/>
        <v>293</v>
      </c>
      <c r="B304" s="745">
        <v>42662</v>
      </c>
      <c r="C304" s="746" t="s">
        <v>1772</v>
      </c>
      <c r="D304" s="747">
        <v>4019</v>
      </c>
      <c r="E304" s="747">
        <v>3909</v>
      </c>
      <c r="F304" s="747">
        <v>3858</v>
      </c>
      <c r="G304" s="747">
        <v>3780</v>
      </c>
      <c r="H304" s="747">
        <v>3891</v>
      </c>
      <c r="I304" s="747">
        <v>4109</v>
      </c>
      <c r="J304" s="747">
        <v>4539</v>
      </c>
      <c r="K304" s="747">
        <v>4792</v>
      </c>
      <c r="L304" s="747">
        <v>4778</v>
      </c>
      <c r="M304" s="747">
        <v>4758</v>
      </c>
      <c r="N304" s="747">
        <v>4753</v>
      </c>
      <c r="O304" s="747">
        <v>4741</v>
      </c>
      <c r="P304" s="747">
        <v>4757</v>
      </c>
      <c r="Q304" s="747">
        <v>4768</v>
      </c>
      <c r="R304" s="747">
        <v>4758</v>
      </c>
      <c r="S304" s="747">
        <v>4752</v>
      </c>
      <c r="T304" s="747">
        <v>4816</v>
      </c>
      <c r="U304" s="747">
        <v>4910</v>
      </c>
      <c r="V304" s="747">
        <v>5146</v>
      </c>
      <c r="W304" s="747">
        <v>5201</v>
      </c>
      <c r="X304" s="747">
        <v>5021</v>
      </c>
      <c r="Y304" s="747">
        <v>4800</v>
      </c>
      <c r="Z304" s="747">
        <v>4527</v>
      </c>
      <c r="AA304" s="747">
        <v>4227</v>
      </c>
      <c r="AC304" s="628">
        <f t="shared" si="43"/>
        <v>293</v>
      </c>
      <c r="AD304" s="627">
        <f t="shared" si="44"/>
        <v>194</v>
      </c>
      <c r="AE304" s="627">
        <f t="shared" si="47"/>
        <v>110</v>
      </c>
      <c r="AF304" s="627">
        <f t="shared" si="47"/>
        <v>51</v>
      </c>
      <c r="AG304" s="627">
        <f t="shared" si="47"/>
        <v>78</v>
      </c>
      <c r="AH304" s="627">
        <f t="shared" si="47"/>
        <v>111</v>
      </c>
      <c r="AI304" s="627">
        <f t="shared" si="47"/>
        <v>218</v>
      </c>
      <c r="AJ304" s="627">
        <f t="shared" si="47"/>
        <v>430</v>
      </c>
      <c r="AK304" s="627">
        <f t="shared" si="47"/>
        <v>253</v>
      </c>
      <c r="AL304" s="627">
        <f t="shared" si="47"/>
        <v>14</v>
      </c>
      <c r="AM304" s="627">
        <f t="shared" si="46"/>
        <v>20</v>
      </c>
      <c r="AN304" s="627">
        <f t="shared" si="46"/>
        <v>5</v>
      </c>
      <c r="AO304" s="627">
        <f t="shared" si="46"/>
        <v>12</v>
      </c>
      <c r="AP304" s="627">
        <f t="shared" si="46"/>
        <v>16</v>
      </c>
      <c r="AQ304" s="627">
        <f t="shared" si="46"/>
        <v>11</v>
      </c>
      <c r="AR304" s="627">
        <f t="shared" si="46"/>
        <v>10</v>
      </c>
      <c r="AS304" s="627">
        <f t="shared" si="46"/>
        <v>6</v>
      </c>
      <c r="AT304" s="627">
        <f t="shared" si="46"/>
        <v>64</v>
      </c>
      <c r="AU304" s="627">
        <f t="shared" si="46"/>
        <v>94</v>
      </c>
      <c r="AV304" s="627">
        <f t="shared" si="46"/>
        <v>236</v>
      </c>
      <c r="AW304" s="627">
        <f t="shared" si="46"/>
        <v>55</v>
      </c>
      <c r="AX304" s="627">
        <f t="shared" si="41"/>
        <v>180</v>
      </c>
      <c r="AY304" s="627">
        <f t="shared" si="41"/>
        <v>221</v>
      </c>
      <c r="AZ304" s="627">
        <f t="shared" ref="AX304:BA352" si="48">ABS(Z304-Y304)</f>
        <v>273</v>
      </c>
      <c r="BA304" s="627">
        <f t="shared" si="48"/>
        <v>300</v>
      </c>
    </row>
    <row r="305" spans="1:53">
      <c r="A305" s="105">
        <f t="shared" si="42"/>
        <v>294</v>
      </c>
      <c r="B305" s="745">
        <v>42663</v>
      </c>
      <c r="C305" s="746" t="s">
        <v>1772</v>
      </c>
      <c r="D305" s="747">
        <v>4084</v>
      </c>
      <c r="E305" s="747">
        <v>4011</v>
      </c>
      <c r="F305" s="747">
        <v>3980</v>
      </c>
      <c r="G305" s="747">
        <v>3922</v>
      </c>
      <c r="H305" s="747">
        <v>3996</v>
      </c>
      <c r="I305" s="747">
        <v>4234</v>
      </c>
      <c r="J305" s="747">
        <v>4747</v>
      </c>
      <c r="K305" s="747">
        <v>4947</v>
      </c>
      <c r="L305" s="747">
        <v>4888</v>
      </c>
      <c r="M305" s="747">
        <v>4832</v>
      </c>
      <c r="N305" s="747">
        <v>4766</v>
      </c>
      <c r="O305" s="747">
        <v>4701</v>
      </c>
      <c r="P305" s="747">
        <v>4652</v>
      </c>
      <c r="Q305" s="747">
        <v>4673</v>
      </c>
      <c r="R305" s="747">
        <v>4674</v>
      </c>
      <c r="S305" s="747">
        <v>4709</v>
      </c>
      <c r="T305" s="747">
        <v>4785</v>
      </c>
      <c r="U305" s="747">
        <v>4866</v>
      </c>
      <c r="V305" s="747">
        <v>5092</v>
      </c>
      <c r="W305" s="747">
        <v>5166</v>
      </c>
      <c r="X305" s="747">
        <v>5071</v>
      </c>
      <c r="Y305" s="747">
        <v>4768</v>
      </c>
      <c r="Z305" s="747">
        <v>4408</v>
      </c>
      <c r="AA305" s="747">
        <v>4177</v>
      </c>
      <c r="AC305" s="628">
        <f t="shared" si="43"/>
        <v>294</v>
      </c>
      <c r="AD305" s="627">
        <f t="shared" si="44"/>
        <v>143</v>
      </c>
      <c r="AE305" s="627">
        <f t="shared" si="47"/>
        <v>73</v>
      </c>
      <c r="AF305" s="627">
        <f t="shared" si="47"/>
        <v>31</v>
      </c>
      <c r="AG305" s="627">
        <f t="shared" si="47"/>
        <v>58</v>
      </c>
      <c r="AH305" s="627">
        <f t="shared" si="47"/>
        <v>74</v>
      </c>
      <c r="AI305" s="627">
        <f t="shared" si="47"/>
        <v>238</v>
      </c>
      <c r="AJ305" s="627">
        <f t="shared" si="47"/>
        <v>513</v>
      </c>
      <c r="AK305" s="627">
        <f t="shared" si="47"/>
        <v>200</v>
      </c>
      <c r="AL305" s="627">
        <f t="shared" si="47"/>
        <v>59</v>
      </c>
      <c r="AM305" s="627">
        <f t="shared" si="46"/>
        <v>56</v>
      </c>
      <c r="AN305" s="627">
        <f t="shared" si="46"/>
        <v>66</v>
      </c>
      <c r="AO305" s="627">
        <f t="shared" si="46"/>
        <v>65</v>
      </c>
      <c r="AP305" s="627">
        <f t="shared" si="46"/>
        <v>49</v>
      </c>
      <c r="AQ305" s="627">
        <f t="shared" si="46"/>
        <v>21</v>
      </c>
      <c r="AR305" s="627">
        <f t="shared" si="46"/>
        <v>1</v>
      </c>
      <c r="AS305" s="627">
        <f t="shared" si="46"/>
        <v>35</v>
      </c>
      <c r="AT305" s="627">
        <f t="shared" si="46"/>
        <v>76</v>
      </c>
      <c r="AU305" s="627">
        <f t="shared" si="46"/>
        <v>81</v>
      </c>
      <c r="AV305" s="627">
        <f t="shared" si="46"/>
        <v>226</v>
      </c>
      <c r="AW305" s="627">
        <f t="shared" si="46"/>
        <v>74</v>
      </c>
      <c r="AX305" s="627">
        <f t="shared" si="48"/>
        <v>95</v>
      </c>
      <c r="AY305" s="627">
        <f t="shared" si="48"/>
        <v>303</v>
      </c>
      <c r="AZ305" s="627">
        <f t="shared" si="48"/>
        <v>360</v>
      </c>
      <c r="BA305" s="627">
        <f t="shared" si="48"/>
        <v>231</v>
      </c>
    </row>
    <row r="306" spans="1:53">
      <c r="A306" s="105">
        <f t="shared" si="42"/>
        <v>295</v>
      </c>
      <c r="B306" s="745">
        <v>42664</v>
      </c>
      <c r="C306" s="746" t="s">
        <v>1772</v>
      </c>
      <c r="D306" s="747">
        <v>4096</v>
      </c>
      <c r="E306" s="747">
        <v>4002</v>
      </c>
      <c r="F306" s="747">
        <v>3964</v>
      </c>
      <c r="G306" s="747">
        <v>3863</v>
      </c>
      <c r="H306" s="747">
        <v>3818</v>
      </c>
      <c r="I306" s="747">
        <v>4127</v>
      </c>
      <c r="J306" s="747">
        <v>4636</v>
      </c>
      <c r="K306" s="747">
        <v>4851</v>
      </c>
      <c r="L306" s="747">
        <v>4904</v>
      </c>
      <c r="M306" s="747">
        <v>4870</v>
      </c>
      <c r="N306" s="747">
        <v>4816</v>
      </c>
      <c r="O306" s="747">
        <v>4851</v>
      </c>
      <c r="P306" s="747">
        <v>4826</v>
      </c>
      <c r="Q306" s="747">
        <v>4872</v>
      </c>
      <c r="R306" s="747">
        <v>4868</v>
      </c>
      <c r="S306" s="747">
        <v>4937</v>
      </c>
      <c r="T306" s="747">
        <v>4943</v>
      </c>
      <c r="U306" s="747">
        <v>4964</v>
      </c>
      <c r="V306" s="747">
        <v>5043</v>
      </c>
      <c r="W306" s="747">
        <v>5014</v>
      </c>
      <c r="X306" s="747">
        <v>4841</v>
      </c>
      <c r="Y306" s="747">
        <v>4611</v>
      </c>
      <c r="Z306" s="747">
        <v>4429</v>
      </c>
      <c r="AA306" s="747">
        <v>4215</v>
      </c>
      <c r="AC306" s="628">
        <f t="shared" si="43"/>
        <v>295</v>
      </c>
      <c r="AD306" s="627">
        <f t="shared" si="44"/>
        <v>81</v>
      </c>
      <c r="AE306" s="627">
        <f t="shared" si="47"/>
        <v>94</v>
      </c>
      <c r="AF306" s="627">
        <f t="shared" si="47"/>
        <v>38</v>
      </c>
      <c r="AG306" s="627">
        <f t="shared" si="47"/>
        <v>101</v>
      </c>
      <c r="AH306" s="627">
        <f t="shared" si="47"/>
        <v>45</v>
      </c>
      <c r="AI306" s="627">
        <f t="shared" si="47"/>
        <v>309</v>
      </c>
      <c r="AJ306" s="627">
        <f t="shared" si="47"/>
        <v>509</v>
      </c>
      <c r="AK306" s="627">
        <f t="shared" si="47"/>
        <v>215</v>
      </c>
      <c r="AL306" s="627">
        <f t="shared" si="47"/>
        <v>53</v>
      </c>
      <c r="AM306" s="627">
        <f t="shared" si="46"/>
        <v>34</v>
      </c>
      <c r="AN306" s="627">
        <f t="shared" si="46"/>
        <v>54</v>
      </c>
      <c r="AO306" s="627">
        <f t="shared" si="46"/>
        <v>35</v>
      </c>
      <c r="AP306" s="627">
        <f t="shared" si="46"/>
        <v>25</v>
      </c>
      <c r="AQ306" s="627">
        <f t="shared" si="46"/>
        <v>46</v>
      </c>
      <c r="AR306" s="627">
        <f t="shared" si="46"/>
        <v>4</v>
      </c>
      <c r="AS306" s="627">
        <f t="shared" si="46"/>
        <v>69</v>
      </c>
      <c r="AT306" s="627">
        <f t="shared" si="46"/>
        <v>6</v>
      </c>
      <c r="AU306" s="627">
        <f t="shared" si="46"/>
        <v>21</v>
      </c>
      <c r="AV306" s="627">
        <f t="shared" si="46"/>
        <v>79</v>
      </c>
      <c r="AW306" s="627">
        <f t="shared" si="46"/>
        <v>29</v>
      </c>
      <c r="AX306" s="627">
        <f t="shared" si="48"/>
        <v>173</v>
      </c>
      <c r="AY306" s="627">
        <f t="shared" si="48"/>
        <v>230</v>
      </c>
      <c r="AZ306" s="627">
        <f t="shared" si="48"/>
        <v>182</v>
      </c>
      <c r="BA306" s="627">
        <f t="shared" si="48"/>
        <v>214</v>
      </c>
    </row>
    <row r="307" spans="1:53">
      <c r="A307" s="105">
        <f t="shared" si="42"/>
        <v>296</v>
      </c>
      <c r="B307" s="745">
        <v>42665</v>
      </c>
      <c r="C307" s="746" t="s">
        <v>1772</v>
      </c>
      <c r="D307" s="747">
        <v>4000</v>
      </c>
      <c r="E307" s="747">
        <v>3877</v>
      </c>
      <c r="F307" s="747">
        <v>3817</v>
      </c>
      <c r="G307" s="747">
        <v>3717</v>
      </c>
      <c r="H307" s="747">
        <v>3723</v>
      </c>
      <c r="I307" s="747">
        <v>3835</v>
      </c>
      <c r="J307" s="747">
        <v>4001</v>
      </c>
      <c r="K307" s="747">
        <v>4133</v>
      </c>
      <c r="L307" s="747">
        <v>4249</v>
      </c>
      <c r="M307" s="747">
        <v>4329</v>
      </c>
      <c r="N307" s="747">
        <v>4382</v>
      </c>
      <c r="O307" s="747">
        <v>4435</v>
      </c>
      <c r="P307" s="747">
        <v>4476</v>
      </c>
      <c r="Q307" s="747">
        <v>4463</v>
      </c>
      <c r="R307" s="747">
        <v>4511</v>
      </c>
      <c r="S307" s="747">
        <v>4600</v>
      </c>
      <c r="T307" s="747">
        <v>4702</v>
      </c>
      <c r="U307" s="747">
        <v>4771</v>
      </c>
      <c r="V307" s="747">
        <v>4934</v>
      </c>
      <c r="W307" s="747">
        <v>4900</v>
      </c>
      <c r="X307" s="747">
        <v>4748</v>
      </c>
      <c r="Y307" s="747">
        <v>4523</v>
      </c>
      <c r="Z307" s="747">
        <v>4231</v>
      </c>
      <c r="AA307" s="747">
        <v>4004</v>
      </c>
      <c r="AC307" s="628">
        <f t="shared" si="43"/>
        <v>296</v>
      </c>
      <c r="AD307" s="627">
        <f t="shared" si="44"/>
        <v>215</v>
      </c>
      <c r="AE307" s="627">
        <f t="shared" si="47"/>
        <v>123</v>
      </c>
      <c r="AF307" s="627">
        <f t="shared" si="47"/>
        <v>60</v>
      </c>
      <c r="AG307" s="627">
        <f t="shared" si="47"/>
        <v>100</v>
      </c>
      <c r="AH307" s="627">
        <f t="shared" si="47"/>
        <v>6</v>
      </c>
      <c r="AI307" s="627">
        <f t="shared" si="47"/>
        <v>112</v>
      </c>
      <c r="AJ307" s="627">
        <f t="shared" si="47"/>
        <v>166</v>
      </c>
      <c r="AK307" s="627">
        <f t="shared" si="47"/>
        <v>132</v>
      </c>
      <c r="AL307" s="627">
        <f t="shared" si="47"/>
        <v>116</v>
      </c>
      <c r="AM307" s="627">
        <f t="shared" si="46"/>
        <v>80</v>
      </c>
      <c r="AN307" s="627">
        <f t="shared" si="46"/>
        <v>53</v>
      </c>
      <c r="AO307" s="627">
        <f t="shared" si="46"/>
        <v>53</v>
      </c>
      <c r="AP307" s="627">
        <f t="shared" si="46"/>
        <v>41</v>
      </c>
      <c r="AQ307" s="627">
        <f t="shared" si="46"/>
        <v>13</v>
      </c>
      <c r="AR307" s="627">
        <f t="shared" si="46"/>
        <v>48</v>
      </c>
      <c r="AS307" s="627">
        <f t="shared" si="46"/>
        <v>89</v>
      </c>
      <c r="AT307" s="627">
        <f t="shared" si="46"/>
        <v>102</v>
      </c>
      <c r="AU307" s="627">
        <f t="shared" si="46"/>
        <v>69</v>
      </c>
      <c r="AV307" s="627">
        <f t="shared" si="46"/>
        <v>163</v>
      </c>
      <c r="AW307" s="627">
        <f t="shared" si="46"/>
        <v>34</v>
      </c>
      <c r="AX307" s="627">
        <f t="shared" si="48"/>
        <v>152</v>
      </c>
      <c r="AY307" s="627">
        <f t="shared" si="48"/>
        <v>225</v>
      </c>
      <c r="AZ307" s="627">
        <f t="shared" si="48"/>
        <v>292</v>
      </c>
      <c r="BA307" s="627">
        <f t="shared" si="48"/>
        <v>227</v>
      </c>
    </row>
    <row r="308" spans="1:53">
      <c r="A308" s="105">
        <f t="shared" si="42"/>
        <v>297</v>
      </c>
      <c r="B308" s="745">
        <v>42666</v>
      </c>
      <c r="C308" s="746" t="s">
        <v>1772</v>
      </c>
      <c r="D308" s="747">
        <v>3906</v>
      </c>
      <c r="E308" s="747">
        <v>3831</v>
      </c>
      <c r="F308" s="747">
        <v>3742</v>
      </c>
      <c r="G308" s="747">
        <v>3707</v>
      </c>
      <c r="H308" s="747">
        <v>3724</v>
      </c>
      <c r="I308" s="747">
        <v>3701</v>
      </c>
      <c r="J308" s="747">
        <v>3867</v>
      </c>
      <c r="K308" s="747">
        <v>3986</v>
      </c>
      <c r="L308" s="747">
        <v>4024</v>
      </c>
      <c r="M308" s="747">
        <v>4129</v>
      </c>
      <c r="N308" s="747">
        <v>4195</v>
      </c>
      <c r="O308" s="747">
        <v>4219</v>
      </c>
      <c r="P308" s="747">
        <v>4261</v>
      </c>
      <c r="Q308" s="747">
        <v>4297</v>
      </c>
      <c r="R308" s="747">
        <v>4359</v>
      </c>
      <c r="S308" s="747">
        <v>4435</v>
      </c>
      <c r="T308" s="747">
        <v>4578</v>
      </c>
      <c r="U308" s="747">
        <v>4732</v>
      </c>
      <c r="V308" s="747">
        <v>4974</v>
      </c>
      <c r="W308" s="747">
        <v>4945</v>
      </c>
      <c r="X308" s="747">
        <v>4781</v>
      </c>
      <c r="Y308" s="747">
        <v>4563</v>
      </c>
      <c r="Z308" s="747">
        <v>4351</v>
      </c>
      <c r="AA308" s="747">
        <v>4042</v>
      </c>
      <c r="AC308" s="628">
        <f t="shared" si="43"/>
        <v>297</v>
      </c>
      <c r="AD308" s="627">
        <f t="shared" si="44"/>
        <v>98</v>
      </c>
      <c r="AE308" s="627">
        <f t="shared" si="47"/>
        <v>75</v>
      </c>
      <c r="AF308" s="627">
        <f t="shared" si="47"/>
        <v>89</v>
      </c>
      <c r="AG308" s="627">
        <f t="shared" si="47"/>
        <v>35</v>
      </c>
      <c r="AH308" s="627">
        <f t="shared" si="47"/>
        <v>17</v>
      </c>
      <c r="AI308" s="627">
        <f t="shared" si="47"/>
        <v>23</v>
      </c>
      <c r="AJ308" s="627">
        <f t="shared" si="47"/>
        <v>166</v>
      </c>
      <c r="AK308" s="627">
        <f t="shared" si="47"/>
        <v>119</v>
      </c>
      <c r="AL308" s="627">
        <f t="shared" si="47"/>
        <v>38</v>
      </c>
      <c r="AM308" s="627">
        <f t="shared" si="46"/>
        <v>105</v>
      </c>
      <c r="AN308" s="627">
        <f t="shared" si="46"/>
        <v>66</v>
      </c>
      <c r="AO308" s="627">
        <f t="shared" si="46"/>
        <v>24</v>
      </c>
      <c r="AP308" s="627">
        <f t="shared" si="46"/>
        <v>42</v>
      </c>
      <c r="AQ308" s="627">
        <f t="shared" si="46"/>
        <v>36</v>
      </c>
      <c r="AR308" s="627">
        <f t="shared" si="46"/>
        <v>62</v>
      </c>
      <c r="AS308" s="627">
        <f t="shared" si="46"/>
        <v>76</v>
      </c>
      <c r="AT308" s="627">
        <f t="shared" si="46"/>
        <v>143</v>
      </c>
      <c r="AU308" s="627">
        <f t="shared" si="46"/>
        <v>154</v>
      </c>
      <c r="AV308" s="627">
        <f t="shared" si="46"/>
        <v>242</v>
      </c>
      <c r="AW308" s="627">
        <f t="shared" si="46"/>
        <v>29</v>
      </c>
      <c r="AX308" s="627">
        <f t="shared" si="48"/>
        <v>164</v>
      </c>
      <c r="AY308" s="627">
        <f t="shared" si="48"/>
        <v>218</v>
      </c>
      <c r="AZ308" s="627">
        <f t="shared" si="48"/>
        <v>212</v>
      </c>
      <c r="BA308" s="627">
        <f t="shared" si="48"/>
        <v>309</v>
      </c>
    </row>
    <row r="309" spans="1:53">
      <c r="A309" s="105">
        <f t="shared" si="42"/>
        <v>298</v>
      </c>
      <c r="B309" s="745">
        <v>42667</v>
      </c>
      <c r="C309" s="746" t="s">
        <v>1772</v>
      </c>
      <c r="D309" s="747">
        <v>3851</v>
      </c>
      <c r="E309" s="747">
        <v>3747</v>
      </c>
      <c r="F309" s="747">
        <v>3700</v>
      </c>
      <c r="G309" s="747">
        <v>3606</v>
      </c>
      <c r="H309" s="747">
        <v>3727</v>
      </c>
      <c r="I309" s="747">
        <v>4032</v>
      </c>
      <c r="J309" s="747">
        <v>4462</v>
      </c>
      <c r="K309" s="747">
        <v>4701</v>
      </c>
      <c r="L309" s="747">
        <v>4726</v>
      </c>
      <c r="M309" s="747">
        <v>4757</v>
      </c>
      <c r="N309" s="747">
        <v>4852</v>
      </c>
      <c r="O309" s="747">
        <v>4897</v>
      </c>
      <c r="P309" s="747">
        <v>4965</v>
      </c>
      <c r="Q309" s="747">
        <v>5032</v>
      </c>
      <c r="R309" s="747">
        <v>5085</v>
      </c>
      <c r="S309" s="747">
        <v>5129</v>
      </c>
      <c r="T309" s="747">
        <v>5190</v>
      </c>
      <c r="U309" s="747">
        <v>5240</v>
      </c>
      <c r="V309" s="747">
        <v>5382</v>
      </c>
      <c r="W309" s="747">
        <v>5273</v>
      </c>
      <c r="X309" s="747">
        <v>5071</v>
      </c>
      <c r="Y309" s="747">
        <v>4948</v>
      </c>
      <c r="Z309" s="747">
        <v>4553</v>
      </c>
      <c r="AA309" s="747">
        <v>4173</v>
      </c>
      <c r="AC309" s="628">
        <f t="shared" si="43"/>
        <v>298</v>
      </c>
      <c r="AD309" s="627">
        <f t="shared" si="44"/>
        <v>191</v>
      </c>
      <c r="AE309" s="627">
        <f t="shared" si="47"/>
        <v>104</v>
      </c>
      <c r="AF309" s="627">
        <f t="shared" si="47"/>
        <v>47</v>
      </c>
      <c r="AG309" s="627">
        <f t="shared" si="47"/>
        <v>94</v>
      </c>
      <c r="AH309" s="627">
        <f t="shared" si="47"/>
        <v>121</v>
      </c>
      <c r="AI309" s="627">
        <f t="shared" si="47"/>
        <v>305</v>
      </c>
      <c r="AJ309" s="627">
        <f t="shared" si="47"/>
        <v>430</v>
      </c>
      <c r="AK309" s="627">
        <f t="shared" si="47"/>
        <v>239</v>
      </c>
      <c r="AL309" s="627">
        <f t="shared" si="47"/>
        <v>25</v>
      </c>
      <c r="AM309" s="627">
        <f t="shared" si="46"/>
        <v>31</v>
      </c>
      <c r="AN309" s="627">
        <f t="shared" si="46"/>
        <v>95</v>
      </c>
      <c r="AO309" s="627">
        <f t="shared" si="46"/>
        <v>45</v>
      </c>
      <c r="AP309" s="627">
        <f t="shared" si="46"/>
        <v>68</v>
      </c>
      <c r="AQ309" s="627">
        <f t="shared" si="46"/>
        <v>67</v>
      </c>
      <c r="AR309" s="627">
        <f t="shared" si="46"/>
        <v>53</v>
      </c>
      <c r="AS309" s="627">
        <f t="shared" si="46"/>
        <v>44</v>
      </c>
      <c r="AT309" s="627">
        <f t="shared" si="46"/>
        <v>61</v>
      </c>
      <c r="AU309" s="627">
        <f t="shared" si="46"/>
        <v>50</v>
      </c>
      <c r="AV309" s="627">
        <f t="shared" si="46"/>
        <v>142</v>
      </c>
      <c r="AW309" s="627">
        <f t="shared" si="46"/>
        <v>109</v>
      </c>
      <c r="AX309" s="627">
        <f t="shared" si="48"/>
        <v>202</v>
      </c>
      <c r="AY309" s="627">
        <f t="shared" si="48"/>
        <v>123</v>
      </c>
      <c r="AZ309" s="627">
        <f t="shared" si="48"/>
        <v>395</v>
      </c>
      <c r="BA309" s="627">
        <f t="shared" si="48"/>
        <v>380</v>
      </c>
    </row>
    <row r="310" spans="1:53">
      <c r="A310" s="105">
        <f t="shared" si="42"/>
        <v>299</v>
      </c>
      <c r="B310" s="745">
        <v>42668</v>
      </c>
      <c r="C310" s="746" t="s">
        <v>1772</v>
      </c>
      <c r="D310" s="747">
        <v>3962</v>
      </c>
      <c r="E310" s="747">
        <v>3839</v>
      </c>
      <c r="F310" s="747">
        <v>3779</v>
      </c>
      <c r="G310" s="747">
        <v>3767</v>
      </c>
      <c r="H310" s="747">
        <v>3772</v>
      </c>
      <c r="I310" s="747">
        <v>4024</v>
      </c>
      <c r="J310" s="747">
        <v>4435</v>
      </c>
      <c r="K310" s="747">
        <v>4710</v>
      </c>
      <c r="L310" s="747">
        <v>4783</v>
      </c>
      <c r="M310" s="747">
        <v>4869</v>
      </c>
      <c r="N310" s="747">
        <v>4936</v>
      </c>
      <c r="O310" s="747">
        <v>4935</v>
      </c>
      <c r="P310" s="747">
        <v>4913</v>
      </c>
      <c r="Q310" s="747">
        <v>4866</v>
      </c>
      <c r="R310" s="747">
        <v>4865</v>
      </c>
      <c r="S310" s="747">
        <v>4922</v>
      </c>
      <c r="T310" s="747">
        <v>4954</v>
      </c>
      <c r="U310" s="747">
        <v>5022</v>
      </c>
      <c r="V310" s="747">
        <v>5222</v>
      </c>
      <c r="W310" s="747">
        <v>5188</v>
      </c>
      <c r="X310" s="747">
        <v>5013</v>
      </c>
      <c r="Y310" s="747">
        <v>4754</v>
      </c>
      <c r="Z310" s="747">
        <v>4535</v>
      </c>
      <c r="AA310" s="747">
        <v>4174</v>
      </c>
      <c r="AC310" s="628">
        <f t="shared" si="43"/>
        <v>299</v>
      </c>
      <c r="AD310" s="627">
        <f t="shared" si="44"/>
        <v>211</v>
      </c>
      <c r="AE310" s="627">
        <f t="shared" si="47"/>
        <v>123</v>
      </c>
      <c r="AF310" s="627">
        <f t="shared" si="47"/>
        <v>60</v>
      </c>
      <c r="AG310" s="627">
        <f t="shared" si="47"/>
        <v>12</v>
      </c>
      <c r="AH310" s="627">
        <f t="shared" si="47"/>
        <v>5</v>
      </c>
      <c r="AI310" s="627">
        <f t="shared" si="47"/>
        <v>252</v>
      </c>
      <c r="AJ310" s="627">
        <f t="shared" si="47"/>
        <v>411</v>
      </c>
      <c r="AK310" s="627">
        <f t="shared" si="47"/>
        <v>275</v>
      </c>
      <c r="AL310" s="627">
        <f t="shared" si="47"/>
        <v>73</v>
      </c>
      <c r="AM310" s="627">
        <f t="shared" si="46"/>
        <v>86</v>
      </c>
      <c r="AN310" s="627">
        <f t="shared" si="46"/>
        <v>67</v>
      </c>
      <c r="AO310" s="627">
        <f t="shared" si="46"/>
        <v>1</v>
      </c>
      <c r="AP310" s="627">
        <f t="shared" si="46"/>
        <v>22</v>
      </c>
      <c r="AQ310" s="627">
        <f t="shared" si="46"/>
        <v>47</v>
      </c>
      <c r="AR310" s="627">
        <f t="shared" si="46"/>
        <v>1</v>
      </c>
      <c r="AS310" s="627">
        <f t="shared" si="46"/>
        <v>57</v>
      </c>
      <c r="AT310" s="627">
        <f t="shared" si="46"/>
        <v>32</v>
      </c>
      <c r="AU310" s="627">
        <f t="shared" si="46"/>
        <v>68</v>
      </c>
      <c r="AV310" s="627">
        <f t="shared" si="46"/>
        <v>200</v>
      </c>
      <c r="AW310" s="627">
        <f t="shared" si="46"/>
        <v>34</v>
      </c>
      <c r="AX310" s="627">
        <f t="shared" si="48"/>
        <v>175</v>
      </c>
      <c r="AY310" s="627">
        <f t="shared" si="48"/>
        <v>259</v>
      </c>
      <c r="AZ310" s="627">
        <f t="shared" si="48"/>
        <v>219</v>
      </c>
      <c r="BA310" s="627">
        <f t="shared" si="48"/>
        <v>361</v>
      </c>
    </row>
    <row r="311" spans="1:53">
      <c r="A311" s="105">
        <f t="shared" si="42"/>
        <v>300</v>
      </c>
      <c r="B311" s="745">
        <v>42669</v>
      </c>
      <c r="C311" s="746" t="s">
        <v>1772</v>
      </c>
      <c r="D311" s="747">
        <v>3957</v>
      </c>
      <c r="E311" s="747">
        <v>3847</v>
      </c>
      <c r="F311" s="747">
        <v>3795</v>
      </c>
      <c r="G311" s="747">
        <v>3796</v>
      </c>
      <c r="H311" s="747">
        <v>3805</v>
      </c>
      <c r="I311" s="747">
        <v>4077</v>
      </c>
      <c r="J311" s="747">
        <v>4585</v>
      </c>
      <c r="K311" s="747">
        <v>4726</v>
      </c>
      <c r="L311" s="747">
        <v>4705</v>
      </c>
      <c r="M311" s="747">
        <v>4681</v>
      </c>
      <c r="N311" s="747">
        <v>4717</v>
      </c>
      <c r="O311" s="747">
        <v>4749</v>
      </c>
      <c r="P311" s="747">
        <v>4776</v>
      </c>
      <c r="Q311" s="747">
        <v>4843</v>
      </c>
      <c r="R311" s="747">
        <v>4892</v>
      </c>
      <c r="S311" s="747">
        <v>4940</v>
      </c>
      <c r="T311" s="747">
        <v>5015</v>
      </c>
      <c r="U311" s="747">
        <v>5066</v>
      </c>
      <c r="V311" s="747">
        <v>5220</v>
      </c>
      <c r="W311" s="747">
        <v>5188</v>
      </c>
      <c r="X311" s="747">
        <v>5031</v>
      </c>
      <c r="Y311" s="747">
        <v>4809</v>
      </c>
      <c r="Z311" s="747">
        <v>4494</v>
      </c>
      <c r="AA311" s="747">
        <v>4158</v>
      </c>
      <c r="AC311" s="628">
        <f t="shared" si="43"/>
        <v>300</v>
      </c>
      <c r="AD311" s="627">
        <f t="shared" si="44"/>
        <v>217</v>
      </c>
      <c r="AE311" s="627">
        <f t="shared" si="47"/>
        <v>110</v>
      </c>
      <c r="AF311" s="627">
        <f t="shared" si="47"/>
        <v>52</v>
      </c>
      <c r="AG311" s="627">
        <f t="shared" si="47"/>
        <v>1</v>
      </c>
      <c r="AH311" s="627">
        <f t="shared" si="47"/>
        <v>9</v>
      </c>
      <c r="AI311" s="627">
        <f t="shared" si="47"/>
        <v>272</v>
      </c>
      <c r="AJ311" s="627">
        <f t="shared" si="47"/>
        <v>508</v>
      </c>
      <c r="AK311" s="627">
        <f t="shared" si="47"/>
        <v>141</v>
      </c>
      <c r="AL311" s="627">
        <f t="shared" si="47"/>
        <v>21</v>
      </c>
      <c r="AM311" s="627">
        <f t="shared" si="46"/>
        <v>24</v>
      </c>
      <c r="AN311" s="627">
        <f t="shared" si="46"/>
        <v>36</v>
      </c>
      <c r="AO311" s="627">
        <f t="shared" si="46"/>
        <v>32</v>
      </c>
      <c r="AP311" s="627">
        <f t="shared" si="46"/>
        <v>27</v>
      </c>
      <c r="AQ311" s="627">
        <f t="shared" si="46"/>
        <v>67</v>
      </c>
      <c r="AR311" s="627">
        <f t="shared" si="46"/>
        <v>49</v>
      </c>
      <c r="AS311" s="627">
        <f t="shared" si="46"/>
        <v>48</v>
      </c>
      <c r="AT311" s="627">
        <f t="shared" si="46"/>
        <v>75</v>
      </c>
      <c r="AU311" s="627">
        <f t="shared" si="46"/>
        <v>51</v>
      </c>
      <c r="AV311" s="627">
        <f t="shared" si="46"/>
        <v>154</v>
      </c>
      <c r="AW311" s="627">
        <f t="shared" si="46"/>
        <v>32</v>
      </c>
      <c r="AX311" s="627">
        <f t="shared" si="48"/>
        <v>157</v>
      </c>
      <c r="AY311" s="627">
        <f t="shared" si="48"/>
        <v>222</v>
      </c>
      <c r="AZ311" s="627">
        <f t="shared" si="48"/>
        <v>315</v>
      </c>
      <c r="BA311" s="627">
        <f t="shared" si="48"/>
        <v>336</v>
      </c>
    </row>
    <row r="312" spans="1:53">
      <c r="A312" s="105">
        <f t="shared" si="42"/>
        <v>301</v>
      </c>
      <c r="B312" s="745">
        <v>42670</v>
      </c>
      <c r="C312" s="746" t="s">
        <v>1772</v>
      </c>
      <c r="D312" s="747">
        <v>3938</v>
      </c>
      <c r="E312" s="747">
        <v>3822</v>
      </c>
      <c r="F312" s="747">
        <v>3760</v>
      </c>
      <c r="G312" s="747">
        <v>3703</v>
      </c>
      <c r="H312" s="747">
        <v>3747</v>
      </c>
      <c r="I312" s="747">
        <v>4031</v>
      </c>
      <c r="J312" s="747">
        <v>4455</v>
      </c>
      <c r="K312" s="747">
        <v>4663</v>
      </c>
      <c r="L312" s="747">
        <v>4643</v>
      </c>
      <c r="M312" s="747">
        <v>4658</v>
      </c>
      <c r="N312" s="747">
        <v>4737</v>
      </c>
      <c r="O312" s="747">
        <v>4787</v>
      </c>
      <c r="P312" s="747">
        <v>4855</v>
      </c>
      <c r="Q312" s="747">
        <v>4953</v>
      </c>
      <c r="R312" s="747">
        <v>5050</v>
      </c>
      <c r="S312" s="747">
        <v>5132</v>
      </c>
      <c r="T312" s="747">
        <v>5159</v>
      </c>
      <c r="U312" s="747">
        <v>5175</v>
      </c>
      <c r="V312" s="747">
        <v>5286</v>
      </c>
      <c r="W312" s="747">
        <v>5209</v>
      </c>
      <c r="X312" s="747">
        <v>5007</v>
      </c>
      <c r="Y312" s="747">
        <v>4867</v>
      </c>
      <c r="Z312" s="747">
        <v>4522</v>
      </c>
      <c r="AA312" s="747">
        <v>4188</v>
      </c>
      <c r="AC312" s="628">
        <f t="shared" si="43"/>
        <v>301</v>
      </c>
      <c r="AD312" s="627">
        <f t="shared" si="44"/>
        <v>220</v>
      </c>
      <c r="AE312" s="627">
        <f t="shared" si="47"/>
        <v>116</v>
      </c>
      <c r="AF312" s="627">
        <f t="shared" si="47"/>
        <v>62</v>
      </c>
      <c r="AG312" s="627">
        <f t="shared" si="47"/>
        <v>57</v>
      </c>
      <c r="AH312" s="627">
        <f t="shared" si="47"/>
        <v>44</v>
      </c>
      <c r="AI312" s="627">
        <f t="shared" si="47"/>
        <v>284</v>
      </c>
      <c r="AJ312" s="627">
        <f t="shared" si="47"/>
        <v>424</v>
      </c>
      <c r="AK312" s="627">
        <f t="shared" si="47"/>
        <v>208</v>
      </c>
      <c r="AL312" s="627">
        <f t="shared" si="47"/>
        <v>20</v>
      </c>
      <c r="AM312" s="627">
        <f t="shared" si="46"/>
        <v>15</v>
      </c>
      <c r="AN312" s="627">
        <f t="shared" si="46"/>
        <v>79</v>
      </c>
      <c r="AO312" s="627">
        <f t="shared" si="46"/>
        <v>50</v>
      </c>
      <c r="AP312" s="627">
        <f t="shared" si="46"/>
        <v>68</v>
      </c>
      <c r="AQ312" s="627">
        <f t="shared" si="46"/>
        <v>98</v>
      </c>
      <c r="AR312" s="627">
        <f t="shared" si="46"/>
        <v>97</v>
      </c>
      <c r="AS312" s="627">
        <f t="shared" si="46"/>
        <v>82</v>
      </c>
      <c r="AT312" s="627">
        <f t="shared" si="46"/>
        <v>27</v>
      </c>
      <c r="AU312" s="627">
        <f t="shared" si="46"/>
        <v>16</v>
      </c>
      <c r="AV312" s="627">
        <f t="shared" si="46"/>
        <v>111</v>
      </c>
      <c r="AW312" s="627">
        <f t="shared" si="46"/>
        <v>77</v>
      </c>
      <c r="AX312" s="627">
        <f t="shared" si="48"/>
        <v>202</v>
      </c>
      <c r="AY312" s="627">
        <f t="shared" si="48"/>
        <v>140</v>
      </c>
      <c r="AZ312" s="627">
        <f t="shared" si="48"/>
        <v>345</v>
      </c>
      <c r="BA312" s="627">
        <f t="shared" si="48"/>
        <v>334</v>
      </c>
    </row>
    <row r="313" spans="1:53">
      <c r="A313" s="105">
        <f t="shared" si="42"/>
        <v>302</v>
      </c>
      <c r="B313" s="745">
        <v>42671</v>
      </c>
      <c r="C313" s="746" t="s">
        <v>1772</v>
      </c>
      <c r="D313" s="747">
        <v>3963</v>
      </c>
      <c r="E313" s="747">
        <v>3835</v>
      </c>
      <c r="F313" s="747">
        <v>3758</v>
      </c>
      <c r="G313" s="747">
        <v>3743</v>
      </c>
      <c r="H313" s="747">
        <v>3737</v>
      </c>
      <c r="I313" s="747">
        <v>3988</v>
      </c>
      <c r="J313" s="747">
        <v>4429</v>
      </c>
      <c r="K313" s="747">
        <v>4677</v>
      </c>
      <c r="L313" s="747">
        <v>4757</v>
      </c>
      <c r="M313" s="747">
        <v>4851</v>
      </c>
      <c r="N313" s="747">
        <v>4900</v>
      </c>
      <c r="O313" s="747">
        <v>4928</v>
      </c>
      <c r="P313" s="747">
        <v>5060</v>
      </c>
      <c r="Q313" s="747">
        <v>5055</v>
      </c>
      <c r="R313" s="747">
        <v>5047</v>
      </c>
      <c r="S313" s="747">
        <v>5057</v>
      </c>
      <c r="T313" s="747">
        <v>5081</v>
      </c>
      <c r="U313" s="747">
        <v>5102</v>
      </c>
      <c r="V313" s="747">
        <v>5188</v>
      </c>
      <c r="W313" s="747">
        <v>5077</v>
      </c>
      <c r="X313" s="747">
        <v>4886</v>
      </c>
      <c r="Y313" s="747">
        <v>4634</v>
      </c>
      <c r="Z313" s="747">
        <v>4385</v>
      </c>
      <c r="AA313" s="747">
        <v>4108</v>
      </c>
      <c r="AC313" s="628">
        <f t="shared" si="43"/>
        <v>302</v>
      </c>
      <c r="AD313" s="627">
        <f t="shared" si="44"/>
        <v>225</v>
      </c>
      <c r="AE313" s="627">
        <f t="shared" si="47"/>
        <v>128</v>
      </c>
      <c r="AF313" s="627">
        <f t="shared" si="47"/>
        <v>77</v>
      </c>
      <c r="AG313" s="627">
        <f t="shared" si="47"/>
        <v>15</v>
      </c>
      <c r="AH313" s="627">
        <f t="shared" si="47"/>
        <v>6</v>
      </c>
      <c r="AI313" s="627">
        <f t="shared" si="47"/>
        <v>251</v>
      </c>
      <c r="AJ313" s="627">
        <f t="shared" si="47"/>
        <v>441</v>
      </c>
      <c r="AK313" s="627">
        <f t="shared" si="47"/>
        <v>248</v>
      </c>
      <c r="AL313" s="627">
        <f t="shared" si="47"/>
        <v>80</v>
      </c>
      <c r="AM313" s="627">
        <f t="shared" si="46"/>
        <v>94</v>
      </c>
      <c r="AN313" s="627">
        <f t="shared" si="46"/>
        <v>49</v>
      </c>
      <c r="AO313" s="627">
        <f t="shared" si="46"/>
        <v>28</v>
      </c>
      <c r="AP313" s="627">
        <f t="shared" si="46"/>
        <v>132</v>
      </c>
      <c r="AQ313" s="627">
        <f t="shared" si="46"/>
        <v>5</v>
      </c>
      <c r="AR313" s="627">
        <f t="shared" si="46"/>
        <v>8</v>
      </c>
      <c r="AS313" s="627">
        <f t="shared" si="46"/>
        <v>10</v>
      </c>
      <c r="AT313" s="627">
        <f t="shared" si="46"/>
        <v>24</v>
      </c>
      <c r="AU313" s="627">
        <f t="shared" si="46"/>
        <v>21</v>
      </c>
      <c r="AV313" s="627">
        <f t="shared" si="46"/>
        <v>86</v>
      </c>
      <c r="AW313" s="627">
        <f t="shared" si="46"/>
        <v>111</v>
      </c>
      <c r="AX313" s="627">
        <f t="shared" si="48"/>
        <v>191</v>
      </c>
      <c r="AY313" s="627">
        <f t="shared" si="48"/>
        <v>252</v>
      </c>
      <c r="AZ313" s="627">
        <f t="shared" si="48"/>
        <v>249</v>
      </c>
      <c r="BA313" s="627">
        <f t="shared" si="48"/>
        <v>277</v>
      </c>
    </row>
    <row r="314" spans="1:53">
      <c r="A314" s="105">
        <f t="shared" si="42"/>
        <v>303</v>
      </c>
      <c r="B314" s="745">
        <v>42672</v>
      </c>
      <c r="C314" s="746" t="s">
        <v>1772</v>
      </c>
      <c r="D314" s="747">
        <v>3975</v>
      </c>
      <c r="E314" s="747">
        <v>3829</v>
      </c>
      <c r="F314" s="747">
        <v>3749</v>
      </c>
      <c r="G314" s="747">
        <v>3705</v>
      </c>
      <c r="H314" s="747">
        <v>3711</v>
      </c>
      <c r="I314" s="747">
        <v>3801</v>
      </c>
      <c r="J314" s="747">
        <v>3901</v>
      </c>
      <c r="K314" s="747">
        <v>4089</v>
      </c>
      <c r="L314" s="747">
        <v>4198</v>
      </c>
      <c r="M314" s="747">
        <v>4307</v>
      </c>
      <c r="N314" s="747">
        <v>4405</v>
      </c>
      <c r="O314" s="747">
        <v>4508</v>
      </c>
      <c r="P314" s="747">
        <v>4533</v>
      </c>
      <c r="Q314" s="747">
        <v>4508</v>
      </c>
      <c r="R314" s="747">
        <v>4549</v>
      </c>
      <c r="S314" s="747">
        <v>4639</v>
      </c>
      <c r="T314" s="747">
        <v>4743</v>
      </c>
      <c r="U314" s="747">
        <v>4825</v>
      </c>
      <c r="V314" s="747">
        <v>4989</v>
      </c>
      <c r="W314" s="747">
        <v>4890</v>
      </c>
      <c r="X314" s="747">
        <v>4696</v>
      </c>
      <c r="Y314" s="747">
        <v>4467</v>
      </c>
      <c r="Z314" s="747">
        <v>4155</v>
      </c>
      <c r="AA314" s="747">
        <v>3876</v>
      </c>
      <c r="AC314" s="628">
        <f t="shared" si="43"/>
        <v>303</v>
      </c>
      <c r="AD314" s="627">
        <f t="shared" si="44"/>
        <v>133</v>
      </c>
      <c r="AE314" s="627">
        <f t="shared" si="47"/>
        <v>146</v>
      </c>
      <c r="AF314" s="627">
        <f t="shared" si="47"/>
        <v>80</v>
      </c>
      <c r="AG314" s="627">
        <f t="shared" si="47"/>
        <v>44</v>
      </c>
      <c r="AH314" s="627">
        <f t="shared" si="47"/>
        <v>6</v>
      </c>
      <c r="AI314" s="627">
        <f t="shared" si="47"/>
        <v>90</v>
      </c>
      <c r="AJ314" s="627">
        <f t="shared" si="47"/>
        <v>100</v>
      </c>
      <c r="AK314" s="627">
        <f t="shared" si="47"/>
        <v>188</v>
      </c>
      <c r="AL314" s="627">
        <f t="shared" si="47"/>
        <v>109</v>
      </c>
      <c r="AM314" s="627">
        <f t="shared" si="46"/>
        <v>109</v>
      </c>
      <c r="AN314" s="627">
        <f t="shared" si="46"/>
        <v>98</v>
      </c>
      <c r="AO314" s="627">
        <f t="shared" si="46"/>
        <v>103</v>
      </c>
      <c r="AP314" s="627">
        <f t="shared" si="46"/>
        <v>25</v>
      </c>
      <c r="AQ314" s="627">
        <f t="shared" si="46"/>
        <v>25</v>
      </c>
      <c r="AR314" s="627">
        <f t="shared" si="46"/>
        <v>41</v>
      </c>
      <c r="AS314" s="627">
        <f t="shared" si="46"/>
        <v>90</v>
      </c>
      <c r="AT314" s="627">
        <f t="shared" si="46"/>
        <v>104</v>
      </c>
      <c r="AU314" s="627">
        <f t="shared" si="46"/>
        <v>82</v>
      </c>
      <c r="AV314" s="627">
        <f t="shared" si="46"/>
        <v>164</v>
      </c>
      <c r="AW314" s="627">
        <f t="shared" si="46"/>
        <v>99</v>
      </c>
      <c r="AX314" s="627">
        <f t="shared" si="48"/>
        <v>194</v>
      </c>
      <c r="AY314" s="627">
        <f t="shared" si="48"/>
        <v>229</v>
      </c>
      <c r="AZ314" s="627">
        <f t="shared" si="48"/>
        <v>312</v>
      </c>
      <c r="BA314" s="627">
        <f t="shared" si="48"/>
        <v>279</v>
      </c>
    </row>
    <row r="315" spans="1:53">
      <c r="A315" s="105">
        <f t="shared" si="42"/>
        <v>304</v>
      </c>
      <c r="B315" s="745">
        <v>42673</v>
      </c>
      <c r="C315" s="746" t="s">
        <v>1772</v>
      </c>
      <c r="D315" s="747">
        <v>3676</v>
      </c>
      <c r="E315" s="747">
        <v>3581</v>
      </c>
      <c r="F315" s="747">
        <v>3705</v>
      </c>
      <c r="G315" s="747">
        <v>3673</v>
      </c>
      <c r="H315" s="747">
        <v>3681</v>
      </c>
      <c r="I315" s="747">
        <v>3750</v>
      </c>
      <c r="J315" s="747">
        <v>3881</v>
      </c>
      <c r="K315" s="747">
        <v>3936</v>
      </c>
      <c r="L315" s="747">
        <v>4077</v>
      </c>
      <c r="M315" s="747">
        <v>4177</v>
      </c>
      <c r="N315" s="747">
        <v>4149</v>
      </c>
      <c r="O315" s="747">
        <v>4229</v>
      </c>
      <c r="P315" s="747">
        <v>4317</v>
      </c>
      <c r="Q315" s="747">
        <v>4369</v>
      </c>
      <c r="R315" s="747">
        <v>4413</v>
      </c>
      <c r="S315" s="747">
        <v>4450</v>
      </c>
      <c r="T315" s="747">
        <v>4527</v>
      </c>
      <c r="U315" s="747">
        <v>4680</v>
      </c>
      <c r="V315" s="747">
        <v>4994</v>
      </c>
      <c r="W315" s="747">
        <v>4939</v>
      </c>
      <c r="X315" s="747">
        <v>4782</v>
      </c>
      <c r="Y315" s="747">
        <v>4617</v>
      </c>
      <c r="Z315" s="747">
        <v>4269</v>
      </c>
      <c r="AA315" s="747">
        <v>3931</v>
      </c>
      <c r="AC315" s="628">
        <f t="shared" si="43"/>
        <v>304</v>
      </c>
      <c r="AD315" s="627">
        <f t="shared" si="44"/>
        <v>200</v>
      </c>
      <c r="AE315" s="627">
        <f t="shared" si="47"/>
        <v>95</v>
      </c>
      <c r="AF315" s="627">
        <f t="shared" si="47"/>
        <v>124</v>
      </c>
      <c r="AG315" s="627">
        <f t="shared" si="47"/>
        <v>32</v>
      </c>
      <c r="AH315" s="627">
        <f t="shared" si="47"/>
        <v>8</v>
      </c>
      <c r="AI315" s="627">
        <f t="shared" si="47"/>
        <v>69</v>
      </c>
      <c r="AJ315" s="627">
        <f t="shared" si="47"/>
        <v>131</v>
      </c>
      <c r="AK315" s="627">
        <f t="shared" si="47"/>
        <v>55</v>
      </c>
      <c r="AL315" s="627">
        <f t="shared" si="47"/>
        <v>141</v>
      </c>
      <c r="AM315" s="627">
        <f t="shared" si="46"/>
        <v>100</v>
      </c>
      <c r="AN315" s="627">
        <f t="shared" si="46"/>
        <v>28</v>
      </c>
      <c r="AO315" s="627">
        <f t="shared" si="46"/>
        <v>80</v>
      </c>
      <c r="AP315" s="627">
        <f t="shared" si="46"/>
        <v>88</v>
      </c>
      <c r="AQ315" s="627">
        <f t="shared" si="46"/>
        <v>52</v>
      </c>
      <c r="AR315" s="627">
        <f t="shared" si="46"/>
        <v>44</v>
      </c>
      <c r="AS315" s="627">
        <f t="shared" si="46"/>
        <v>37</v>
      </c>
      <c r="AT315" s="627">
        <f t="shared" si="46"/>
        <v>77</v>
      </c>
      <c r="AU315" s="627">
        <f t="shared" si="46"/>
        <v>153</v>
      </c>
      <c r="AV315" s="627">
        <f t="shared" si="46"/>
        <v>314</v>
      </c>
      <c r="AW315" s="627">
        <f t="shared" si="46"/>
        <v>55</v>
      </c>
      <c r="AX315" s="627">
        <f t="shared" si="48"/>
        <v>157</v>
      </c>
      <c r="AY315" s="627">
        <f t="shared" si="48"/>
        <v>165</v>
      </c>
      <c r="AZ315" s="627">
        <f t="shared" si="48"/>
        <v>348</v>
      </c>
      <c r="BA315" s="627">
        <f t="shared" si="48"/>
        <v>338</v>
      </c>
    </row>
    <row r="316" spans="1:53">
      <c r="A316" s="105">
        <f t="shared" si="42"/>
        <v>305</v>
      </c>
      <c r="B316" s="745">
        <v>42674</v>
      </c>
      <c r="C316" s="746" t="s">
        <v>1772</v>
      </c>
      <c r="D316" s="747">
        <v>3779</v>
      </c>
      <c r="E316" s="747">
        <v>3749</v>
      </c>
      <c r="F316" s="747">
        <v>3691</v>
      </c>
      <c r="G316" s="747">
        <v>3661</v>
      </c>
      <c r="H316" s="747">
        <v>3704</v>
      </c>
      <c r="I316" s="747">
        <v>4004</v>
      </c>
      <c r="J316" s="747">
        <v>4509</v>
      </c>
      <c r="K316" s="747">
        <v>4793</v>
      </c>
      <c r="L316" s="747">
        <v>4764</v>
      </c>
      <c r="M316" s="747">
        <v>4772</v>
      </c>
      <c r="N316" s="747">
        <v>4898</v>
      </c>
      <c r="O316" s="747">
        <v>4964</v>
      </c>
      <c r="P316" s="747">
        <v>5009</v>
      </c>
      <c r="Q316" s="747">
        <v>5090</v>
      </c>
      <c r="R316" s="747">
        <v>5136</v>
      </c>
      <c r="S316" s="747">
        <v>5165</v>
      </c>
      <c r="T316" s="747">
        <v>5191</v>
      </c>
      <c r="U316" s="747">
        <v>5186</v>
      </c>
      <c r="V316" s="747">
        <v>5209</v>
      </c>
      <c r="W316" s="747">
        <v>5027</v>
      </c>
      <c r="X316" s="747">
        <v>4849</v>
      </c>
      <c r="Y316" s="747">
        <v>4608</v>
      </c>
      <c r="Z316" s="747">
        <v>4310</v>
      </c>
      <c r="AA316" s="747">
        <v>3959</v>
      </c>
      <c r="AC316" s="628">
        <f t="shared" si="43"/>
        <v>305</v>
      </c>
      <c r="AD316" s="627">
        <f t="shared" si="44"/>
        <v>152</v>
      </c>
      <c r="AE316" s="627">
        <f t="shared" si="47"/>
        <v>30</v>
      </c>
      <c r="AF316" s="627">
        <f t="shared" si="47"/>
        <v>58</v>
      </c>
      <c r="AG316" s="627">
        <f t="shared" si="47"/>
        <v>30</v>
      </c>
      <c r="AH316" s="627">
        <f t="shared" si="47"/>
        <v>43</v>
      </c>
      <c r="AI316" s="627">
        <f t="shared" si="47"/>
        <v>300</v>
      </c>
      <c r="AJ316" s="627">
        <f t="shared" si="47"/>
        <v>505</v>
      </c>
      <c r="AK316" s="627">
        <f t="shared" si="47"/>
        <v>284</v>
      </c>
      <c r="AL316" s="627">
        <f t="shared" si="47"/>
        <v>29</v>
      </c>
      <c r="AM316" s="627">
        <f t="shared" si="46"/>
        <v>8</v>
      </c>
      <c r="AN316" s="627">
        <f t="shared" si="46"/>
        <v>126</v>
      </c>
      <c r="AO316" s="627">
        <f t="shared" si="46"/>
        <v>66</v>
      </c>
      <c r="AP316" s="627">
        <f t="shared" si="46"/>
        <v>45</v>
      </c>
      <c r="AQ316" s="627">
        <f t="shared" si="46"/>
        <v>81</v>
      </c>
      <c r="AR316" s="627">
        <f t="shared" si="46"/>
        <v>46</v>
      </c>
      <c r="AS316" s="627">
        <f t="shared" si="46"/>
        <v>29</v>
      </c>
      <c r="AT316" s="627">
        <f t="shared" si="46"/>
        <v>26</v>
      </c>
      <c r="AU316" s="627">
        <f t="shared" si="46"/>
        <v>5</v>
      </c>
      <c r="AV316" s="627">
        <f t="shared" si="46"/>
        <v>23</v>
      </c>
      <c r="AW316" s="627">
        <f t="shared" si="46"/>
        <v>182</v>
      </c>
      <c r="AX316" s="627">
        <f t="shared" si="48"/>
        <v>178</v>
      </c>
      <c r="AY316" s="627">
        <f t="shared" si="48"/>
        <v>241</v>
      </c>
      <c r="AZ316" s="627">
        <f t="shared" si="48"/>
        <v>298</v>
      </c>
      <c r="BA316" s="627">
        <f t="shared" si="48"/>
        <v>351</v>
      </c>
    </row>
    <row r="317" spans="1:53">
      <c r="A317" s="105">
        <f t="shared" si="42"/>
        <v>306</v>
      </c>
      <c r="B317" s="745">
        <v>42675</v>
      </c>
      <c r="C317" s="746" t="s">
        <v>1772</v>
      </c>
      <c r="D317" s="747">
        <v>3752</v>
      </c>
      <c r="E317" s="747">
        <v>3634</v>
      </c>
      <c r="F317" s="747">
        <v>3591</v>
      </c>
      <c r="G317" s="747">
        <v>3575</v>
      </c>
      <c r="H317" s="747">
        <v>3683</v>
      </c>
      <c r="I317" s="747">
        <v>3923</v>
      </c>
      <c r="J317" s="747">
        <v>4365</v>
      </c>
      <c r="K317" s="747">
        <v>4684</v>
      </c>
      <c r="L317" s="747">
        <v>4666</v>
      </c>
      <c r="M317" s="747">
        <v>4686</v>
      </c>
      <c r="N317" s="747">
        <v>4665</v>
      </c>
      <c r="O317" s="747">
        <v>4677</v>
      </c>
      <c r="P317" s="747">
        <v>4710</v>
      </c>
      <c r="Q317" s="747">
        <v>4752</v>
      </c>
      <c r="R317" s="747">
        <v>4811</v>
      </c>
      <c r="S317" s="747">
        <v>4836</v>
      </c>
      <c r="T317" s="747">
        <v>4976</v>
      </c>
      <c r="U317" s="747">
        <v>5121</v>
      </c>
      <c r="V317" s="747">
        <v>5364</v>
      </c>
      <c r="W317" s="747">
        <v>5292</v>
      </c>
      <c r="X317" s="747">
        <v>5103</v>
      </c>
      <c r="Y317" s="747">
        <v>4788</v>
      </c>
      <c r="Z317" s="747">
        <v>4399</v>
      </c>
      <c r="AA317" s="747">
        <v>4045</v>
      </c>
      <c r="AB317" s="627">
        <f>MAX(D317:AA346)</f>
        <v>6242</v>
      </c>
      <c r="AC317" s="628">
        <f t="shared" si="43"/>
        <v>306</v>
      </c>
      <c r="AD317" s="627">
        <f t="shared" si="44"/>
        <v>207</v>
      </c>
      <c r="AE317" s="627">
        <f t="shared" si="47"/>
        <v>118</v>
      </c>
      <c r="AF317" s="627">
        <f t="shared" si="47"/>
        <v>43</v>
      </c>
      <c r="AG317" s="627">
        <f t="shared" si="47"/>
        <v>16</v>
      </c>
      <c r="AH317" s="627">
        <f t="shared" si="47"/>
        <v>108</v>
      </c>
      <c r="AI317" s="627">
        <f t="shared" si="47"/>
        <v>240</v>
      </c>
      <c r="AJ317" s="627">
        <f t="shared" si="47"/>
        <v>442</v>
      </c>
      <c r="AK317" s="627">
        <f t="shared" si="47"/>
        <v>319</v>
      </c>
      <c r="AL317" s="627">
        <f t="shared" si="47"/>
        <v>18</v>
      </c>
      <c r="AM317" s="627">
        <f t="shared" si="46"/>
        <v>20</v>
      </c>
      <c r="AN317" s="627">
        <f t="shared" si="46"/>
        <v>21</v>
      </c>
      <c r="AO317" s="627">
        <f t="shared" si="46"/>
        <v>12</v>
      </c>
      <c r="AP317" s="627">
        <f t="shared" si="46"/>
        <v>33</v>
      </c>
      <c r="AQ317" s="627">
        <f t="shared" si="46"/>
        <v>42</v>
      </c>
      <c r="AR317" s="627">
        <f t="shared" si="46"/>
        <v>59</v>
      </c>
      <c r="AS317" s="627">
        <f t="shared" si="46"/>
        <v>25</v>
      </c>
      <c r="AT317" s="627">
        <f t="shared" si="46"/>
        <v>140</v>
      </c>
      <c r="AU317" s="627">
        <f t="shared" si="46"/>
        <v>145</v>
      </c>
      <c r="AV317" s="627">
        <f t="shared" si="46"/>
        <v>243</v>
      </c>
      <c r="AW317" s="627">
        <f t="shared" si="46"/>
        <v>72</v>
      </c>
      <c r="AX317" s="627">
        <f t="shared" si="48"/>
        <v>189</v>
      </c>
      <c r="AY317" s="627">
        <f t="shared" si="48"/>
        <v>315</v>
      </c>
      <c r="AZ317" s="627">
        <f t="shared" si="48"/>
        <v>389</v>
      </c>
      <c r="BA317" s="627">
        <f t="shared" si="48"/>
        <v>354</v>
      </c>
    </row>
    <row r="318" spans="1:53">
      <c r="A318" s="105">
        <f t="shared" si="42"/>
        <v>307</v>
      </c>
      <c r="B318" s="745">
        <v>42676</v>
      </c>
      <c r="C318" s="746" t="s">
        <v>1772</v>
      </c>
      <c r="D318" s="747">
        <v>3839</v>
      </c>
      <c r="E318" s="747">
        <v>3726</v>
      </c>
      <c r="F318" s="747">
        <v>3682</v>
      </c>
      <c r="G318" s="747">
        <v>3680</v>
      </c>
      <c r="H318" s="747">
        <v>3741</v>
      </c>
      <c r="I318" s="747">
        <v>3992</v>
      </c>
      <c r="J318" s="747">
        <v>4507</v>
      </c>
      <c r="K318" s="747">
        <v>4822</v>
      </c>
      <c r="L318" s="747">
        <v>4829</v>
      </c>
      <c r="M318" s="747">
        <v>4775</v>
      </c>
      <c r="N318" s="747">
        <v>4721</v>
      </c>
      <c r="O318" s="747">
        <v>4701</v>
      </c>
      <c r="P318" s="747">
        <v>4679</v>
      </c>
      <c r="Q318" s="747">
        <v>4708</v>
      </c>
      <c r="R318" s="747">
        <v>4763</v>
      </c>
      <c r="S318" s="747">
        <v>4760</v>
      </c>
      <c r="T318" s="747">
        <v>4836</v>
      </c>
      <c r="U318" s="747">
        <v>4972</v>
      </c>
      <c r="V318" s="747">
        <v>5222</v>
      </c>
      <c r="W318" s="747">
        <v>5176</v>
      </c>
      <c r="X318" s="747">
        <v>5004</v>
      </c>
      <c r="Y318" s="747">
        <v>4705</v>
      </c>
      <c r="Z318" s="747">
        <v>4385</v>
      </c>
      <c r="AA318" s="747">
        <v>4218</v>
      </c>
      <c r="AC318" s="628">
        <f t="shared" si="43"/>
        <v>307</v>
      </c>
      <c r="AD318" s="627">
        <f t="shared" si="44"/>
        <v>206</v>
      </c>
      <c r="AE318" s="627">
        <f t="shared" si="47"/>
        <v>113</v>
      </c>
      <c r="AF318" s="627">
        <f t="shared" si="47"/>
        <v>44</v>
      </c>
      <c r="AG318" s="627">
        <f t="shared" si="47"/>
        <v>2</v>
      </c>
      <c r="AH318" s="627">
        <f t="shared" si="47"/>
        <v>61</v>
      </c>
      <c r="AI318" s="627">
        <f t="shared" si="47"/>
        <v>251</v>
      </c>
      <c r="AJ318" s="627">
        <f t="shared" si="47"/>
        <v>515</v>
      </c>
      <c r="AK318" s="627">
        <f t="shared" si="47"/>
        <v>315</v>
      </c>
      <c r="AL318" s="627">
        <f t="shared" si="47"/>
        <v>7</v>
      </c>
      <c r="AM318" s="627">
        <f t="shared" si="46"/>
        <v>54</v>
      </c>
      <c r="AN318" s="627">
        <f t="shared" si="46"/>
        <v>54</v>
      </c>
      <c r="AO318" s="627">
        <f t="shared" si="46"/>
        <v>20</v>
      </c>
      <c r="AP318" s="627">
        <f t="shared" si="46"/>
        <v>22</v>
      </c>
      <c r="AQ318" s="627">
        <f t="shared" si="46"/>
        <v>29</v>
      </c>
      <c r="AR318" s="627">
        <f t="shared" si="46"/>
        <v>55</v>
      </c>
      <c r="AS318" s="627">
        <f t="shared" si="46"/>
        <v>3</v>
      </c>
      <c r="AT318" s="627">
        <f t="shared" si="46"/>
        <v>76</v>
      </c>
      <c r="AU318" s="627">
        <f t="shared" si="46"/>
        <v>136</v>
      </c>
      <c r="AV318" s="627">
        <f t="shared" si="46"/>
        <v>250</v>
      </c>
      <c r="AW318" s="627">
        <f t="shared" si="46"/>
        <v>46</v>
      </c>
      <c r="AX318" s="627">
        <f t="shared" si="48"/>
        <v>172</v>
      </c>
      <c r="AY318" s="627">
        <f t="shared" si="48"/>
        <v>299</v>
      </c>
      <c r="AZ318" s="627">
        <f t="shared" si="48"/>
        <v>320</v>
      </c>
      <c r="BA318" s="627">
        <f t="shared" si="48"/>
        <v>167</v>
      </c>
    </row>
    <row r="319" spans="1:53">
      <c r="A319" s="105">
        <f t="shared" si="42"/>
        <v>308</v>
      </c>
      <c r="B319" s="745">
        <v>42677</v>
      </c>
      <c r="C319" s="746" t="s">
        <v>1772</v>
      </c>
      <c r="D319" s="747">
        <v>4078</v>
      </c>
      <c r="E319" s="747">
        <v>3968</v>
      </c>
      <c r="F319" s="747">
        <v>3915</v>
      </c>
      <c r="G319" s="747">
        <v>3919</v>
      </c>
      <c r="H319" s="747">
        <v>3930</v>
      </c>
      <c r="I319" s="747">
        <v>4224</v>
      </c>
      <c r="J319" s="747">
        <v>4749</v>
      </c>
      <c r="K319" s="747">
        <v>4936</v>
      </c>
      <c r="L319" s="747">
        <v>4879</v>
      </c>
      <c r="M319" s="747">
        <v>4789</v>
      </c>
      <c r="N319" s="747">
        <v>4769</v>
      </c>
      <c r="O319" s="747">
        <v>4759</v>
      </c>
      <c r="P319" s="747">
        <v>4770</v>
      </c>
      <c r="Q319" s="747">
        <v>4797</v>
      </c>
      <c r="R319" s="747">
        <v>4834</v>
      </c>
      <c r="S319" s="747">
        <v>4866</v>
      </c>
      <c r="T319" s="747">
        <v>4911</v>
      </c>
      <c r="U319" s="747">
        <v>5006</v>
      </c>
      <c r="V319" s="747">
        <v>5215</v>
      </c>
      <c r="W319" s="747">
        <v>5160</v>
      </c>
      <c r="X319" s="747">
        <v>4978</v>
      </c>
      <c r="Y319" s="747">
        <v>4699</v>
      </c>
      <c r="Z319" s="747">
        <v>4331</v>
      </c>
      <c r="AA319" s="747">
        <v>4167</v>
      </c>
      <c r="AC319" s="628">
        <f t="shared" si="43"/>
        <v>308</v>
      </c>
      <c r="AD319" s="627">
        <f t="shared" si="44"/>
        <v>140</v>
      </c>
      <c r="AE319" s="627">
        <f t="shared" si="47"/>
        <v>110</v>
      </c>
      <c r="AF319" s="627">
        <f t="shared" si="47"/>
        <v>53</v>
      </c>
      <c r="AG319" s="627">
        <f t="shared" si="47"/>
        <v>4</v>
      </c>
      <c r="AH319" s="627">
        <f t="shared" si="47"/>
        <v>11</v>
      </c>
      <c r="AI319" s="627">
        <f t="shared" si="47"/>
        <v>294</v>
      </c>
      <c r="AJ319" s="627">
        <f t="shared" si="47"/>
        <v>525</v>
      </c>
      <c r="AK319" s="627">
        <f t="shared" si="47"/>
        <v>187</v>
      </c>
      <c r="AL319" s="627">
        <f t="shared" si="47"/>
        <v>57</v>
      </c>
      <c r="AM319" s="627">
        <f t="shared" si="46"/>
        <v>90</v>
      </c>
      <c r="AN319" s="627">
        <f t="shared" si="46"/>
        <v>20</v>
      </c>
      <c r="AO319" s="627">
        <f t="shared" si="46"/>
        <v>10</v>
      </c>
      <c r="AP319" s="627">
        <f t="shared" si="46"/>
        <v>11</v>
      </c>
      <c r="AQ319" s="627">
        <f t="shared" si="46"/>
        <v>27</v>
      </c>
      <c r="AR319" s="627">
        <f t="shared" si="46"/>
        <v>37</v>
      </c>
      <c r="AS319" s="627">
        <f t="shared" si="46"/>
        <v>32</v>
      </c>
      <c r="AT319" s="627">
        <f t="shared" si="46"/>
        <v>45</v>
      </c>
      <c r="AU319" s="627">
        <f t="shared" si="46"/>
        <v>95</v>
      </c>
      <c r="AV319" s="627">
        <f t="shared" si="46"/>
        <v>209</v>
      </c>
      <c r="AW319" s="627">
        <f t="shared" si="46"/>
        <v>55</v>
      </c>
      <c r="AX319" s="627">
        <f t="shared" si="48"/>
        <v>182</v>
      </c>
      <c r="AY319" s="627">
        <f t="shared" si="48"/>
        <v>279</v>
      </c>
      <c r="AZ319" s="627">
        <f t="shared" si="48"/>
        <v>368</v>
      </c>
      <c r="BA319" s="627">
        <f t="shared" si="48"/>
        <v>164</v>
      </c>
    </row>
    <row r="320" spans="1:53">
      <c r="A320" s="105">
        <f t="shared" si="42"/>
        <v>309</v>
      </c>
      <c r="B320" s="745">
        <v>42678</v>
      </c>
      <c r="C320" s="746" t="s">
        <v>1771</v>
      </c>
      <c r="D320" s="747">
        <v>4048</v>
      </c>
      <c r="E320" s="747">
        <v>3950</v>
      </c>
      <c r="F320" s="747">
        <v>3897</v>
      </c>
      <c r="G320" s="747">
        <v>3916</v>
      </c>
      <c r="H320" s="747">
        <v>3985</v>
      </c>
      <c r="I320" s="747">
        <v>4099</v>
      </c>
      <c r="J320" s="747">
        <v>4590</v>
      </c>
      <c r="K320" s="747">
        <v>4885</v>
      </c>
      <c r="L320" s="747">
        <v>4879</v>
      </c>
      <c r="M320" s="747">
        <v>4821</v>
      </c>
      <c r="N320" s="747">
        <v>4774</v>
      </c>
      <c r="O320" s="747">
        <v>4746</v>
      </c>
      <c r="P320" s="747">
        <v>4763</v>
      </c>
      <c r="Q320" s="747">
        <v>4776</v>
      </c>
      <c r="R320" s="747">
        <v>4812</v>
      </c>
      <c r="S320" s="747">
        <v>4829</v>
      </c>
      <c r="T320" s="747">
        <v>4858</v>
      </c>
      <c r="U320" s="747">
        <v>4915</v>
      </c>
      <c r="V320" s="747">
        <v>5063</v>
      </c>
      <c r="W320" s="747">
        <v>4977</v>
      </c>
      <c r="X320" s="747">
        <v>4903</v>
      </c>
      <c r="Y320" s="747">
        <v>4729</v>
      </c>
      <c r="Z320" s="747">
        <v>4543</v>
      </c>
      <c r="AA320" s="747">
        <v>4231</v>
      </c>
      <c r="AC320" s="628">
        <f t="shared" si="43"/>
        <v>309</v>
      </c>
      <c r="AD320" s="627">
        <f t="shared" si="44"/>
        <v>119</v>
      </c>
      <c r="AE320" s="627">
        <f t="shared" si="47"/>
        <v>98</v>
      </c>
      <c r="AF320" s="627">
        <f t="shared" si="47"/>
        <v>53</v>
      </c>
      <c r="AG320" s="627">
        <f t="shared" si="47"/>
        <v>19</v>
      </c>
      <c r="AH320" s="627">
        <f t="shared" si="47"/>
        <v>69</v>
      </c>
      <c r="AI320" s="627">
        <f t="shared" si="47"/>
        <v>114</v>
      </c>
      <c r="AJ320" s="627">
        <f t="shared" si="47"/>
        <v>491</v>
      </c>
      <c r="AK320" s="627">
        <f t="shared" si="47"/>
        <v>295</v>
      </c>
      <c r="AL320" s="627">
        <f t="shared" si="47"/>
        <v>6</v>
      </c>
      <c r="AM320" s="627">
        <f t="shared" si="46"/>
        <v>58</v>
      </c>
      <c r="AN320" s="627">
        <f t="shared" si="46"/>
        <v>47</v>
      </c>
      <c r="AO320" s="627">
        <f t="shared" si="46"/>
        <v>28</v>
      </c>
      <c r="AP320" s="627">
        <f t="shared" si="46"/>
        <v>17</v>
      </c>
      <c r="AQ320" s="627">
        <f t="shared" si="46"/>
        <v>13</v>
      </c>
      <c r="AR320" s="627">
        <f t="shared" si="46"/>
        <v>36</v>
      </c>
      <c r="AS320" s="627">
        <f t="shared" si="46"/>
        <v>17</v>
      </c>
      <c r="AT320" s="627">
        <f t="shared" si="46"/>
        <v>29</v>
      </c>
      <c r="AU320" s="627">
        <f t="shared" si="46"/>
        <v>57</v>
      </c>
      <c r="AV320" s="627">
        <f t="shared" si="46"/>
        <v>148</v>
      </c>
      <c r="AW320" s="627">
        <f t="shared" si="46"/>
        <v>86</v>
      </c>
      <c r="AX320" s="627">
        <f t="shared" si="48"/>
        <v>74</v>
      </c>
      <c r="AY320" s="627">
        <f t="shared" si="48"/>
        <v>174</v>
      </c>
      <c r="AZ320" s="627">
        <f t="shared" si="48"/>
        <v>186</v>
      </c>
      <c r="BA320" s="627">
        <f t="shared" si="48"/>
        <v>312</v>
      </c>
    </row>
    <row r="321" spans="1:53">
      <c r="A321" s="105">
        <f t="shared" si="42"/>
        <v>310</v>
      </c>
      <c r="B321" s="745">
        <v>42679</v>
      </c>
      <c r="C321" s="746" t="s">
        <v>1771</v>
      </c>
      <c r="D321" s="747">
        <v>4023</v>
      </c>
      <c r="E321" s="747">
        <v>3907</v>
      </c>
      <c r="F321" s="747">
        <v>3833</v>
      </c>
      <c r="G321" s="747">
        <v>3766</v>
      </c>
      <c r="H321" s="747">
        <v>3717</v>
      </c>
      <c r="I321" s="747">
        <v>3835</v>
      </c>
      <c r="J321" s="747">
        <v>3988</v>
      </c>
      <c r="K321" s="747">
        <v>4187</v>
      </c>
      <c r="L321" s="747">
        <v>4307</v>
      </c>
      <c r="M321" s="747">
        <v>4372</v>
      </c>
      <c r="N321" s="747">
        <v>4435</v>
      </c>
      <c r="O321" s="747">
        <v>4443</v>
      </c>
      <c r="P321" s="747">
        <v>4452</v>
      </c>
      <c r="Q321" s="747">
        <v>4409</v>
      </c>
      <c r="R321" s="747">
        <v>4391</v>
      </c>
      <c r="S321" s="747">
        <v>4405</v>
      </c>
      <c r="T321" s="747">
        <v>4583</v>
      </c>
      <c r="U321" s="747">
        <v>4684</v>
      </c>
      <c r="V321" s="747">
        <v>4858</v>
      </c>
      <c r="W321" s="747">
        <v>4793</v>
      </c>
      <c r="X321" s="747">
        <v>4742</v>
      </c>
      <c r="Y321" s="747">
        <v>4723</v>
      </c>
      <c r="Z321" s="747">
        <v>4466</v>
      </c>
      <c r="AA321" s="747">
        <v>4190</v>
      </c>
      <c r="AC321" s="628">
        <f t="shared" si="43"/>
        <v>310</v>
      </c>
      <c r="AD321" s="627">
        <f t="shared" si="44"/>
        <v>208</v>
      </c>
      <c r="AE321" s="627">
        <f t="shared" si="47"/>
        <v>116</v>
      </c>
      <c r="AF321" s="627">
        <f t="shared" si="47"/>
        <v>74</v>
      </c>
      <c r="AG321" s="627">
        <f t="shared" si="47"/>
        <v>67</v>
      </c>
      <c r="AH321" s="627">
        <f t="shared" si="47"/>
        <v>49</v>
      </c>
      <c r="AI321" s="627">
        <f t="shared" si="47"/>
        <v>118</v>
      </c>
      <c r="AJ321" s="627">
        <f t="shared" si="47"/>
        <v>153</v>
      </c>
      <c r="AK321" s="627">
        <f t="shared" si="47"/>
        <v>199</v>
      </c>
      <c r="AL321" s="627">
        <f t="shared" si="47"/>
        <v>120</v>
      </c>
      <c r="AM321" s="627">
        <f t="shared" si="46"/>
        <v>65</v>
      </c>
      <c r="AN321" s="627">
        <f t="shared" si="46"/>
        <v>63</v>
      </c>
      <c r="AO321" s="627">
        <f t="shared" si="46"/>
        <v>8</v>
      </c>
      <c r="AP321" s="627">
        <f t="shared" si="46"/>
        <v>9</v>
      </c>
      <c r="AQ321" s="627">
        <f t="shared" si="46"/>
        <v>43</v>
      </c>
      <c r="AR321" s="627">
        <f t="shared" si="46"/>
        <v>18</v>
      </c>
      <c r="AS321" s="627">
        <f t="shared" si="46"/>
        <v>14</v>
      </c>
      <c r="AT321" s="627">
        <f t="shared" si="46"/>
        <v>178</v>
      </c>
      <c r="AU321" s="627">
        <f t="shared" si="46"/>
        <v>101</v>
      </c>
      <c r="AV321" s="627">
        <f t="shared" si="46"/>
        <v>174</v>
      </c>
      <c r="AW321" s="627">
        <f t="shared" si="46"/>
        <v>65</v>
      </c>
      <c r="AX321" s="627">
        <f t="shared" si="48"/>
        <v>51</v>
      </c>
      <c r="AY321" s="627">
        <f t="shared" si="48"/>
        <v>19</v>
      </c>
      <c r="AZ321" s="627">
        <f t="shared" si="48"/>
        <v>257</v>
      </c>
      <c r="BA321" s="627">
        <f t="shared" si="48"/>
        <v>276</v>
      </c>
    </row>
    <row r="322" spans="1:53">
      <c r="A322" s="105">
        <f t="shared" si="42"/>
        <v>311</v>
      </c>
      <c r="B322" s="745">
        <v>42680</v>
      </c>
      <c r="C322" s="746" t="s">
        <v>1771</v>
      </c>
      <c r="D322" s="747">
        <v>3990</v>
      </c>
      <c r="E322" s="747">
        <v>3865</v>
      </c>
      <c r="F322" s="747">
        <v>3633</v>
      </c>
      <c r="G322" s="747">
        <v>3635</v>
      </c>
      <c r="H322" s="747">
        <v>3677</v>
      </c>
      <c r="I322" s="747">
        <v>3702</v>
      </c>
      <c r="J322" s="747">
        <v>3863</v>
      </c>
      <c r="K322" s="747">
        <v>4022</v>
      </c>
      <c r="L322" s="747">
        <v>4137</v>
      </c>
      <c r="M322" s="747">
        <v>4193</v>
      </c>
      <c r="N322" s="747">
        <v>4234</v>
      </c>
      <c r="O322" s="747">
        <v>4282</v>
      </c>
      <c r="P322" s="747">
        <v>4306</v>
      </c>
      <c r="Q322" s="747">
        <v>4323</v>
      </c>
      <c r="R322" s="747">
        <v>4393</v>
      </c>
      <c r="S322" s="747">
        <v>4485</v>
      </c>
      <c r="T322" s="747">
        <v>4691</v>
      </c>
      <c r="U322" s="747">
        <v>5123</v>
      </c>
      <c r="V322" s="747">
        <v>5066</v>
      </c>
      <c r="W322" s="747">
        <v>4890</v>
      </c>
      <c r="X322" s="747">
        <v>4704</v>
      </c>
      <c r="Y322" s="747">
        <v>4404</v>
      </c>
      <c r="Z322" s="747">
        <v>4196</v>
      </c>
      <c r="AA322" s="747">
        <v>4040</v>
      </c>
      <c r="AC322" s="628">
        <f t="shared" si="43"/>
        <v>311</v>
      </c>
      <c r="AD322" s="627">
        <f t="shared" si="44"/>
        <v>200</v>
      </c>
      <c r="AE322" s="627">
        <f t="shared" si="47"/>
        <v>125</v>
      </c>
      <c r="AF322" s="627">
        <f t="shared" si="47"/>
        <v>232</v>
      </c>
      <c r="AG322" s="627">
        <f t="shared" si="47"/>
        <v>2</v>
      </c>
      <c r="AH322" s="627">
        <f t="shared" si="47"/>
        <v>42</v>
      </c>
      <c r="AI322" s="627">
        <f t="shared" si="47"/>
        <v>25</v>
      </c>
      <c r="AJ322" s="627">
        <f t="shared" si="47"/>
        <v>161</v>
      </c>
      <c r="AK322" s="627">
        <f t="shared" si="47"/>
        <v>159</v>
      </c>
      <c r="AL322" s="627">
        <f t="shared" si="47"/>
        <v>115</v>
      </c>
      <c r="AM322" s="627">
        <f t="shared" si="46"/>
        <v>56</v>
      </c>
      <c r="AN322" s="627">
        <f t="shared" si="46"/>
        <v>41</v>
      </c>
      <c r="AO322" s="627">
        <f t="shared" si="46"/>
        <v>48</v>
      </c>
      <c r="AP322" s="627">
        <f t="shared" si="46"/>
        <v>24</v>
      </c>
      <c r="AQ322" s="627">
        <f t="shared" si="46"/>
        <v>17</v>
      </c>
      <c r="AR322" s="627">
        <f t="shared" si="46"/>
        <v>70</v>
      </c>
      <c r="AS322" s="627">
        <f t="shared" si="46"/>
        <v>92</v>
      </c>
      <c r="AT322" s="627">
        <f t="shared" si="46"/>
        <v>206</v>
      </c>
      <c r="AU322" s="627">
        <f t="shared" si="46"/>
        <v>432</v>
      </c>
      <c r="AV322" s="627">
        <f t="shared" si="46"/>
        <v>57</v>
      </c>
      <c r="AW322" s="627">
        <f t="shared" si="46"/>
        <v>176</v>
      </c>
      <c r="AX322" s="627">
        <f t="shared" si="48"/>
        <v>186</v>
      </c>
      <c r="AY322" s="627">
        <f t="shared" si="48"/>
        <v>300</v>
      </c>
      <c r="AZ322" s="627">
        <f t="shared" si="48"/>
        <v>208</v>
      </c>
      <c r="BA322" s="627">
        <f t="shared" si="48"/>
        <v>156</v>
      </c>
    </row>
    <row r="323" spans="1:53">
      <c r="A323" s="105">
        <f t="shared" si="42"/>
        <v>312</v>
      </c>
      <c r="B323" s="745">
        <v>42681</v>
      </c>
      <c r="C323" s="746" t="s">
        <v>1771</v>
      </c>
      <c r="D323" s="747">
        <v>3896</v>
      </c>
      <c r="E323" s="747">
        <v>3810</v>
      </c>
      <c r="F323" s="747">
        <v>3800</v>
      </c>
      <c r="G323" s="747">
        <v>3837</v>
      </c>
      <c r="H323" s="747">
        <v>3981</v>
      </c>
      <c r="I323" s="747">
        <v>4332</v>
      </c>
      <c r="J323" s="747">
        <v>4690</v>
      </c>
      <c r="K323" s="747">
        <v>4809</v>
      </c>
      <c r="L323" s="747">
        <v>4739</v>
      </c>
      <c r="M323" s="747">
        <v>4716</v>
      </c>
      <c r="N323" s="747">
        <v>4756</v>
      </c>
      <c r="O323" s="747">
        <v>4758</v>
      </c>
      <c r="P323" s="747">
        <v>4768</v>
      </c>
      <c r="Q323" s="747">
        <v>4807</v>
      </c>
      <c r="R323" s="747">
        <v>4834</v>
      </c>
      <c r="S323" s="747">
        <v>4858</v>
      </c>
      <c r="T323" s="747">
        <v>4976</v>
      </c>
      <c r="U323" s="747">
        <v>5359</v>
      </c>
      <c r="V323" s="747">
        <v>5320</v>
      </c>
      <c r="W323" s="747">
        <v>5157</v>
      </c>
      <c r="X323" s="747">
        <v>4955</v>
      </c>
      <c r="Y323" s="747">
        <v>4649</v>
      </c>
      <c r="Z323" s="747">
        <v>4275</v>
      </c>
      <c r="AA323" s="747">
        <v>3986</v>
      </c>
      <c r="AC323" s="628">
        <f t="shared" si="43"/>
        <v>312</v>
      </c>
      <c r="AD323" s="627">
        <f t="shared" si="44"/>
        <v>144</v>
      </c>
      <c r="AE323" s="627">
        <f t="shared" si="47"/>
        <v>86</v>
      </c>
      <c r="AF323" s="627">
        <f t="shared" si="47"/>
        <v>10</v>
      </c>
      <c r="AG323" s="627">
        <f t="shared" si="47"/>
        <v>37</v>
      </c>
      <c r="AH323" s="627">
        <f t="shared" si="47"/>
        <v>144</v>
      </c>
      <c r="AI323" s="627">
        <f>ABS(I323-H323)</f>
        <v>351</v>
      </c>
      <c r="AJ323" s="627">
        <f>ABS(J323-I323)</f>
        <v>358</v>
      </c>
      <c r="AK323" s="627">
        <f>ABS(K323-J323)</f>
        <v>119</v>
      </c>
      <c r="AL323" s="627">
        <f>ABS(L323-K323)</f>
        <v>70</v>
      </c>
      <c r="AM323" s="627">
        <f t="shared" si="46"/>
        <v>23</v>
      </c>
      <c r="AN323" s="627">
        <f t="shared" si="46"/>
        <v>40</v>
      </c>
      <c r="AO323" s="627">
        <f t="shared" si="46"/>
        <v>2</v>
      </c>
      <c r="AP323" s="627">
        <f t="shared" si="46"/>
        <v>10</v>
      </c>
      <c r="AQ323" s="627">
        <f t="shared" si="46"/>
        <v>39</v>
      </c>
      <c r="AR323" s="627">
        <f t="shared" si="46"/>
        <v>27</v>
      </c>
      <c r="AS323" s="627">
        <f t="shared" si="46"/>
        <v>24</v>
      </c>
      <c r="AT323" s="627">
        <f t="shared" si="46"/>
        <v>118</v>
      </c>
      <c r="AU323" s="627">
        <f t="shared" si="46"/>
        <v>383</v>
      </c>
      <c r="AV323" s="627">
        <f t="shared" si="46"/>
        <v>39</v>
      </c>
      <c r="AW323" s="627">
        <f t="shared" si="46"/>
        <v>163</v>
      </c>
      <c r="AX323" s="627">
        <f t="shared" si="48"/>
        <v>202</v>
      </c>
      <c r="AY323" s="627">
        <f t="shared" si="48"/>
        <v>306</v>
      </c>
      <c r="AZ323" s="627">
        <f t="shared" si="48"/>
        <v>374</v>
      </c>
      <c r="BA323" s="627">
        <f t="shared" si="48"/>
        <v>289</v>
      </c>
    </row>
    <row r="324" spans="1:53">
      <c r="A324" s="105">
        <f t="shared" si="42"/>
        <v>313</v>
      </c>
      <c r="B324" s="745">
        <v>42682</v>
      </c>
      <c r="C324" s="746" t="s">
        <v>1771</v>
      </c>
      <c r="D324" s="747">
        <v>3824</v>
      </c>
      <c r="E324" s="747">
        <v>3755</v>
      </c>
      <c r="F324" s="747">
        <v>3726</v>
      </c>
      <c r="G324" s="747">
        <v>3757</v>
      </c>
      <c r="H324" s="747">
        <v>3893</v>
      </c>
      <c r="I324" s="747">
        <v>4229</v>
      </c>
      <c r="J324" s="747">
        <v>4692</v>
      </c>
      <c r="K324" s="747">
        <v>4799</v>
      </c>
      <c r="L324" s="747">
        <v>4753</v>
      </c>
      <c r="M324" s="747">
        <v>4718</v>
      </c>
      <c r="N324" s="747">
        <v>4728</v>
      </c>
      <c r="O324" s="747">
        <v>4741</v>
      </c>
      <c r="P324" s="747">
        <v>4749</v>
      </c>
      <c r="Q324" s="747">
        <v>4794</v>
      </c>
      <c r="R324" s="747">
        <v>4814</v>
      </c>
      <c r="S324" s="747">
        <v>4846</v>
      </c>
      <c r="T324" s="747">
        <v>4986</v>
      </c>
      <c r="U324" s="747">
        <v>5358</v>
      </c>
      <c r="V324" s="747">
        <v>5330</v>
      </c>
      <c r="W324" s="747">
        <v>5100</v>
      </c>
      <c r="X324" s="747">
        <v>4825</v>
      </c>
      <c r="Y324" s="747">
        <v>4556</v>
      </c>
      <c r="Z324" s="747">
        <v>4208</v>
      </c>
      <c r="AA324" s="747">
        <v>3891</v>
      </c>
      <c r="AC324" s="628">
        <f t="shared" si="43"/>
        <v>313</v>
      </c>
      <c r="AD324" s="627">
        <f t="shared" si="44"/>
        <v>162</v>
      </c>
      <c r="AE324" s="627">
        <f t="shared" si="47"/>
        <v>69</v>
      </c>
      <c r="AF324" s="627">
        <f t="shared" si="47"/>
        <v>29</v>
      </c>
      <c r="AG324" s="627">
        <f t="shared" si="47"/>
        <v>31</v>
      </c>
      <c r="AH324" s="627">
        <f t="shared" si="47"/>
        <v>136</v>
      </c>
      <c r="AI324" s="627">
        <f t="shared" si="47"/>
        <v>336</v>
      </c>
      <c r="AJ324" s="627">
        <f t="shared" si="47"/>
        <v>463</v>
      </c>
      <c r="AK324" s="627">
        <f t="shared" si="47"/>
        <v>107</v>
      </c>
      <c r="AL324" s="627">
        <f t="shared" si="47"/>
        <v>46</v>
      </c>
      <c r="AM324" s="627">
        <f t="shared" si="47"/>
        <v>35</v>
      </c>
      <c r="AN324" s="627">
        <f t="shared" si="47"/>
        <v>10</v>
      </c>
      <c r="AO324" s="627">
        <f t="shared" si="47"/>
        <v>13</v>
      </c>
      <c r="AP324" s="627">
        <f t="shared" si="47"/>
        <v>8</v>
      </c>
      <c r="AQ324" s="627">
        <f t="shared" si="47"/>
        <v>45</v>
      </c>
      <c r="AR324" s="627">
        <f t="shared" si="47"/>
        <v>20</v>
      </c>
      <c r="AS324" s="627">
        <f t="shared" si="47"/>
        <v>32</v>
      </c>
      <c r="AT324" s="627">
        <f t="shared" si="47"/>
        <v>140</v>
      </c>
      <c r="AU324" s="627">
        <f t="shared" ref="AR324:BA366" si="49">ABS(U324-T324)</f>
        <v>372</v>
      </c>
      <c r="AV324" s="627">
        <f t="shared" si="49"/>
        <v>28</v>
      </c>
      <c r="AW324" s="627">
        <f t="shared" si="49"/>
        <v>230</v>
      </c>
      <c r="AX324" s="627">
        <f t="shared" si="48"/>
        <v>275</v>
      </c>
      <c r="AY324" s="627">
        <f t="shared" si="48"/>
        <v>269</v>
      </c>
      <c r="AZ324" s="627">
        <f t="shared" si="48"/>
        <v>348</v>
      </c>
      <c r="BA324" s="627">
        <f t="shared" si="48"/>
        <v>317</v>
      </c>
    </row>
    <row r="325" spans="1:53">
      <c r="A325" s="105">
        <f t="shared" si="42"/>
        <v>314</v>
      </c>
      <c r="B325" s="745">
        <v>42683</v>
      </c>
      <c r="C325" s="746" t="s">
        <v>1771</v>
      </c>
      <c r="D325" s="747">
        <v>3691</v>
      </c>
      <c r="E325" s="747">
        <v>3586</v>
      </c>
      <c r="F325" s="747">
        <v>3555</v>
      </c>
      <c r="G325" s="747">
        <v>3594</v>
      </c>
      <c r="H325" s="747">
        <v>3748</v>
      </c>
      <c r="I325" s="747">
        <v>4069</v>
      </c>
      <c r="J325" s="747">
        <v>4694</v>
      </c>
      <c r="K325" s="747">
        <v>4799</v>
      </c>
      <c r="L325" s="747">
        <v>4735</v>
      </c>
      <c r="M325" s="747">
        <v>4749</v>
      </c>
      <c r="N325" s="747">
        <v>4706</v>
      </c>
      <c r="O325" s="747">
        <v>4757</v>
      </c>
      <c r="P325" s="747">
        <v>4805</v>
      </c>
      <c r="Q325" s="747">
        <v>4855</v>
      </c>
      <c r="R325" s="747">
        <v>4903</v>
      </c>
      <c r="S325" s="747">
        <v>4958</v>
      </c>
      <c r="T325" s="747">
        <v>5069</v>
      </c>
      <c r="U325" s="747">
        <v>5368</v>
      </c>
      <c r="V325" s="747">
        <v>5317</v>
      </c>
      <c r="W325" s="747">
        <v>5139</v>
      </c>
      <c r="X325" s="747">
        <v>4956</v>
      </c>
      <c r="Y325" s="747">
        <v>4642</v>
      </c>
      <c r="Z325" s="747">
        <v>4272</v>
      </c>
      <c r="AA325" s="747">
        <v>3983</v>
      </c>
      <c r="AC325" s="628">
        <f t="shared" si="43"/>
        <v>314</v>
      </c>
      <c r="AD325" s="627">
        <f t="shared" si="44"/>
        <v>200</v>
      </c>
      <c r="AE325" s="627">
        <f t="shared" si="47"/>
        <v>105</v>
      </c>
      <c r="AF325" s="627">
        <f t="shared" si="47"/>
        <v>31</v>
      </c>
      <c r="AG325" s="627">
        <f t="shared" si="47"/>
        <v>39</v>
      </c>
      <c r="AH325" s="627">
        <f t="shared" si="47"/>
        <v>154</v>
      </c>
      <c r="AI325" s="627">
        <f t="shared" si="47"/>
        <v>321</v>
      </c>
      <c r="AJ325" s="627">
        <f t="shared" si="47"/>
        <v>625</v>
      </c>
      <c r="AK325" s="627">
        <f t="shared" si="47"/>
        <v>105</v>
      </c>
      <c r="AL325" s="627">
        <f t="shared" si="47"/>
        <v>64</v>
      </c>
      <c r="AM325" s="627">
        <f t="shared" si="47"/>
        <v>14</v>
      </c>
      <c r="AN325" s="627">
        <f t="shared" si="47"/>
        <v>43</v>
      </c>
      <c r="AO325" s="627">
        <f t="shared" si="47"/>
        <v>51</v>
      </c>
      <c r="AP325" s="627">
        <f t="shared" si="47"/>
        <v>48</v>
      </c>
      <c r="AQ325" s="627">
        <f t="shared" si="47"/>
        <v>50</v>
      </c>
      <c r="AR325" s="627">
        <f t="shared" si="49"/>
        <v>48</v>
      </c>
      <c r="AS325" s="627">
        <f t="shared" si="49"/>
        <v>55</v>
      </c>
      <c r="AT325" s="627">
        <f t="shared" si="49"/>
        <v>111</v>
      </c>
      <c r="AU325" s="627">
        <f t="shared" si="49"/>
        <v>299</v>
      </c>
      <c r="AV325" s="627">
        <f t="shared" si="49"/>
        <v>51</v>
      </c>
      <c r="AW325" s="627">
        <f t="shared" si="49"/>
        <v>178</v>
      </c>
      <c r="AX325" s="627">
        <f t="shared" si="48"/>
        <v>183</v>
      </c>
      <c r="AY325" s="627">
        <f t="shared" si="48"/>
        <v>314</v>
      </c>
      <c r="AZ325" s="627">
        <f t="shared" si="48"/>
        <v>370</v>
      </c>
      <c r="BA325" s="627">
        <f t="shared" si="48"/>
        <v>289</v>
      </c>
    </row>
    <row r="326" spans="1:53">
      <c r="A326" s="105">
        <f t="shared" si="42"/>
        <v>315</v>
      </c>
      <c r="B326" s="745">
        <v>42684</v>
      </c>
      <c r="C326" s="746" t="s">
        <v>1771</v>
      </c>
      <c r="D326" s="747">
        <v>3817</v>
      </c>
      <c r="E326" s="747">
        <v>3727</v>
      </c>
      <c r="F326" s="747">
        <v>3684</v>
      </c>
      <c r="G326" s="747">
        <v>3714</v>
      </c>
      <c r="H326" s="747">
        <v>3851</v>
      </c>
      <c r="I326" s="747">
        <v>4162</v>
      </c>
      <c r="J326" s="747">
        <v>4604</v>
      </c>
      <c r="K326" s="747">
        <v>4730</v>
      </c>
      <c r="L326" s="747">
        <v>4695</v>
      </c>
      <c r="M326" s="747">
        <v>4699</v>
      </c>
      <c r="N326" s="747">
        <v>4739</v>
      </c>
      <c r="O326" s="747">
        <v>4761</v>
      </c>
      <c r="P326" s="747">
        <v>4747</v>
      </c>
      <c r="Q326" s="747">
        <v>4826</v>
      </c>
      <c r="R326" s="747">
        <v>4844</v>
      </c>
      <c r="S326" s="747">
        <v>4872</v>
      </c>
      <c r="T326" s="747">
        <v>4986</v>
      </c>
      <c r="U326" s="747">
        <v>5311</v>
      </c>
      <c r="V326" s="747">
        <v>5254</v>
      </c>
      <c r="W326" s="747">
        <v>4991</v>
      </c>
      <c r="X326" s="747">
        <v>4773</v>
      </c>
      <c r="Y326" s="747">
        <v>4485</v>
      </c>
      <c r="Z326" s="747">
        <v>4095</v>
      </c>
      <c r="AA326" s="747">
        <v>3805</v>
      </c>
      <c r="AC326" s="628">
        <f t="shared" si="43"/>
        <v>315</v>
      </c>
      <c r="AD326" s="627">
        <f t="shared" si="44"/>
        <v>166</v>
      </c>
      <c r="AE326" s="627">
        <f t="shared" si="47"/>
        <v>90</v>
      </c>
      <c r="AF326" s="627">
        <f t="shared" si="47"/>
        <v>43</v>
      </c>
      <c r="AG326" s="627">
        <f t="shared" si="47"/>
        <v>30</v>
      </c>
      <c r="AH326" s="627">
        <f t="shared" si="47"/>
        <v>137</v>
      </c>
      <c r="AI326" s="627">
        <f t="shared" si="47"/>
        <v>311</v>
      </c>
      <c r="AJ326" s="627">
        <f t="shared" si="47"/>
        <v>442</v>
      </c>
      <c r="AK326" s="627">
        <f t="shared" si="47"/>
        <v>126</v>
      </c>
      <c r="AL326" s="627">
        <f t="shared" si="47"/>
        <v>35</v>
      </c>
      <c r="AM326" s="627">
        <f t="shared" si="47"/>
        <v>4</v>
      </c>
      <c r="AN326" s="627">
        <f t="shared" si="47"/>
        <v>40</v>
      </c>
      <c r="AO326" s="627">
        <f t="shared" si="47"/>
        <v>22</v>
      </c>
      <c r="AP326" s="627">
        <f t="shared" si="47"/>
        <v>14</v>
      </c>
      <c r="AQ326" s="627">
        <f t="shared" si="47"/>
        <v>79</v>
      </c>
      <c r="AR326" s="627">
        <f t="shared" si="49"/>
        <v>18</v>
      </c>
      <c r="AS326" s="627">
        <f t="shared" si="49"/>
        <v>28</v>
      </c>
      <c r="AT326" s="627">
        <f t="shared" si="49"/>
        <v>114</v>
      </c>
      <c r="AU326" s="627">
        <f t="shared" si="49"/>
        <v>325</v>
      </c>
      <c r="AV326" s="627">
        <f t="shared" si="49"/>
        <v>57</v>
      </c>
      <c r="AW326" s="627">
        <f t="shared" si="49"/>
        <v>263</v>
      </c>
      <c r="AX326" s="627">
        <f t="shared" si="48"/>
        <v>218</v>
      </c>
      <c r="AY326" s="627">
        <f t="shared" si="48"/>
        <v>288</v>
      </c>
      <c r="AZ326" s="627">
        <f t="shared" si="48"/>
        <v>390</v>
      </c>
      <c r="BA326" s="627">
        <f t="shared" si="48"/>
        <v>290</v>
      </c>
    </row>
    <row r="327" spans="1:53">
      <c r="A327" s="105">
        <f t="shared" si="42"/>
        <v>316</v>
      </c>
      <c r="B327" s="745">
        <v>42685</v>
      </c>
      <c r="C327" s="746" t="s">
        <v>1771</v>
      </c>
      <c r="D327" s="747">
        <v>3702</v>
      </c>
      <c r="E327" s="747">
        <v>3646</v>
      </c>
      <c r="F327" s="747">
        <v>3633</v>
      </c>
      <c r="G327" s="747">
        <v>3660</v>
      </c>
      <c r="H327" s="747">
        <v>3797</v>
      </c>
      <c r="I327" s="747">
        <v>4101</v>
      </c>
      <c r="J327" s="747">
        <v>4522</v>
      </c>
      <c r="K327" s="747">
        <v>4645</v>
      </c>
      <c r="L327" s="747">
        <v>4650</v>
      </c>
      <c r="M327" s="747">
        <v>4618</v>
      </c>
      <c r="N327" s="747">
        <v>4604</v>
      </c>
      <c r="O327" s="747">
        <v>4601</v>
      </c>
      <c r="P327" s="747">
        <v>4580</v>
      </c>
      <c r="Q327" s="747">
        <v>4604</v>
      </c>
      <c r="R327" s="747">
        <v>4632</v>
      </c>
      <c r="S327" s="747">
        <v>4651</v>
      </c>
      <c r="T327" s="747">
        <v>4789</v>
      </c>
      <c r="U327" s="747">
        <v>5137</v>
      </c>
      <c r="V327" s="747">
        <v>5055</v>
      </c>
      <c r="W327" s="747">
        <v>4926</v>
      </c>
      <c r="X327" s="747">
        <v>4772</v>
      </c>
      <c r="Y327" s="747">
        <v>4548</v>
      </c>
      <c r="Z327" s="747">
        <v>4315</v>
      </c>
      <c r="AA327" s="747">
        <v>3938</v>
      </c>
      <c r="AC327" s="628">
        <f t="shared" si="43"/>
        <v>316</v>
      </c>
      <c r="AD327" s="627">
        <f t="shared" si="44"/>
        <v>103</v>
      </c>
      <c r="AE327" s="627">
        <f t="shared" si="47"/>
        <v>56</v>
      </c>
      <c r="AF327" s="627">
        <f t="shared" si="47"/>
        <v>13</v>
      </c>
      <c r="AG327" s="627">
        <f t="shared" si="47"/>
        <v>27</v>
      </c>
      <c r="AH327" s="627">
        <f t="shared" si="47"/>
        <v>137</v>
      </c>
      <c r="AI327" s="627">
        <f t="shared" si="47"/>
        <v>304</v>
      </c>
      <c r="AJ327" s="627">
        <f t="shared" si="47"/>
        <v>421</v>
      </c>
      <c r="AK327" s="627">
        <f t="shared" si="47"/>
        <v>123</v>
      </c>
      <c r="AL327" s="627">
        <f t="shared" si="47"/>
        <v>5</v>
      </c>
      <c r="AM327" s="627">
        <f t="shared" si="47"/>
        <v>32</v>
      </c>
      <c r="AN327" s="627">
        <f t="shared" si="47"/>
        <v>14</v>
      </c>
      <c r="AO327" s="627">
        <f t="shared" si="47"/>
        <v>3</v>
      </c>
      <c r="AP327" s="627">
        <f t="shared" si="47"/>
        <v>21</v>
      </c>
      <c r="AQ327" s="627">
        <f t="shared" si="47"/>
        <v>24</v>
      </c>
      <c r="AR327" s="627">
        <f t="shared" si="49"/>
        <v>28</v>
      </c>
      <c r="AS327" s="627">
        <f t="shared" si="49"/>
        <v>19</v>
      </c>
      <c r="AT327" s="627">
        <f t="shared" si="49"/>
        <v>138</v>
      </c>
      <c r="AU327" s="627">
        <f t="shared" si="49"/>
        <v>348</v>
      </c>
      <c r="AV327" s="627">
        <f t="shared" si="49"/>
        <v>82</v>
      </c>
      <c r="AW327" s="627">
        <f t="shared" si="49"/>
        <v>129</v>
      </c>
      <c r="AX327" s="627">
        <f t="shared" si="48"/>
        <v>154</v>
      </c>
      <c r="AY327" s="627">
        <f t="shared" si="48"/>
        <v>224</v>
      </c>
      <c r="AZ327" s="627">
        <f t="shared" si="48"/>
        <v>233</v>
      </c>
      <c r="BA327" s="627">
        <f t="shared" si="48"/>
        <v>377</v>
      </c>
    </row>
    <row r="328" spans="1:53">
      <c r="A328" s="105">
        <f t="shared" si="42"/>
        <v>317</v>
      </c>
      <c r="B328" s="745">
        <v>42686</v>
      </c>
      <c r="C328" s="746" t="s">
        <v>1771</v>
      </c>
      <c r="D328" s="747">
        <v>4069</v>
      </c>
      <c r="E328" s="747">
        <v>3981</v>
      </c>
      <c r="F328" s="747">
        <v>3934</v>
      </c>
      <c r="G328" s="747">
        <v>3832</v>
      </c>
      <c r="H328" s="747">
        <v>3875</v>
      </c>
      <c r="I328" s="747">
        <v>4028</v>
      </c>
      <c r="J328" s="747">
        <v>4117</v>
      </c>
      <c r="K328" s="747">
        <v>4227</v>
      </c>
      <c r="L328" s="747">
        <v>4312</v>
      </c>
      <c r="M328" s="747">
        <v>4347</v>
      </c>
      <c r="N328" s="747">
        <v>4364</v>
      </c>
      <c r="O328" s="747">
        <v>4368</v>
      </c>
      <c r="P328" s="747">
        <v>4337</v>
      </c>
      <c r="Q328" s="747">
        <v>4318</v>
      </c>
      <c r="R328" s="747">
        <v>4351</v>
      </c>
      <c r="S328" s="747">
        <v>4394</v>
      </c>
      <c r="T328" s="747">
        <v>4594</v>
      </c>
      <c r="U328" s="747">
        <v>4950</v>
      </c>
      <c r="V328" s="747">
        <v>4900</v>
      </c>
      <c r="W328" s="747">
        <v>4690</v>
      </c>
      <c r="X328" s="747">
        <v>4428</v>
      </c>
      <c r="Y328" s="747">
        <v>4245</v>
      </c>
      <c r="Z328" s="747">
        <v>4026</v>
      </c>
      <c r="AA328" s="747">
        <v>3821</v>
      </c>
      <c r="AC328" s="628">
        <f t="shared" si="43"/>
        <v>317</v>
      </c>
      <c r="AD328" s="627">
        <f t="shared" si="44"/>
        <v>131</v>
      </c>
      <c r="AE328" s="627">
        <f t="shared" si="47"/>
        <v>88</v>
      </c>
      <c r="AF328" s="627">
        <f t="shared" si="47"/>
        <v>47</v>
      </c>
      <c r="AG328" s="627">
        <f t="shared" si="47"/>
        <v>102</v>
      </c>
      <c r="AH328" s="627">
        <f t="shared" si="47"/>
        <v>43</v>
      </c>
      <c r="AI328" s="627">
        <f t="shared" si="47"/>
        <v>153</v>
      </c>
      <c r="AJ328" s="627">
        <f t="shared" si="47"/>
        <v>89</v>
      </c>
      <c r="AK328" s="627">
        <f t="shared" si="47"/>
        <v>110</v>
      </c>
      <c r="AL328" s="627">
        <f t="shared" si="47"/>
        <v>85</v>
      </c>
      <c r="AM328" s="627">
        <f t="shared" si="47"/>
        <v>35</v>
      </c>
      <c r="AN328" s="627">
        <f t="shared" si="47"/>
        <v>17</v>
      </c>
      <c r="AO328" s="627">
        <f t="shared" si="47"/>
        <v>4</v>
      </c>
      <c r="AP328" s="627">
        <f t="shared" si="47"/>
        <v>31</v>
      </c>
      <c r="AQ328" s="627">
        <f t="shared" ref="AM328:BA368" si="50">ABS(Q328-P328)</f>
        <v>19</v>
      </c>
      <c r="AR328" s="627">
        <f t="shared" si="49"/>
        <v>33</v>
      </c>
      <c r="AS328" s="627">
        <f t="shared" si="49"/>
        <v>43</v>
      </c>
      <c r="AT328" s="627">
        <f t="shared" si="49"/>
        <v>200</v>
      </c>
      <c r="AU328" s="627">
        <f t="shared" si="49"/>
        <v>356</v>
      </c>
      <c r="AV328" s="627">
        <f t="shared" si="49"/>
        <v>50</v>
      </c>
      <c r="AW328" s="627">
        <f t="shared" si="49"/>
        <v>210</v>
      </c>
      <c r="AX328" s="627">
        <f t="shared" si="48"/>
        <v>262</v>
      </c>
      <c r="AY328" s="627">
        <f t="shared" si="48"/>
        <v>183</v>
      </c>
      <c r="AZ328" s="627">
        <f t="shared" si="48"/>
        <v>219</v>
      </c>
      <c r="BA328" s="627">
        <f t="shared" si="48"/>
        <v>205</v>
      </c>
    </row>
    <row r="329" spans="1:53">
      <c r="A329" s="105">
        <f t="shared" si="42"/>
        <v>318</v>
      </c>
      <c r="B329" s="745">
        <v>42687</v>
      </c>
      <c r="C329" s="746" t="s">
        <v>1771</v>
      </c>
      <c r="D329" s="747">
        <v>3690</v>
      </c>
      <c r="E329" s="747">
        <v>3609</v>
      </c>
      <c r="F329" s="747">
        <v>3799</v>
      </c>
      <c r="G329" s="747">
        <v>3804</v>
      </c>
      <c r="H329" s="747">
        <v>3812</v>
      </c>
      <c r="I329" s="747">
        <v>3934</v>
      </c>
      <c r="J329" s="747">
        <v>4025</v>
      </c>
      <c r="K329" s="747">
        <v>4105</v>
      </c>
      <c r="L329" s="747">
        <v>4310</v>
      </c>
      <c r="M329" s="747">
        <v>4395</v>
      </c>
      <c r="N329" s="747">
        <v>4321</v>
      </c>
      <c r="O329" s="747">
        <v>4203</v>
      </c>
      <c r="P329" s="747">
        <v>4183</v>
      </c>
      <c r="Q329" s="747">
        <v>4210</v>
      </c>
      <c r="R329" s="747">
        <v>4170</v>
      </c>
      <c r="S329" s="747">
        <v>4252</v>
      </c>
      <c r="T329" s="747">
        <v>4579</v>
      </c>
      <c r="U329" s="747">
        <v>5056</v>
      </c>
      <c r="V329" s="747">
        <v>5068</v>
      </c>
      <c r="W329" s="747">
        <v>4955</v>
      </c>
      <c r="X329" s="747">
        <v>4805</v>
      </c>
      <c r="Y329" s="747">
        <v>4545</v>
      </c>
      <c r="Z329" s="747">
        <v>4352</v>
      </c>
      <c r="AA329" s="747">
        <v>4018</v>
      </c>
      <c r="AC329" s="628">
        <f t="shared" si="43"/>
        <v>318</v>
      </c>
      <c r="AD329" s="627">
        <f t="shared" si="44"/>
        <v>131</v>
      </c>
      <c r="AE329" s="627">
        <f t="shared" ref="AE329:AL360" si="51">ABS(E329-D329)</f>
        <v>81</v>
      </c>
      <c r="AF329" s="627">
        <f t="shared" si="51"/>
        <v>190</v>
      </c>
      <c r="AG329" s="627">
        <f t="shared" si="51"/>
        <v>5</v>
      </c>
      <c r="AH329" s="627">
        <f t="shared" si="51"/>
        <v>8</v>
      </c>
      <c r="AI329" s="627">
        <f t="shared" si="51"/>
        <v>122</v>
      </c>
      <c r="AJ329" s="627">
        <f t="shared" si="51"/>
        <v>91</v>
      </c>
      <c r="AK329" s="627">
        <f t="shared" si="51"/>
        <v>80</v>
      </c>
      <c r="AL329" s="627">
        <f t="shared" si="51"/>
        <v>205</v>
      </c>
      <c r="AM329" s="627">
        <f t="shared" si="50"/>
        <v>85</v>
      </c>
      <c r="AN329" s="627">
        <f t="shared" si="50"/>
        <v>74</v>
      </c>
      <c r="AO329" s="627">
        <f t="shared" si="50"/>
        <v>118</v>
      </c>
      <c r="AP329" s="627">
        <f t="shared" si="50"/>
        <v>20</v>
      </c>
      <c r="AQ329" s="627">
        <f t="shared" si="50"/>
        <v>27</v>
      </c>
      <c r="AR329" s="627">
        <f t="shared" si="49"/>
        <v>40</v>
      </c>
      <c r="AS329" s="627">
        <f t="shared" si="49"/>
        <v>82</v>
      </c>
      <c r="AT329" s="627">
        <f t="shared" si="49"/>
        <v>327</v>
      </c>
      <c r="AU329" s="627">
        <f t="shared" si="49"/>
        <v>477</v>
      </c>
      <c r="AV329" s="627">
        <f t="shared" si="49"/>
        <v>12</v>
      </c>
      <c r="AW329" s="627">
        <f t="shared" si="49"/>
        <v>113</v>
      </c>
      <c r="AX329" s="627">
        <f t="shared" si="48"/>
        <v>150</v>
      </c>
      <c r="AY329" s="627">
        <f t="shared" si="48"/>
        <v>260</v>
      </c>
      <c r="AZ329" s="627">
        <f t="shared" si="48"/>
        <v>193</v>
      </c>
      <c r="BA329" s="627">
        <f t="shared" si="48"/>
        <v>334</v>
      </c>
    </row>
    <row r="330" spans="1:53">
      <c r="A330" s="105">
        <f t="shared" si="42"/>
        <v>319</v>
      </c>
      <c r="B330" s="745">
        <v>42688</v>
      </c>
      <c r="C330" s="746" t="s">
        <v>1771</v>
      </c>
      <c r="D330" s="747">
        <v>3982</v>
      </c>
      <c r="E330" s="747">
        <v>3914</v>
      </c>
      <c r="F330" s="747">
        <v>3907</v>
      </c>
      <c r="G330" s="747">
        <v>3950</v>
      </c>
      <c r="H330" s="747">
        <v>4025</v>
      </c>
      <c r="I330" s="747">
        <v>4291</v>
      </c>
      <c r="J330" s="747">
        <v>4789</v>
      </c>
      <c r="K330" s="747">
        <v>4773</v>
      </c>
      <c r="L330" s="747">
        <v>4760</v>
      </c>
      <c r="M330" s="747">
        <v>4819</v>
      </c>
      <c r="N330" s="747">
        <v>4832</v>
      </c>
      <c r="O330" s="747">
        <v>4867</v>
      </c>
      <c r="P330" s="747">
        <v>4853</v>
      </c>
      <c r="Q330" s="747">
        <v>4885</v>
      </c>
      <c r="R330" s="747">
        <v>4931</v>
      </c>
      <c r="S330" s="747">
        <v>4916</v>
      </c>
      <c r="T330" s="747">
        <v>5052</v>
      </c>
      <c r="U330" s="747">
        <v>5420</v>
      </c>
      <c r="V330" s="747">
        <v>5421</v>
      </c>
      <c r="W330" s="747">
        <v>5223</v>
      </c>
      <c r="X330" s="747">
        <v>4968</v>
      </c>
      <c r="Y330" s="747">
        <v>4588</v>
      </c>
      <c r="Z330" s="747">
        <v>4310</v>
      </c>
      <c r="AA330" s="747">
        <v>4135</v>
      </c>
      <c r="AC330" s="628">
        <f t="shared" si="43"/>
        <v>319</v>
      </c>
      <c r="AD330" s="627">
        <f t="shared" si="44"/>
        <v>36</v>
      </c>
      <c r="AE330" s="627">
        <f t="shared" si="51"/>
        <v>68</v>
      </c>
      <c r="AF330" s="627">
        <f t="shared" si="51"/>
        <v>7</v>
      </c>
      <c r="AG330" s="627">
        <f t="shared" si="51"/>
        <v>43</v>
      </c>
      <c r="AH330" s="627">
        <f t="shared" si="51"/>
        <v>75</v>
      </c>
      <c r="AI330" s="627">
        <f t="shared" si="51"/>
        <v>266</v>
      </c>
      <c r="AJ330" s="627">
        <f t="shared" si="51"/>
        <v>498</v>
      </c>
      <c r="AK330" s="627">
        <f t="shared" si="51"/>
        <v>16</v>
      </c>
      <c r="AL330" s="627">
        <f t="shared" si="51"/>
        <v>13</v>
      </c>
      <c r="AM330" s="627">
        <f t="shared" si="50"/>
        <v>59</v>
      </c>
      <c r="AN330" s="627">
        <f t="shared" si="50"/>
        <v>13</v>
      </c>
      <c r="AO330" s="627">
        <f t="shared" si="50"/>
        <v>35</v>
      </c>
      <c r="AP330" s="627">
        <f t="shared" si="50"/>
        <v>14</v>
      </c>
      <c r="AQ330" s="627">
        <f t="shared" si="50"/>
        <v>32</v>
      </c>
      <c r="AR330" s="627">
        <f t="shared" si="49"/>
        <v>46</v>
      </c>
      <c r="AS330" s="627">
        <f t="shared" si="49"/>
        <v>15</v>
      </c>
      <c r="AT330" s="627">
        <f t="shared" si="49"/>
        <v>136</v>
      </c>
      <c r="AU330" s="627">
        <f t="shared" si="49"/>
        <v>368</v>
      </c>
      <c r="AV330" s="627">
        <f t="shared" si="49"/>
        <v>1</v>
      </c>
      <c r="AW330" s="627">
        <f t="shared" si="49"/>
        <v>198</v>
      </c>
      <c r="AX330" s="627">
        <f t="shared" si="48"/>
        <v>255</v>
      </c>
      <c r="AY330" s="627">
        <f t="shared" si="48"/>
        <v>380</v>
      </c>
      <c r="AZ330" s="627">
        <f t="shared" si="48"/>
        <v>278</v>
      </c>
      <c r="BA330" s="627">
        <f t="shared" si="48"/>
        <v>175</v>
      </c>
    </row>
    <row r="331" spans="1:53">
      <c r="A331" s="105">
        <f t="shared" si="42"/>
        <v>320</v>
      </c>
      <c r="B331" s="745">
        <v>42689</v>
      </c>
      <c r="C331" s="746" t="s">
        <v>1771</v>
      </c>
      <c r="D331" s="747">
        <v>3951</v>
      </c>
      <c r="E331" s="747">
        <v>3860</v>
      </c>
      <c r="F331" s="747">
        <v>3782</v>
      </c>
      <c r="G331" s="747">
        <v>3800</v>
      </c>
      <c r="H331" s="747">
        <v>3822</v>
      </c>
      <c r="I331" s="747">
        <v>4201</v>
      </c>
      <c r="J331" s="747">
        <v>4583</v>
      </c>
      <c r="K331" s="747">
        <v>4679</v>
      </c>
      <c r="L331" s="747">
        <v>4729</v>
      </c>
      <c r="M331" s="747">
        <v>4790</v>
      </c>
      <c r="N331" s="747">
        <v>4858</v>
      </c>
      <c r="O331" s="747">
        <v>4896</v>
      </c>
      <c r="P331" s="747">
        <v>4906</v>
      </c>
      <c r="Q331" s="747">
        <v>4939</v>
      </c>
      <c r="R331" s="747">
        <v>5041</v>
      </c>
      <c r="S331" s="747">
        <v>5078</v>
      </c>
      <c r="T331" s="747">
        <v>5115</v>
      </c>
      <c r="U331" s="747">
        <v>5393</v>
      </c>
      <c r="V331" s="747">
        <v>5235</v>
      </c>
      <c r="W331" s="747">
        <v>5064</v>
      </c>
      <c r="X331" s="747">
        <v>4850</v>
      </c>
      <c r="Y331" s="747">
        <v>4605</v>
      </c>
      <c r="Z331" s="747">
        <v>4341</v>
      </c>
      <c r="AA331" s="747">
        <v>4105</v>
      </c>
      <c r="AC331" s="628">
        <f t="shared" si="43"/>
        <v>320</v>
      </c>
      <c r="AD331" s="627">
        <f t="shared" si="44"/>
        <v>184</v>
      </c>
      <c r="AE331" s="627">
        <f t="shared" si="51"/>
        <v>91</v>
      </c>
      <c r="AF331" s="627">
        <f t="shared" si="51"/>
        <v>78</v>
      </c>
      <c r="AG331" s="627">
        <f t="shared" si="51"/>
        <v>18</v>
      </c>
      <c r="AH331" s="627">
        <f t="shared" si="51"/>
        <v>22</v>
      </c>
      <c r="AI331" s="627">
        <f t="shared" si="51"/>
        <v>379</v>
      </c>
      <c r="AJ331" s="627">
        <f t="shared" si="51"/>
        <v>382</v>
      </c>
      <c r="AK331" s="627">
        <f t="shared" si="51"/>
        <v>96</v>
      </c>
      <c r="AL331" s="627">
        <f t="shared" si="51"/>
        <v>50</v>
      </c>
      <c r="AM331" s="627">
        <f t="shared" si="50"/>
        <v>61</v>
      </c>
      <c r="AN331" s="627">
        <f t="shared" si="50"/>
        <v>68</v>
      </c>
      <c r="AO331" s="627">
        <f t="shared" si="50"/>
        <v>38</v>
      </c>
      <c r="AP331" s="627">
        <f t="shared" si="50"/>
        <v>10</v>
      </c>
      <c r="AQ331" s="627">
        <f t="shared" si="50"/>
        <v>33</v>
      </c>
      <c r="AR331" s="627">
        <f t="shared" si="49"/>
        <v>102</v>
      </c>
      <c r="AS331" s="627">
        <f t="shared" si="49"/>
        <v>37</v>
      </c>
      <c r="AT331" s="627">
        <f t="shared" si="49"/>
        <v>37</v>
      </c>
      <c r="AU331" s="627">
        <f t="shared" si="49"/>
        <v>278</v>
      </c>
      <c r="AV331" s="627">
        <f t="shared" si="49"/>
        <v>158</v>
      </c>
      <c r="AW331" s="627">
        <f t="shared" si="49"/>
        <v>171</v>
      </c>
      <c r="AX331" s="627">
        <f t="shared" si="48"/>
        <v>214</v>
      </c>
      <c r="AY331" s="627">
        <f t="shared" si="48"/>
        <v>245</v>
      </c>
      <c r="AZ331" s="627">
        <f t="shared" si="48"/>
        <v>264</v>
      </c>
      <c r="BA331" s="627">
        <f t="shared" si="48"/>
        <v>236</v>
      </c>
    </row>
    <row r="332" spans="1:53">
      <c r="A332" s="105">
        <f t="shared" si="42"/>
        <v>321</v>
      </c>
      <c r="B332" s="745">
        <v>42690</v>
      </c>
      <c r="C332" s="746" t="s">
        <v>1771</v>
      </c>
      <c r="D332" s="747">
        <v>3950</v>
      </c>
      <c r="E332" s="747">
        <v>3930</v>
      </c>
      <c r="F332" s="747">
        <v>3969</v>
      </c>
      <c r="G332" s="747">
        <v>3956</v>
      </c>
      <c r="H332" s="747">
        <v>4025</v>
      </c>
      <c r="I332" s="747">
        <v>4272</v>
      </c>
      <c r="J332" s="747">
        <v>4736</v>
      </c>
      <c r="K332" s="747">
        <v>4789</v>
      </c>
      <c r="L332" s="747">
        <v>4837</v>
      </c>
      <c r="M332" s="747">
        <v>4839</v>
      </c>
      <c r="N332" s="747">
        <v>4970</v>
      </c>
      <c r="O332" s="747">
        <v>4991</v>
      </c>
      <c r="P332" s="747">
        <v>5032</v>
      </c>
      <c r="Q332" s="747">
        <v>5051</v>
      </c>
      <c r="R332" s="747">
        <v>5113</v>
      </c>
      <c r="S332" s="747">
        <v>5165</v>
      </c>
      <c r="T332" s="747">
        <v>5259</v>
      </c>
      <c r="U332" s="747">
        <v>5597</v>
      </c>
      <c r="V332" s="747">
        <v>5490</v>
      </c>
      <c r="W332" s="747">
        <v>5322</v>
      </c>
      <c r="X332" s="747">
        <v>5119</v>
      </c>
      <c r="Y332" s="747">
        <v>4750</v>
      </c>
      <c r="Z332" s="747">
        <v>4429</v>
      </c>
      <c r="AA332" s="747">
        <v>4158</v>
      </c>
      <c r="AC332" s="628">
        <f t="shared" si="43"/>
        <v>321</v>
      </c>
      <c r="AD332" s="627">
        <f t="shared" si="44"/>
        <v>155</v>
      </c>
      <c r="AE332" s="627">
        <f t="shared" si="51"/>
        <v>20</v>
      </c>
      <c r="AF332" s="627">
        <f t="shared" si="51"/>
        <v>39</v>
      </c>
      <c r="AG332" s="627">
        <f t="shared" si="51"/>
        <v>13</v>
      </c>
      <c r="AH332" s="627">
        <f t="shared" si="51"/>
        <v>69</v>
      </c>
      <c r="AI332" s="627">
        <f t="shared" si="51"/>
        <v>247</v>
      </c>
      <c r="AJ332" s="627">
        <f t="shared" si="51"/>
        <v>464</v>
      </c>
      <c r="AK332" s="627">
        <f t="shared" si="51"/>
        <v>53</v>
      </c>
      <c r="AL332" s="627">
        <f t="shared" si="51"/>
        <v>48</v>
      </c>
      <c r="AM332" s="627">
        <f t="shared" si="50"/>
        <v>2</v>
      </c>
      <c r="AN332" s="627">
        <f t="shared" si="50"/>
        <v>131</v>
      </c>
      <c r="AO332" s="627">
        <f t="shared" si="50"/>
        <v>21</v>
      </c>
      <c r="AP332" s="627">
        <f t="shared" si="50"/>
        <v>41</v>
      </c>
      <c r="AQ332" s="627">
        <f t="shared" si="50"/>
        <v>19</v>
      </c>
      <c r="AR332" s="627">
        <f t="shared" si="49"/>
        <v>62</v>
      </c>
      <c r="AS332" s="627">
        <f t="shared" si="49"/>
        <v>52</v>
      </c>
      <c r="AT332" s="627">
        <f t="shared" si="49"/>
        <v>94</v>
      </c>
      <c r="AU332" s="627">
        <f t="shared" si="49"/>
        <v>338</v>
      </c>
      <c r="AV332" s="627">
        <f t="shared" si="49"/>
        <v>107</v>
      </c>
      <c r="AW332" s="627">
        <f t="shared" si="49"/>
        <v>168</v>
      </c>
      <c r="AX332" s="627">
        <f t="shared" si="48"/>
        <v>203</v>
      </c>
      <c r="AY332" s="627">
        <f t="shared" si="48"/>
        <v>369</v>
      </c>
      <c r="AZ332" s="627">
        <f t="shared" si="48"/>
        <v>321</v>
      </c>
      <c r="BA332" s="627">
        <f t="shared" si="48"/>
        <v>271</v>
      </c>
    </row>
    <row r="333" spans="1:53">
      <c r="A333" s="105">
        <f t="shared" si="42"/>
        <v>322</v>
      </c>
      <c r="B333" s="745">
        <v>42691</v>
      </c>
      <c r="C333" s="746" t="s">
        <v>1771</v>
      </c>
      <c r="D333" s="747">
        <v>4056</v>
      </c>
      <c r="E333" s="747">
        <v>3997</v>
      </c>
      <c r="F333" s="747">
        <v>3932</v>
      </c>
      <c r="G333" s="747">
        <v>3849</v>
      </c>
      <c r="H333" s="747">
        <v>3981</v>
      </c>
      <c r="I333" s="747">
        <v>4246</v>
      </c>
      <c r="J333" s="747">
        <v>4683</v>
      </c>
      <c r="K333" s="747">
        <v>4944</v>
      </c>
      <c r="L333" s="747">
        <v>5053</v>
      </c>
      <c r="M333" s="747">
        <v>5103</v>
      </c>
      <c r="N333" s="747">
        <v>5204</v>
      </c>
      <c r="O333" s="747">
        <v>5322</v>
      </c>
      <c r="P333" s="747">
        <v>5353</v>
      </c>
      <c r="Q333" s="747">
        <v>5365</v>
      </c>
      <c r="R333" s="747">
        <v>5458</v>
      </c>
      <c r="S333" s="747">
        <v>5418</v>
      </c>
      <c r="T333" s="747">
        <v>5691</v>
      </c>
      <c r="U333" s="747">
        <v>6008</v>
      </c>
      <c r="V333" s="747">
        <v>5939</v>
      </c>
      <c r="W333" s="747">
        <v>5802</v>
      </c>
      <c r="X333" s="747">
        <v>5600</v>
      </c>
      <c r="Y333" s="747">
        <v>5341</v>
      </c>
      <c r="Z333" s="747">
        <v>5002</v>
      </c>
      <c r="AA333" s="747">
        <v>4733</v>
      </c>
      <c r="AC333" s="628">
        <f t="shared" si="43"/>
        <v>322</v>
      </c>
      <c r="AD333" s="627">
        <f t="shared" si="44"/>
        <v>102</v>
      </c>
      <c r="AE333" s="627">
        <f t="shared" si="51"/>
        <v>59</v>
      </c>
      <c r="AF333" s="627">
        <f t="shared" si="51"/>
        <v>65</v>
      </c>
      <c r="AG333" s="627">
        <f t="shared" si="51"/>
        <v>83</v>
      </c>
      <c r="AH333" s="627">
        <f t="shared" si="51"/>
        <v>132</v>
      </c>
      <c r="AI333" s="627">
        <f t="shared" si="51"/>
        <v>265</v>
      </c>
      <c r="AJ333" s="627">
        <f t="shared" si="51"/>
        <v>437</v>
      </c>
      <c r="AK333" s="627">
        <f t="shared" si="51"/>
        <v>261</v>
      </c>
      <c r="AL333" s="627">
        <f t="shared" si="51"/>
        <v>109</v>
      </c>
      <c r="AM333" s="627">
        <f t="shared" si="50"/>
        <v>50</v>
      </c>
      <c r="AN333" s="627">
        <f t="shared" si="50"/>
        <v>101</v>
      </c>
      <c r="AO333" s="627">
        <f t="shared" si="50"/>
        <v>118</v>
      </c>
      <c r="AP333" s="627">
        <f t="shared" si="50"/>
        <v>31</v>
      </c>
      <c r="AQ333" s="627">
        <f t="shared" si="50"/>
        <v>12</v>
      </c>
      <c r="AR333" s="627">
        <f t="shared" si="49"/>
        <v>93</v>
      </c>
      <c r="AS333" s="627">
        <f t="shared" si="49"/>
        <v>40</v>
      </c>
      <c r="AT333" s="627">
        <f t="shared" si="49"/>
        <v>273</v>
      </c>
      <c r="AU333" s="627">
        <f t="shared" si="49"/>
        <v>317</v>
      </c>
      <c r="AV333" s="627">
        <f t="shared" si="49"/>
        <v>69</v>
      </c>
      <c r="AW333" s="627">
        <f t="shared" si="49"/>
        <v>137</v>
      </c>
      <c r="AX333" s="627">
        <f t="shared" si="48"/>
        <v>202</v>
      </c>
      <c r="AY333" s="627">
        <f t="shared" si="48"/>
        <v>259</v>
      </c>
      <c r="AZ333" s="627">
        <f t="shared" si="48"/>
        <v>339</v>
      </c>
      <c r="BA333" s="627">
        <f t="shared" si="48"/>
        <v>269</v>
      </c>
    </row>
    <row r="334" spans="1:53">
      <c r="A334" s="105">
        <f t="shared" ref="A334:A377" si="52">A333+1</f>
        <v>323</v>
      </c>
      <c r="B334" s="745">
        <v>42692</v>
      </c>
      <c r="C334" s="746" t="s">
        <v>1771</v>
      </c>
      <c r="D334" s="747">
        <v>4600</v>
      </c>
      <c r="E334" s="747">
        <v>4509</v>
      </c>
      <c r="F334" s="747">
        <v>4433</v>
      </c>
      <c r="G334" s="747">
        <v>4359</v>
      </c>
      <c r="H334" s="747">
        <v>4469</v>
      </c>
      <c r="I334" s="747">
        <v>4761</v>
      </c>
      <c r="J334" s="747">
        <v>5148</v>
      </c>
      <c r="K334" s="747">
        <v>5308</v>
      </c>
      <c r="L334" s="747">
        <v>5335</v>
      </c>
      <c r="M334" s="747">
        <v>5302</v>
      </c>
      <c r="N334" s="747">
        <v>5280</v>
      </c>
      <c r="O334" s="747">
        <v>5243</v>
      </c>
      <c r="P334" s="747">
        <v>5152</v>
      </c>
      <c r="Q334" s="747">
        <v>5070</v>
      </c>
      <c r="R334" s="747">
        <v>5058</v>
      </c>
      <c r="S334" s="747">
        <v>5106</v>
      </c>
      <c r="T334" s="747">
        <v>5345</v>
      </c>
      <c r="U334" s="747">
        <v>5719</v>
      </c>
      <c r="V334" s="747">
        <v>5724</v>
      </c>
      <c r="W334" s="747">
        <v>5600</v>
      </c>
      <c r="X334" s="747">
        <v>5459</v>
      </c>
      <c r="Y334" s="747">
        <v>5217</v>
      </c>
      <c r="Z334" s="747">
        <v>4920</v>
      </c>
      <c r="AA334" s="747">
        <v>4663</v>
      </c>
      <c r="AC334" s="628">
        <f t="shared" ref="AC334:AC374" si="53">AC333+1</f>
        <v>323</v>
      </c>
      <c r="AD334" s="627">
        <f t="shared" ref="AD334:AD374" si="54">ABS(D334-AA333)</f>
        <v>133</v>
      </c>
      <c r="AE334" s="627">
        <f t="shared" si="51"/>
        <v>91</v>
      </c>
      <c r="AF334" s="627">
        <f t="shared" si="51"/>
        <v>76</v>
      </c>
      <c r="AG334" s="627">
        <f t="shared" si="51"/>
        <v>74</v>
      </c>
      <c r="AH334" s="627">
        <f t="shared" si="51"/>
        <v>110</v>
      </c>
      <c r="AI334" s="627">
        <f t="shared" si="51"/>
        <v>292</v>
      </c>
      <c r="AJ334" s="627">
        <f t="shared" si="51"/>
        <v>387</v>
      </c>
      <c r="AK334" s="627">
        <f t="shared" si="51"/>
        <v>160</v>
      </c>
      <c r="AL334" s="627">
        <f t="shared" si="51"/>
        <v>27</v>
      </c>
      <c r="AM334" s="627">
        <f t="shared" si="50"/>
        <v>33</v>
      </c>
      <c r="AN334" s="627">
        <f t="shared" si="50"/>
        <v>22</v>
      </c>
      <c r="AO334" s="627">
        <f t="shared" si="50"/>
        <v>37</v>
      </c>
      <c r="AP334" s="627">
        <f t="shared" si="50"/>
        <v>91</v>
      </c>
      <c r="AQ334" s="627">
        <f t="shared" si="50"/>
        <v>82</v>
      </c>
      <c r="AR334" s="627">
        <f t="shared" si="49"/>
        <v>12</v>
      </c>
      <c r="AS334" s="627">
        <f t="shared" si="49"/>
        <v>48</v>
      </c>
      <c r="AT334" s="627">
        <f t="shared" si="49"/>
        <v>239</v>
      </c>
      <c r="AU334" s="627">
        <f t="shared" si="49"/>
        <v>374</v>
      </c>
      <c r="AV334" s="627">
        <f t="shared" si="49"/>
        <v>5</v>
      </c>
      <c r="AW334" s="627">
        <f t="shared" si="49"/>
        <v>124</v>
      </c>
      <c r="AX334" s="627">
        <f t="shared" si="48"/>
        <v>141</v>
      </c>
      <c r="AY334" s="627">
        <f t="shared" si="48"/>
        <v>242</v>
      </c>
      <c r="AZ334" s="627">
        <f t="shared" si="48"/>
        <v>297</v>
      </c>
      <c r="BA334" s="627">
        <f t="shared" si="48"/>
        <v>257</v>
      </c>
    </row>
    <row r="335" spans="1:53">
      <c r="A335" s="105">
        <f t="shared" si="52"/>
        <v>324</v>
      </c>
      <c r="B335" s="745">
        <v>42693</v>
      </c>
      <c r="C335" s="746" t="s">
        <v>1771</v>
      </c>
      <c r="D335" s="747">
        <v>4523</v>
      </c>
      <c r="E335" s="747">
        <v>4461</v>
      </c>
      <c r="F335" s="747">
        <v>4531</v>
      </c>
      <c r="G335" s="747">
        <v>4521</v>
      </c>
      <c r="H335" s="747">
        <v>4567</v>
      </c>
      <c r="I335" s="747">
        <v>4554</v>
      </c>
      <c r="J335" s="747">
        <v>4793</v>
      </c>
      <c r="K335" s="747">
        <v>4908</v>
      </c>
      <c r="L335" s="747">
        <v>4896</v>
      </c>
      <c r="M335" s="747">
        <v>4902</v>
      </c>
      <c r="N335" s="747">
        <v>4807</v>
      </c>
      <c r="O335" s="747">
        <v>4716</v>
      </c>
      <c r="P335" s="747">
        <v>4653</v>
      </c>
      <c r="Q335" s="747">
        <v>4564</v>
      </c>
      <c r="R335" s="747">
        <v>4559</v>
      </c>
      <c r="S335" s="747">
        <v>4635</v>
      </c>
      <c r="T335" s="747">
        <v>4863</v>
      </c>
      <c r="U335" s="747">
        <v>5343</v>
      </c>
      <c r="V335" s="747">
        <v>5346</v>
      </c>
      <c r="W335" s="747">
        <v>5241</v>
      </c>
      <c r="X335" s="747">
        <v>5121</v>
      </c>
      <c r="Y335" s="747">
        <v>4912</v>
      </c>
      <c r="Z335" s="747">
        <v>4651</v>
      </c>
      <c r="AA335" s="747">
        <v>4339</v>
      </c>
      <c r="AC335" s="628">
        <f t="shared" si="53"/>
        <v>324</v>
      </c>
      <c r="AD335" s="627">
        <f t="shared" si="54"/>
        <v>140</v>
      </c>
      <c r="AE335" s="627">
        <f t="shared" si="51"/>
        <v>62</v>
      </c>
      <c r="AF335" s="627">
        <f t="shared" si="51"/>
        <v>70</v>
      </c>
      <c r="AG335" s="627">
        <f t="shared" si="51"/>
        <v>10</v>
      </c>
      <c r="AH335" s="627">
        <f t="shared" si="51"/>
        <v>46</v>
      </c>
      <c r="AI335" s="627">
        <f t="shared" si="51"/>
        <v>13</v>
      </c>
      <c r="AJ335" s="627">
        <f t="shared" si="51"/>
        <v>239</v>
      </c>
      <c r="AK335" s="627">
        <f t="shared" si="51"/>
        <v>115</v>
      </c>
      <c r="AL335" s="627">
        <f t="shared" si="51"/>
        <v>12</v>
      </c>
      <c r="AM335" s="627">
        <f t="shared" si="50"/>
        <v>6</v>
      </c>
      <c r="AN335" s="627">
        <f t="shared" si="50"/>
        <v>95</v>
      </c>
      <c r="AO335" s="627">
        <f t="shared" si="50"/>
        <v>91</v>
      </c>
      <c r="AP335" s="627">
        <f t="shared" si="50"/>
        <v>63</v>
      </c>
      <c r="AQ335" s="627">
        <f t="shared" si="50"/>
        <v>89</v>
      </c>
      <c r="AR335" s="627">
        <f t="shared" si="49"/>
        <v>5</v>
      </c>
      <c r="AS335" s="627">
        <f t="shared" si="49"/>
        <v>76</v>
      </c>
      <c r="AT335" s="627">
        <f t="shared" si="49"/>
        <v>228</v>
      </c>
      <c r="AU335" s="627">
        <f t="shared" si="49"/>
        <v>480</v>
      </c>
      <c r="AV335" s="627">
        <f t="shared" si="49"/>
        <v>3</v>
      </c>
      <c r="AW335" s="627">
        <f t="shared" si="49"/>
        <v>105</v>
      </c>
      <c r="AX335" s="627">
        <f t="shared" si="48"/>
        <v>120</v>
      </c>
      <c r="AY335" s="627">
        <f t="shared" si="48"/>
        <v>209</v>
      </c>
      <c r="AZ335" s="627">
        <f t="shared" si="48"/>
        <v>261</v>
      </c>
      <c r="BA335" s="627">
        <f t="shared" si="48"/>
        <v>312</v>
      </c>
    </row>
    <row r="336" spans="1:53">
      <c r="A336" s="105">
        <f t="shared" si="52"/>
        <v>325</v>
      </c>
      <c r="B336" s="745">
        <v>42694</v>
      </c>
      <c r="C336" s="746" t="s">
        <v>1771</v>
      </c>
      <c r="D336" s="747">
        <v>4307</v>
      </c>
      <c r="E336" s="747">
        <v>4256</v>
      </c>
      <c r="F336" s="747">
        <v>4184</v>
      </c>
      <c r="G336" s="747">
        <v>4157</v>
      </c>
      <c r="H336" s="747">
        <v>4187</v>
      </c>
      <c r="I336" s="747">
        <v>4178</v>
      </c>
      <c r="J336" s="747">
        <v>4306</v>
      </c>
      <c r="K336" s="747">
        <v>4370</v>
      </c>
      <c r="L336" s="747">
        <v>4385</v>
      </c>
      <c r="M336" s="747">
        <v>4413</v>
      </c>
      <c r="N336" s="747">
        <v>4448</v>
      </c>
      <c r="O336" s="747">
        <v>4443</v>
      </c>
      <c r="P336" s="747">
        <v>4435</v>
      </c>
      <c r="Q336" s="747">
        <v>4460</v>
      </c>
      <c r="R336" s="747">
        <v>4493</v>
      </c>
      <c r="S336" s="747">
        <v>4552</v>
      </c>
      <c r="T336" s="747">
        <v>4828</v>
      </c>
      <c r="U336" s="747">
        <v>5217</v>
      </c>
      <c r="V336" s="747">
        <v>5166</v>
      </c>
      <c r="W336" s="747">
        <v>5045</v>
      </c>
      <c r="X336" s="747">
        <v>4880</v>
      </c>
      <c r="Y336" s="747">
        <v>4625</v>
      </c>
      <c r="Z336" s="747">
        <v>4363</v>
      </c>
      <c r="AA336" s="747">
        <v>4239</v>
      </c>
      <c r="AC336" s="628">
        <f t="shared" si="53"/>
        <v>325</v>
      </c>
      <c r="AD336" s="627">
        <f t="shared" si="54"/>
        <v>32</v>
      </c>
      <c r="AE336" s="627">
        <f t="shared" si="51"/>
        <v>51</v>
      </c>
      <c r="AF336" s="627">
        <f t="shared" si="51"/>
        <v>72</v>
      </c>
      <c r="AG336" s="627">
        <f t="shared" si="51"/>
        <v>27</v>
      </c>
      <c r="AH336" s="627">
        <f t="shared" si="51"/>
        <v>30</v>
      </c>
      <c r="AI336" s="627">
        <f t="shared" si="51"/>
        <v>9</v>
      </c>
      <c r="AJ336" s="627">
        <f t="shared" si="51"/>
        <v>128</v>
      </c>
      <c r="AK336" s="627">
        <f t="shared" si="51"/>
        <v>64</v>
      </c>
      <c r="AL336" s="627">
        <f t="shared" si="51"/>
        <v>15</v>
      </c>
      <c r="AM336" s="627">
        <f t="shared" si="50"/>
        <v>28</v>
      </c>
      <c r="AN336" s="627">
        <f t="shared" si="50"/>
        <v>35</v>
      </c>
      <c r="AO336" s="627">
        <f t="shared" si="50"/>
        <v>5</v>
      </c>
      <c r="AP336" s="627">
        <f t="shared" si="50"/>
        <v>8</v>
      </c>
      <c r="AQ336" s="627">
        <f t="shared" si="50"/>
        <v>25</v>
      </c>
      <c r="AR336" s="627">
        <f t="shared" si="49"/>
        <v>33</v>
      </c>
      <c r="AS336" s="627">
        <f t="shared" si="49"/>
        <v>59</v>
      </c>
      <c r="AT336" s="627">
        <f t="shared" si="49"/>
        <v>276</v>
      </c>
      <c r="AU336" s="627">
        <f t="shared" si="49"/>
        <v>389</v>
      </c>
      <c r="AV336" s="627">
        <f t="shared" si="49"/>
        <v>51</v>
      </c>
      <c r="AW336" s="627">
        <f t="shared" si="49"/>
        <v>121</v>
      </c>
      <c r="AX336" s="627">
        <f t="shared" si="48"/>
        <v>165</v>
      </c>
      <c r="AY336" s="627">
        <f t="shared" si="48"/>
        <v>255</v>
      </c>
      <c r="AZ336" s="627">
        <f t="shared" si="48"/>
        <v>262</v>
      </c>
      <c r="BA336" s="627">
        <f t="shared" si="48"/>
        <v>124</v>
      </c>
    </row>
    <row r="337" spans="1:53">
      <c r="A337" s="105">
        <f t="shared" si="52"/>
        <v>326</v>
      </c>
      <c r="B337" s="745">
        <v>42695</v>
      </c>
      <c r="C337" s="746" t="s">
        <v>1771</v>
      </c>
      <c r="D337" s="747">
        <v>4068</v>
      </c>
      <c r="E337" s="747">
        <v>3979</v>
      </c>
      <c r="F337" s="747">
        <v>3953</v>
      </c>
      <c r="G337" s="747">
        <v>3889</v>
      </c>
      <c r="H337" s="747">
        <v>3998</v>
      </c>
      <c r="I337" s="747">
        <v>4322</v>
      </c>
      <c r="J337" s="747">
        <v>4650</v>
      </c>
      <c r="K337" s="747">
        <v>4908</v>
      </c>
      <c r="L337" s="747">
        <v>5029</v>
      </c>
      <c r="M337" s="747">
        <v>5024</v>
      </c>
      <c r="N337" s="747">
        <v>4959</v>
      </c>
      <c r="O337" s="747">
        <v>4900</v>
      </c>
      <c r="P337" s="747">
        <v>4931</v>
      </c>
      <c r="Q337" s="747">
        <v>4941</v>
      </c>
      <c r="R337" s="747">
        <v>4973</v>
      </c>
      <c r="S337" s="747">
        <v>5018</v>
      </c>
      <c r="T337" s="747">
        <v>5237</v>
      </c>
      <c r="U337" s="747">
        <v>5563</v>
      </c>
      <c r="V337" s="747">
        <v>5510</v>
      </c>
      <c r="W337" s="747">
        <v>5335</v>
      </c>
      <c r="X337" s="747">
        <v>5180</v>
      </c>
      <c r="Y337" s="747">
        <v>4866</v>
      </c>
      <c r="Z337" s="747">
        <v>4486</v>
      </c>
      <c r="AA337" s="747">
        <v>4150</v>
      </c>
      <c r="AC337" s="628">
        <f t="shared" si="53"/>
        <v>326</v>
      </c>
      <c r="AD337" s="627">
        <f t="shared" si="54"/>
        <v>171</v>
      </c>
      <c r="AE337" s="627">
        <f t="shared" si="51"/>
        <v>89</v>
      </c>
      <c r="AF337" s="627">
        <f t="shared" si="51"/>
        <v>26</v>
      </c>
      <c r="AG337" s="627">
        <f t="shared" si="51"/>
        <v>64</v>
      </c>
      <c r="AH337" s="627">
        <f t="shared" si="51"/>
        <v>109</v>
      </c>
      <c r="AI337" s="627">
        <f t="shared" si="51"/>
        <v>324</v>
      </c>
      <c r="AJ337" s="627">
        <f t="shared" si="51"/>
        <v>328</v>
      </c>
      <c r="AK337" s="627">
        <f t="shared" si="51"/>
        <v>258</v>
      </c>
      <c r="AL337" s="627">
        <f t="shared" si="51"/>
        <v>121</v>
      </c>
      <c r="AM337" s="627">
        <f t="shared" si="50"/>
        <v>5</v>
      </c>
      <c r="AN337" s="627">
        <f t="shared" si="50"/>
        <v>65</v>
      </c>
      <c r="AO337" s="627">
        <f t="shared" si="50"/>
        <v>59</v>
      </c>
      <c r="AP337" s="627">
        <f t="shared" si="50"/>
        <v>31</v>
      </c>
      <c r="AQ337" s="627">
        <f t="shared" si="50"/>
        <v>10</v>
      </c>
      <c r="AR337" s="627">
        <f t="shared" si="49"/>
        <v>32</v>
      </c>
      <c r="AS337" s="627">
        <f t="shared" si="49"/>
        <v>45</v>
      </c>
      <c r="AT337" s="627">
        <f t="shared" si="49"/>
        <v>219</v>
      </c>
      <c r="AU337" s="627">
        <f t="shared" si="49"/>
        <v>326</v>
      </c>
      <c r="AV337" s="627">
        <f t="shared" si="49"/>
        <v>53</v>
      </c>
      <c r="AW337" s="627">
        <f t="shared" si="49"/>
        <v>175</v>
      </c>
      <c r="AX337" s="627">
        <f t="shared" si="48"/>
        <v>155</v>
      </c>
      <c r="AY337" s="627">
        <f t="shared" si="48"/>
        <v>314</v>
      </c>
      <c r="AZ337" s="627">
        <f t="shared" si="48"/>
        <v>380</v>
      </c>
      <c r="BA337" s="627">
        <f t="shared" si="48"/>
        <v>336</v>
      </c>
    </row>
    <row r="338" spans="1:53">
      <c r="A338" s="105">
        <f t="shared" si="52"/>
        <v>327</v>
      </c>
      <c r="B338" s="745">
        <v>42696</v>
      </c>
      <c r="C338" s="746" t="s">
        <v>1771</v>
      </c>
      <c r="D338" s="747">
        <v>4097</v>
      </c>
      <c r="E338" s="747">
        <v>4134</v>
      </c>
      <c r="F338" s="747">
        <v>4101</v>
      </c>
      <c r="G338" s="747">
        <v>4112</v>
      </c>
      <c r="H338" s="747">
        <v>4257</v>
      </c>
      <c r="I338" s="747">
        <v>4509</v>
      </c>
      <c r="J338" s="747">
        <v>4920</v>
      </c>
      <c r="K338" s="747">
        <v>5129</v>
      </c>
      <c r="L338" s="747">
        <v>5298</v>
      </c>
      <c r="M338" s="747">
        <v>5345</v>
      </c>
      <c r="N338" s="747">
        <v>5392</v>
      </c>
      <c r="O338" s="747">
        <v>5363</v>
      </c>
      <c r="P338" s="747">
        <v>5360</v>
      </c>
      <c r="Q338" s="747">
        <v>5320</v>
      </c>
      <c r="R338" s="747">
        <v>5235</v>
      </c>
      <c r="S338" s="747">
        <v>5237</v>
      </c>
      <c r="T338" s="747">
        <v>5498</v>
      </c>
      <c r="U338" s="747">
        <v>5776</v>
      </c>
      <c r="V338" s="747">
        <v>5747</v>
      </c>
      <c r="W338" s="747">
        <v>5607</v>
      </c>
      <c r="X338" s="747">
        <v>5432</v>
      </c>
      <c r="Y338" s="747">
        <v>5159</v>
      </c>
      <c r="Z338" s="747">
        <v>4818</v>
      </c>
      <c r="AA338" s="747">
        <v>4281</v>
      </c>
      <c r="AC338" s="628">
        <f t="shared" si="53"/>
        <v>327</v>
      </c>
      <c r="AD338" s="627">
        <f t="shared" si="54"/>
        <v>53</v>
      </c>
      <c r="AE338" s="627">
        <f t="shared" si="51"/>
        <v>37</v>
      </c>
      <c r="AF338" s="627">
        <f t="shared" si="51"/>
        <v>33</v>
      </c>
      <c r="AG338" s="627">
        <f t="shared" si="51"/>
        <v>11</v>
      </c>
      <c r="AH338" s="627">
        <f t="shared" si="51"/>
        <v>145</v>
      </c>
      <c r="AI338" s="627">
        <f t="shared" si="51"/>
        <v>252</v>
      </c>
      <c r="AJ338" s="627">
        <f t="shared" si="51"/>
        <v>411</v>
      </c>
      <c r="AK338" s="627">
        <f t="shared" si="51"/>
        <v>209</v>
      </c>
      <c r="AL338" s="627">
        <f t="shared" si="51"/>
        <v>169</v>
      </c>
      <c r="AM338" s="627">
        <f t="shared" si="50"/>
        <v>47</v>
      </c>
      <c r="AN338" s="627">
        <f t="shared" si="50"/>
        <v>47</v>
      </c>
      <c r="AO338" s="627">
        <f t="shared" si="50"/>
        <v>29</v>
      </c>
      <c r="AP338" s="627">
        <f t="shared" si="50"/>
        <v>3</v>
      </c>
      <c r="AQ338" s="627">
        <f t="shared" si="50"/>
        <v>40</v>
      </c>
      <c r="AR338" s="627">
        <f t="shared" si="49"/>
        <v>85</v>
      </c>
      <c r="AS338" s="627">
        <f t="shared" si="49"/>
        <v>2</v>
      </c>
      <c r="AT338" s="627">
        <f t="shared" si="49"/>
        <v>261</v>
      </c>
      <c r="AU338" s="627">
        <f t="shared" si="49"/>
        <v>278</v>
      </c>
      <c r="AV338" s="627">
        <f t="shared" si="49"/>
        <v>29</v>
      </c>
      <c r="AW338" s="627">
        <f t="shared" si="49"/>
        <v>140</v>
      </c>
      <c r="AX338" s="627">
        <f t="shared" si="48"/>
        <v>175</v>
      </c>
      <c r="AY338" s="627">
        <f t="shared" si="48"/>
        <v>273</v>
      </c>
      <c r="AZ338" s="627">
        <f t="shared" si="48"/>
        <v>341</v>
      </c>
      <c r="BA338" s="627">
        <f t="shared" si="48"/>
        <v>537</v>
      </c>
    </row>
    <row r="339" spans="1:53">
      <c r="A339" s="105">
        <f t="shared" si="52"/>
        <v>328</v>
      </c>
      <c r="B339" s="745">
        <v>42697</v>
      </c>
      <c r="C339" s="746" t="s">
        <v>1771</v>
      </c>
      <c r="D339" s="747">
        <v>4313</v>
      </c>
      <c r="E339" s="747">
        <v>4215</v>
      </c>
      <c r="F339" s="747">
        <v>4180</v>
      </c>
      <c r="G339" s="747">
        <v>4214</v>
      </c>
      <c r="H339" s="747">
        <v>4337</v>
      </c>
      <c r="I339" s="747">
        <v>4607</v>
      </c>
      <c r="J339" s="747">
        <v>5002</v>
      </c>
      <c r="K339" s="747">
        <v>5163</v>
      </c>
      <c r="L339" s="747">
        <v>5163</v>
      </c>
      <c r="M339" s="747">
        <v>5099</v>
      </c>
      <c r="N339" s="747">
        <v>5026</v>
      </c>
      <c r="O339" s="747">
        <v>4994</v>
      </c>
      <c r="P339" s="747">
        <v>4928</v>
      </c>
      <c r="Q339" s="747">
        <v>4953</v>
      </c>
      <c r="R339" s="747">
        <v>5148</v>
      </c>
      <c r="S339" s="747">
        <v>5217</v>
      </c>
      <c r="T339" s="747">
        <v>5477</v>
      </c>
      <c r="U339" s="747">
        <v>5658</v>
      </c>
      <c r="V339" s="747">
        <v>5681</v>
      </c>
      <c r="W339" s="747">
        <v>5640</v>
      </c>
      <c r="X339" s="747">
        <v>5504</v>
      </c>
      <c r="Y339" s="747">
        <v>5246</v>
      </c>
      <c r="Z339" s="747">
        <v>4806</v>
      </c>
      <c r="AA339" s="747">
        <v>4521</v>
      </c>
      <c r="AC339" s="628">
        <f t="shared" si="53"/>
        <v>328</v>
      </c>
      <c r="AD339" s="627">
        <f t="shared" si="54"/>
        <v>32</v>
      </c>
      <c r="AE339" s="627">
        <f t="shared" si="51"/>
        <v>98</v>
      </c>
      <c r="AF339" s="627">
        <f t="shared" si="51"/>
        <v>35</v>
      </c>
      <c r="AG339" s="627">
        <f t="shared" si="51"/>
        <v>34</v>
      </c>
      <c r="AH339" s="627">
        <f t="shared" si="51"/>
        <v>123</v>
      </c>
      <c r="AI339" s="627">
        <f t="shared" si="51"/>
        <v>270</v>
      </c>
      <c r="AJ339" s="627">
        <f t="shared" si="51"/>
        <v>395</v>
      </c>
      <c r="AK339" s="627">
        <f t="shared" si="51"/>
        <v>161</v>
      </c>
      <c r="AL339" s="627">
        <f t="shared" si="51"/>
        <v>0</v>
      </c>
      <c r="AM339" s="627">
        <f t="shared" si="50"/>
        <v>64</v>
      </c>
      <c r="AN339" s="627">
        <f t="shared" si="50"/>
        <v>73</v>
      </c>
      <c r="AO339" s="627">
        <f t="shared" si="50"/>
        <v>32</v>
      </c>
      <c r="AP339" s="627">
        <f t="shared" si="50"/>
        <v>66</v>
      </c>
      <c r="AQ339" s="627">
        <f t="shared" si="50"/>
        <v>25</v>
      </c>
      <c r="AR339" s="627">
        <f t="shared" si="49"/>
        <v>195</v>
      </c>
      <c r="AS339" s="627">
        <f t="shared" si="49"/>
        <v>69</v>
      </c>
      <c r="AT339" s="627">
        <f t="shared" si="49"/>
        <v>260</v>
      </c>
      <c r="AU339" s="627">
        <f t="shared" si="49"/>
        <v>181</v>
      </c>
      <c r="AV339" s="627">
        <f t="shared" si="49"/>
        <v>23</v>
      </c>
      <c r="AW339" s="627">
        <f t="shared" si="49"/>
        <v>41</v>
      </c>
      <c r="AX339" s="627">
        <f t="shared" si="48"/>
        <v>136</v>
      </c>
      <c r="AY339" s="627">
        <f t="shared" si="48"/>
        <v>258</v>
      </c>
      <c r="AZ339" s="627">
        <f t="shared" si="48"/>
        <v>440</v>
      </c>
      <c r="BA339" s="627">
        <f t="shared" si="48"/>
        <v>285</v>
      </c>
    </row>
    <row r="340" spans="1:53">
      <c r="A340" s="105">
        <f t="shared" si="52"/>
        <v>329</v>
      </c>
      <c r="B340" s="745">
        <v>42698</v>
      </c>
      <c r="C340" s="746" t="s">
        <v>1771</v>
      </c>
      <c r="D340" s="747">
        <v>4323</v>
      </c>
      <c r="E340" s="747">
        <v>4184</v>
      </c>
      <c r="F340" s="747">
        <v>4103</v>
      </c>
      <c r="G340" s="747">
        <v>4090</v>
      </c>
      <c r="H340" s="747">
        <v>4184</v>
      </c>
      <c r="I340" s="747">
        <v>4336</v>
      </c>
      <c r="J340" s="747">
        <v>4723</v>
      </c>
      <c r="K340" s="747">
        <v>4862</v>
      </c>
      <c r="L340" s="747">
        <v>4977</v>
      </c>
      <c r="M340" s="747">
        <v>5073</v>
      </c>
      <c r="N340" s="747">
        <v>5113</v>
      </c>
      <c r="O340" s="747">
        <v>5113</v>
      </c>
      <c r="P340" s="747">
        <v>4981</v>
      </c>
      <c r="Q340" s="747">
        <v>4775</v>
      </c>
      <c r="R340" s="747">
        <v>4663</v>
      </c>
      <c r="S340" s="747">
        <v>4538</v>
      </c>
      <c r="T340" s="747">
        <v>4643</v>
      </c>
      <c r="U340" s="747">
        <v>4844</v>
      </c>
      <c r="V340" s="747">
        <v>4869</v>
      </c>
      <c r="W340" s="747">
        <v>4858</v>
      </c>
      <c r="X340" s="747">
        <v>4835</v>
      </c>
      <c r="Y340" s="747">
        <v>4757</v>
      </c>
      <c r="Z340" s="747">
        <v>4580</v>
      </c>
      <c r="AA340" s="747">
        <v>4360</v>
      </c>
      <c r="AC340" s="628">
        <f t="shared" si="53"/>
        <v>329</v>
      </c>
      <c r="AD340" s="627">
        <f t="shared" si="54"/>
        <v>198</v>
      </c>
      <c r="AE340" s="627">
        <f t="shared" si="51"/>
        <v>139</v>
      </c>
      <c r="AF340" s="627">
        <f t="shared" si="51"/>
        <v>81</v>
      </c>
      <c r="AG340" s="627">
        <f t="shared" si="51"/>
        <v>13</v>
      </c>
      <c r="AH340" s="627">
        <f t="shared" si="51"/>
        <v>94</v>
      </c>
      <c r="AI340" s="627">
        <f t="shared" si="51"/>
        <v>152</v>
      </c>
      <c r="AJ340" s="627">
        <f t="shared" si="51"/>
        <v>387</v>
      </c>
      <c r="AK340" s="627">
        <f t="shared" si="51"/>
        <v>139</v>
      </c>
      <c r="AL340" s="627">
        <f t="shared" si="51"/>
        <v>115</v>
      </c>
      <c r="AM340" s="627">
        <f t="shared" si="50"/>
        <v>96</v>
      </c>
      <c r="AN340" s="627">
        <f t="shared" si="50"/>
        <v>40</v>
      </c>
      <c r="AO340" s="627">
        <f t="shared" si="50"/>
        <v>0</v>
      </c>
      <c r="AP340" s="627">
        <f t="shared" si="50"/>
        <v>132</v>
      </c>
      <c r="AQ340" s="627">
        <f t="shared" si="50"/>
        <v>206</v>
      </c>
      <c r="AR340" s="627">
        <f t="shared" si="49"/>
        <v>112</v>
      </c>
      <c r="AS340" s="627">
        <f t="shared" si="49"/>
        <v>125</v>
      </c>
      <c r="AT340" s="627">
        <f t="shared" si="49"/>
        <v>105</v>
      </c>
      <c r="AU340" s="627">
        <f t="shared" si="49"/>
        <v>201</v>
      </c>
      <c r="AV340" s="627">
        <f t="shared" si="49"/>
        <v>25</v>
      </c>
      <c r="AW340" s="627">
        <f t="shared" si="49"/>
        <v>11</v>
      </c>
      <c r="AX340" s="627">
        <f t="shared" si="48"/>
        <v>23</v>
      </c>
      <c r="AY340" s="627">
        <f t="shared" si="48"/>
        <v>78</v>
      </c>
      <c r="AZ340" s="627">
        <f t="shared" si="48"/>
        <v>177</v>
      </c>
      <c r="BA340" s="627">
        <f t="shared" si="48"/>
        <v>220</v>
      </c>
    </row>
    <row r="341" spans="1:53">
      <c r="A341" s="105">
        <f t="shared" si="52"/>
        <v>330</v>
      </c>
      <c r="B341" s="745">
        <v>42699</v>
      </c>
      <c r="C341" s="746" t="s">
        <v>1771</v>
      </c>
      <c r="D341" s="747">
        <v>4240</v>
      </c>
      <c r="E341" s="747">
        <v>4272</v>
      </c>
      <c r="F341" s="747">
        <v>4261</v>
      </c>
      <c r="G341" s="747">
        <v>4267</v>
      </c>
      <c r="H341" s="747">
        <v>4365</v>
      </c>
      <c r="I341" s="747">
        <v>4513</v>
      </c>
      <c r="J341" s="747">
        <v>4802</v>
      </c>
      <c r="K341" s="747">
        <v>4829</v>
      </c>
      <c r="L341" s="747">
        <v>4679</v>
      </c>
      <c r="M341" s="747">
        <v>4689</v>
      </c>
      <c r="N341" s="747">
        <v>4641</v>
      </c>
      <c r="O341" s="747">
        <v>4589</v>
      </c>
      <c r="P341" s="747">
        <v>4547</v>
      </c>
      <c r="Q341" s="747">
        <v>4512</v>
      </c>
      <c r="R341" s="747">
        <v>4528</v>
      </c>
      <c r="S341" s="747">
        <v>4645</v>
      </c>
      <c r="T341" s="747">
        <v>4900</v>
      </c>
      <c r="U341" s="747">
        <v>5313</v>
      </c>
      <c r="V341" s="747">
        <v>5282</v>
      </c>
      <c r="W341" s="747">
        <v>5196</v>
      </c>
      <c r="X341" s="747">
        <v>5078</v>
      </c>
      <c r="Y341" s="747">
        <v>4935</v>
      </c>
      <c r="Z341" s="747">
        <v>4698</v>
      </c>
      <c r="AA341" s="747">
        <v>4422</v>
      </c>
      <c r="AC341" s="628">
        <f t="shared" si="53"/>
        <v>330</v>
      </c>
      <c r="AD341" s="627">
        <f t="shared" si="54"/>
        <v>120</v>
      </c>
      <c r="AE341" s="627">
        <f t="shared" si="51"/>
        <v>32</v>
      </c>
      <c r="AF341" s="627">
        <f t="shared" si="51"/>
        <v>11</v>
      </c>
      <c r="AG341" s="627">
        <f t="shared" si="51"/>
        <v>6</v>
      </c>
      <c r="AH341" s="627">
        <f t="shared" si="51"/>
        <v>98</v>
      </c>
      <c r="AI341" s="627">
        <f t="shared" si="51"/>
        <v>148</v>
      </c>
      <c r="AJ341" s="627">
        <f t="shared" si="51"/>
        <v>289</v>
      </c>
      <c r="AK341" s="627">
        <f t="shared" si="51"/>
        <v>27</v>
      </c>
      <c r="AL341" s="627">
        <f t="shared" si="51"/>
        <v>150</v>
      </c>
      <c r="AM341" s="627">
        <f t="shared" si="50"/>
        <v>10</v>
      </c>
      <c r="AN341" s="627">
        <f t="shared" si="50"/>
        <v>48</v>
      </c>
      <c r="AO341" s="627">
        <f t="shared" si="50"/>
        <v>52</v>
      </c>
      <c r="AP341" s="627">
        <f t="shared" si="50"/>
        <v>42</v>
      </c>
      <c r="AQ341" s="627">
        <f t="shared" si="50"/>
        <v>35</v>
      </c>
      <c r="AR341" s="627">
        <f t="shared" si="49"/>
        <v>16</v>
      </c>
      <c r="AS341" s="627">
        <f t="shared" si="49"/>
        <v>117</v>
      </c>
      <c r="AT341" s="627">
        <f t="shared" si="49"/>
        <v>255</v>
      </c>
      <c r="AU341" s="627">
        <f t="shared" si="49"/>
        <v>413</v>
      </c>
      <c r="AV341" s="627">
        <f t="shared" si="49"/>
        <v>31</v>
      </c>
      <c r="AW341" s="627">
        <f t="shared" si="49"/>
        <v>86</v>
      </c>
      <c r="AX341" s="627">
        <f t="shared" si="48"/>
        <v>118</v>
      </c>
      <c r="AY341" s="627">
        <f t="shared" si="48"/>
        <v>143</v>
      </c>
      <c r="AZ341" s="627">
        <f t="shared" si="48"/>
        <v>237</v>
      </c>
      <c r="BA341" s="627">
        <f t="shared" si="48"/>
        <v>276</v>
      </c>
    </row>
    <row r="342" spans="1:53">
      <c r="A342" s="105">
        <f t="shared" si="52"/>
        <v>331</v>
      </c>
      <c r="B342" s="745">
        <v>42700</v>
      </c>
      <c r="C342" s="746" t="s">
        <v>1771</v>
      </c>
      <c r="D342" s="747">
        <v>4265</v>
      </c>
      <c r="E342" s="747">
        <v>4352</v>
      </c>
      <c r="F342" s="747">
        <v>4336</v>
      </c>
      <c r="G342" s="747">
        <v>4325</v>
      </c>
      <c r="H342" s="747">
        <v>4376</v>
      </c>
      <c r="I342" s="747">
        <v>4495</v>
      </c>
      <c r="J342" s="747">
        <v>4582</v>
      </c>
      <c r="K342" s="747">
        <v>4672</v>
      </c>
      <c r="L342" s="747">
        <v>4736</v>
      </c>
      <c r="M342" s="747">
        <v>4682</v>
      </c>
      <c r="N342" s="747">
        <v>4621</v>
      </c>
      <c r="O342" s="747">
        <v>4556</v>
      </c>
      <c r="P342" s="747">
        <v>4471</v>
      </c>
      <c r="Q342" s="747">
        <v>4419</v>
      </c>
      <c r="R342" s="747">
        <v>4399</v>
      </c>
      <c r="S342" s="747">
        <v>4521</v>
      </c>
      <c r="T342" s="747">
        <v>4845</v>
      </c>
      <c r="U342" s="747">
        <v>5250</v>
      </c>
      <c r="V342" s="747">
        <v>5260</v>
      </c>
      <c r="W342" s="747">
        <v>5180</v>
      </c>
      <c r="X342" s="747">
        <v>5132</v>
      </c>
      <c r="Y342" s="747">
        <v>5013</v>
      </c>
      <c r="Z342" s="747">
        <v>4682</v>
      </c>
      <c r="AA342" s="747">
        <v>4422</v>
      </c>
      <c r="AC342" s="628">
        <f t="shared" si="53"/>
        <v>331</v>
      </c>
      <c r="AD342" s="627">
        <f t="shared" si="54"/>
        <v>157</v>
      </c>
      <c r="AE342" s="627">
        <f t="shared" si="51"/>
        <v>87</v>
      </c>
      <c r="AF342" s="627">
        <f t="shared" si="51"/>
        <v>16</v>
      </c>
      <c r="AG342" s="627">
        <f t="shared" si="51"/>
        <v>11</v>
      </c>
      <c r="AH342" s="627">
        <f t="shared" si="51"/>
        <v>51</v>
      </c>
      <c r="AI342" s="627">
        <f t="shared" si="51"/>
        <v>119</v>
      </c>
      <c r="AJ342" s="627">
        <f t="shared" si="51"/>
        <v>87</v>
      </c>
      <c r="AK342" s="627">
        <f t="shared" si="51"/>
        <v>90</v>
      </c>
      <c r="AL342" s="627">
        <f t="shared" si="51"/>
        <v>64</v>
      </c>
      <c r="AM342" s="627">
        <f t="shared" si="50"/>
        <v>54</v>
      </c>
      <c r="AN342" s="627">
        <f t="shared" si="50"/>
        <v>61</v>
      </c>
      <c r="AO342" s="627">
        <f t="shared" si="50"/>
        <v>65</v>
      </c>
      <c r="AP342" s="627">
        <f t="shared" si="50"/>
        <v>85</v>
      </c>
      <c r="AQ342" s="627">
        <f t="shared" si="50"/>
        <v>52</v>
      </c>
      <c r="AR342" s="627">
        <f t="shared" si="49"/>
        <v>20</v>
      </c>
      <c r="AS342" s="627">
        <f t="shared" si="49"/>
        <v>122</v>
      </c>
      <c r="AT342" s="627">
        <f t="shared" si="49"/>
        <v>324</v>
      </c>
      <c r="AU342" s="627">
        <f t="shared" si="49"/>
        <v>405</v>
      </c>
      <c r="AV342" s="627">
        <f t="shared" si="49"/>
        <v>10</v>
      </c>
      <c r="AW342" s="627">
        <f t="shared" si="49"/>
        <v>80</v>
      </c>
      <c r="AX342" s="627">
        <f t="shared" si="48"/>
        <v>48</v>
      </c>
      <c r="AY342" s="627">
        <f t="shared" si="48"/>
        <v>119</v>
      </c>
      <c r="AZ342" s="627">
        <f t="shared" si="48"/>
        <v>331</v>
      </c>
      <c r="BA342" s="627">
        <f t="shared" si="48"/>
        <v>260</v>
      </c>
    </row>
    <row r="343" spans="1:53">
      <c r="A343" s="105">
        <f t="shared" si="52"/>
        <v>332</v>
      </c>
      <c r="B343" s="745">
        <v>42701</v>
      </c>
      <c r="C343" s="746" t="s">
        <v>1771</v>
      </c>
      <c r="D343" s="747">
        <v>4293</v>
      </c>
      <c r="E343" s="747">
        <v>4159</v>
      </c>
      <c r="F343" s="747">
        <v>3995</v>
      </c>
      <c r="G343" s="747">
        <v>3929</v>
      </c>
      <c r="H343" s="747">
        <v>3881</v>
      </c>
      <c r="I343" s="747">
        <v>3978</v>
      </c>
      <c r="J343" s="747">
        <v>4163</v>
      </c>
      <c r="K343" s="747">
        <v>4260</v>
      </c>
      <c r="L343" s="747">
        <v>4489</v>
      </c>
      <c r="M343" s="747">
        <v>4638</v>
      </c>
      <c r="N343" s="747">
        <v>4709</v>
      </c>
      <c r="O343" s="747">
        <v>4761</v>
      </c>
      <c r="P343" s="747">
        <v>4704</v>
      </c>
      <c r="Q343" s="747">
        <v>4681</v>
      </c>
      <c r="R343" s="747">
        <v>4681</v>
      </c>
      <c r="S343" s="747">
        <v>4773</v>
      </c>
      <c r="T343" s="747">
        <v>5144</v>
      </c>
      <c r="U343" s="747">
        <v>5618</v>
      </c>
      <c r="V343" s="747">
        <v>5614</v>
      </c>
      <c r="W343" s="747">
        <v>5463</v>
      </c>
      <c r="X343" s="747">
        <v>5287</v>
      </c>
      <c r="Y343" s="747">
        <v>5153</v>
      </c>
      <c r="Z343" s="747">
        <v>4936</v>
      </c>
      <c r="AA343" s="747">
        <v>4560</v>
      </c>
      <c r="AC343" s="628">
        <f t="shared" si="53"/>
        <v>332</v>
      </c>
      <c r="AD343" s="627">
        <f t="shared" si="54"/>
        <v>129</v>
      </c>
      <c r="AE343" s="627">
        <f t="shared" si="51"/>
        <v>134</v>
      </c>
      <c r="AF343" s="627">
        <f t="shared" si="51"/>
        <v>164</v>
      </c>
      <c r="AG343" s="627">
        <f t="shared" si="51"/>
        <v>66</v>
      </c>
      <c r="AH343" s="627">
        <f t="shared" si="51"/>
        <v>48</v>
      </c>
      <c r="AI343" s="627">
        <f t="shared" si="51"/>
        <v>97</v>
      </c>
      <c r="AJ343" s="627">
        <f t="shared" si="51"/>
        <v>185</v>
      </c>
      <c r="AK343" s="627">
        <f t="shared" si="51"/>
        <v>97</v>
      </c>
      <c r="AL343" s="627">
        <f t="shared" si="51"/>
        <v>229</v>
      </c>
      <c r="AM343" s="627">
        <f t="shared" si="50"/>
        <v>149</v>
      </c>
      <c r="AN343" s="627">
        <f t="shared" si="50"/>
        <v>71</v>
      </c>
      <c r="AO343" s="627">
        <f t="shared" si="50"/>
        <v>52</v>
      </c>
      <c r="AP343" s="627">
        <f t="shared" si="50"/>
        <v>57</v>
      </c>
      <c r="AQ343" s="627">
        <f t="shared" si="50"/>
        <v>23</v>
      </c>
      <c r="AR343" s="627">
        <f t="shared" si="49"/>
        <v>0</v>
      </c>
      <c r="AS343" s="627">
        <f t="shared" si="49"/>
        <v>92</v>
      </c>
      <c r="AT343" s="627">
        <f t="shared" si="49"/>
        <v>371</v>
      </c>
      <c r="AU343" s="627">
        <f t="shared" si="49"/>
        <v>474</v>
      </c>
      <c r="AV343" s="627">
        <f t="shared" si="49"/>
        <v>4</v>
      </c>
      <c r="AW343" s="627">
        <f t="shared" si="49"/>
        <v>151</v>
      </c>
      <c r="AX343" s="627">
        <f t="shared" si="48"/>
        <v>176</v>
      </c>
      <c r="AY343" s="627">
        <f t="shared" si="48"/>
        <v>134</v>
      </c>
      <c r="AZ343" s="627">
        <f t="shared" si="48"/>
        <v>217</v>
      </c>
      <c r="BA343" s="627">
        <f t="shared" si="48"/>
        <v>376</v>
      </c>
    </row>
    <row r="344" spans="1:53">
      <c r="A344" s="105">
        <f t="shared" si="52"/>
        <v>333</v>
      </c>
      <c r="B344" s="745">
        <v>42702</v>
      </c>
      <c r="C344" s="746" t="s">
        <v>1771</v>
      </c>
      <c r="D344" s="747">
        <v>4344</v>
      </c>
      <c r="E344" s="747">
        <v>4253</v>
      </c>
      <c r="F344" s="747">
        <v>4224</v>
      </c>
      <c r="G344" s="747">
        <v>4240</v>
      </c>
      <c r="H344" s="747">
        <v>4284</v>
      </c>
      <c r="I344" s="747">
        <v>4615</v>
      </c>
      <c r="J344" s="747">
        <v>5080</v>
      </c>
      <c r="K344" s="747">
        <v>5236</v>
      </c>
      <c r="L344" s="747">
        <v>5228</v>
      </c>
      <c r="M344" s="747">
        <v>5302</v>
      </c>
      <c r="N344" s="747">
        <v>5303</v>
      </c>
      <c r="O344" s="747">
        <v>5218</v>
      </c>
      <c r="P344" s="747">
        <v>5234</v>
      </c>
      <c r="Q344" s="747">
        <v>5260</v>
      </c>
      <c r="R344" s="747">
        <v>5329</v>
      </c>
      <c r="S344" s="747">
        <v>5379</v>
      </c>
      <c r="T344" s="747">
        <v>5707</v>
      </c>
      <c r="U344" s="747">
        <v>6121</v>
      </c>
      <c r="V344" s="747">
        <v>6074</v>
      </c>
      <c r="W344" s="747">
        <v>5895</v>
      </c>
      <c r="X344" s="747">
        <v>5723</v>
      </c>
      <c r="Y344" s="747">
        <v>5377</v>
      </c>
      <c r="Z344" s="747">
        <v>5095</v>
      </c>
      <c r="AA344" s="747">
        <v>4848</v>
      </c>
      <c r="AC344" s="628">
        <f t="shared" si="53"/>
        <v>333</v>
      </c>
      <c r="AD344" s="627">
        <f t="shared" si="54"/>
        <v>216</v>
      </c>
      <c r="AE344" s="627">
        <f t="shared" si="51"/>
        <v>91</v>
      </c>
      <c r="AF344" s="627">
        <f t="shared" si="51"/>
        <v>29</v>
      </c>
      <c r="AG344" s="627">
        <f t="shared" si="51"/>
        <v>16</v>
      </c>
      <c r="AH344" s="627">
        <f t="shared" si="51"/>
        <v>44</v>
      </c>
      <c r="AI344" s="627">
        <f t="shared" si="51"/>
        <v>331</v>
      </c>
      <c r="AJ344" s="627">
        <f t="shared" si="51"/>
        <v>465</v>
      </c>
      <c r="AK344" s="627">
        <f t="shared" si="51"/>
        <v>156</v>
      </c>
      <c r="AL344" s="627">
        <f t="shared" si="51"/>
        <v>8</v>
      </c>
      <c r="AM344" s="627">
        <f t="shared" si="50"/>
        <v>74</v>
      </c>
      <c r="AN344" s="627">
        <f t="shared" si="50"/>
        <v>1</v>
      </c>
      <c r="AO344" s="627">
        <f t="shared" si="50"/>
        <v>85</v>
      </c>
      <c r="AP344" s="627">
        <f t="shared" si="50"/>
        <v>16</v>
      </c>
      <c r="AQ344" s="627">
        <f t="shared" si="50"/>
        <v>26</v>
      </c>
      <c r="AR344" s="627">
        <f t="shared" si="49"/>
        <v>69</v>
      </c>
      <c r="AS344" s="627">
        <f t="shared" si="49"/>
        <v>50</v>
      </c>
      <c r="AT344" s="627">
        <f t="shared" si="49"/>
        <v>328</v>
      </c>
      <c r="AU344" s="627">
        <f t="shared" si="49"/>
        <v>414</v>
      </c>
      <c r="AV344" s="627">
        <f t="shared" si="49"/>
        <v>47</v>
      </c>
      <c r="AW344" s="627">
        <f t="shared" si="49"/>
        <v>179</v>
      </c>
      <c r="AX344" s="627">
        <f t="shared" si="48"/>
        <v>172</v>
      </c>
      <c r="AY344" s="627">
        <f t="shared" si="48"/>
        <v>346</v>
      </c>
      <c r="AZ344" s="627">
        <f t="shared" si="48"/>
        <v>282</v>
      </c>
      <c r="BA344" s="627">
        <f t="shared" si="48"/>
        <v>247</v>
      </c>
    </row>
    <row r="345" spans="1:53">
      <c r="A345" s="105">
        <f t="shared" si="52"/>
        <v>334</v>
      </c>
      <c r="B345" s="745">
        <v>42703</v>
      </c>
      <c r="C345" s="746" t="s">
        <v>1771</v>
      </c>
      <c r="D345" s="747">
        <v>4633</v>
      </c>
      <c r="E345" s="747">
        <v>4559</v>
      </c>
      <c r="F345" s="747">
        <v>4541</v>
      </c>
      <c r="G345" s="747">
        <v>4539</v>
      </c>
      <c r="H345" s="747">
        <v>4726</v>
      </c>
      <c r="I345" s="747">
        <v>4947</v>
      </c>
      <c r="J345" s="747">
        <v>5412</v>
      </c>
      <c r="K345" s="747">
        <v>5501</v>
      </c>
      <c r="L345" s="747">
        <v>5499</v>
      </c>
      <c r="M345" s="747">
        <v>5449</v>
      </c>
      <c r="N345" s="747">
        <v>5465</v>
      </c>
      <c r="O345" s="747">
        <v>5431</v>
      </c>
      <c r="P345" s="747">
        <v>5329</v>
      </c>
      <c r="Q345" s="747">
        <v>5280</v>
      </c>
      <c r="R345" s="747">
        <v>5340</v>
      </c>
      <c r="S345" s="747">
        <v>5451</v>
      </c>
      <c r="T345" s="747">
        <v>5746</v>
      </c>
      <c r="U345" s="747">
        <v>6242</v>
      </c>
      <c r="V345" s="747">
        <v>6211</v>
      </c>
      <c r="W345" s="747">
        <v>6093</v>
      </c>
      <c r="X345" s="747">
        <v>5911</v>
      </c>
      <c r="Y345" s="747">
        <v>5575</v>
      </c>
      <c r="Z345" s="747">
        <v>5210</v>
      </c>
      <c r="AA345" s="747">
        <v>5035</v>
      </c>
      <c r="AC345" s="628">
        <f t="shared" si="53"/>
        <v>334</v>
      </c>
      <c r="AD345" s="627">
        <f t="shared" si="54"/>
        <v>215</v>
      </c>
      <c r="AE345" s="627">
        <f t="shared" si="51"/>
        <v>74</v>
      </c>
      <c r="AF345" s="627">
        <f t="shared" si="51"/>
        <v>18</v>
      </c>
      <c r="AG345" s="627">
        <f t="shared" si="51"/>
        <v>2</v>
      </c>
      <c r="AH345" s="627">
        <f t="shared" si="51"/>
        <v>187</v>
      </c>
      <c r="AI345" s="627">
        <f t="shared" si="51"/>
        <v>221</v>
      </c>
      <c r="AJ345" s="627">
        <f t="shared" si="51"/>
        <v>465</v>
      </c>
      <c r="AK345" s="627">
        <f t="shared" si="51"/>
        <v>89</v>
      </c>
      <c r="AL345" s="627">
        <f t="shared" si="51"/>
        <v>2</v>
      </c>
      <c r="AM345" s="627">
        <f t="shared" si="50"/>
        <v>50</v>
      </c>
      <c r="AN345" s="627">
        <f t="shared" si="50"/>
        <v>16</v>
      </c>
      <c r="AO345" s="627">
        <f t="shared" si="50"/>
        <v>34</v>
      </c>
      <c r="AP345" s="627">
        <f t="shared" si="50"/>
        <v>102</v>
      </c>
      <c r="AQ345" s="627">
        <f t="shared" si="50"/>
        <v>49</v>
      </c>
      <c r="AR345" s="627">
        <f t="shared" si="49"/>
        <v>60</v>
      </c>
      <c r="AS345" s="627">
        <f t="shared" si="49"/>
        <v>111</v>
      </c>
      <c r="AT345" s="627">
        <f t="shared" si="49"/>
        <v>295</v>
      </c>
      <c r="AU345" s="627">
        <f t="shared" si="49"/>
        <v>496</v>
      </c>
      <c r="AV345" s="627">
        <f t="shared" si="49"/>
        <v>31</v>
      </c>
      <c r="AW345" s="627">
        <f t="shared" si="49"/>
        <v>118</v>
      </c>
      <c r="AX345" s="627">
        <f t="shared" si="48"/>
        <v>182</v>
      </c>
      <c r="AY345" s="627">
        <f t="shared" si="48"/>
        <v>336</v>
      </c>
      <c r="AZ345" s="627">
        <f t="shared" si="48"/>
        <v>365</v>
      </c>
      <c r="BA345" s="627">
        <f t="shared" si="48"/>
        <v>175</v>
      </c>
    </row>
    <row r="346" spans="1:53">
      <c r="A346" s="105">
        <f t="shared" si="52"/>
        <v>335</v>
      </c>
      <c r="B346" s="745">
        <v>42704</v>
      </c>
      <c r="C346" s="746" t="s">
        <v>1771</v>
      </c>
      <c r="D346" s="747">
        <v>4863</v>
      </c>
      <c r="E346" s="747">
        <v>4755</v>
      </c>
      <c r="F346" s="747">
        <v>4699</v>
      </c>
      <c r="G346" s="747">
        <v>4621</v>
      </c>
      <c r="H346" s="747">
        <v>4740</v>
      </c>
      <c r="I346" s="747">
        <v>5152</v>
      </c>
      <c r="J346" s="747">
        <v>5490</v>
      </c>
      <c r="K346" s="747">
        <v>5588</v>
      </c>
      <c r="L346" s="747">
        <v>5492</v>
      </c>
      <c r="M346" s="747">
        <v>5369</v>
      </c>
      <c r="N346" s="747">
        <v>5284</v>
      </c>
      <c r="O346" s="747">
        <v>5221</v>
      </c>
      <c r="P346" s="747">
        <v>5156</v>
      </c>
      <c r="Q346" s="747">
        <v>5123</v>
      </c>
      <c r="R346" s="747">
        <v>5145</v>
      </c>
      <c r="S346" s="747">
        <v>5263</v>
      </c>
      <c r="T346" s="747">
        <v>5668</v>
      </c>
      <c r="U346" s="747">
        <v>6151</v>
      </c>
      <c r="V346" s="747">
        <v>6163</v>
      </c>
      <c r="W346" s="747">
        <v>6054</v>
      </c>
      <c r="X346" s="747">
        <v>5882</v>
      </c>
      <c r="Y346" s="747">
        <v>5606</v>
      </c>
      <c r="Z346" s="747">
        <v>5328</v>
      </c>
      <c r="AA346" s="747">
        <v>5034</v>
      </c>
      <c r="AC346" s="628">
        <f t="shared" si="53"/>
        <v>335</v>
      </c>
      <c r="AD346" s="627">
        <f t="shared" si="54"/>
        <v>172</v>
      </c>
      <c r="AE346" s="627">
        <f t="shared" si="51"/>
        <v>108</v>
      </c>
      <c r="AF346" s="627">
        <f t="shared" si="51"/>
        <v>56</v>
      </c>
      <c r="AG346" s="627">
        <f t="shared" si="51"/>
        <v>78</v>
      </c>
      <c r="AH346" s="627">
        <f t="shared" si="51"/>
        <v>119</v>
      </c>
      <c r="AI346" s="627">
        <f t="shared" si="51"/>
        <v>412</v>
      </c>
      <c r="AJ346" s="627">
        <f t="shared" si="51"/>
        <v>338</v>
      </c>
      <c r="AK346" s="627">
        <f t="shared" si="51"/>
        <v>98</v>
      </c>
      <c r="AL346" s="627">
        <f t="shared" si="51"/>
        <v>96</v>
      </c>
      <c r="AM346" s="627">
        <f t="shared" si="50"/>
        <v>123</v>
      </c>
      <c r="AN346" s="627">
        <f t="shared" si="50"/>
        <v>85</v>
      </c>
      <c r="AO346" s="627">
        <f t="shared" si="50"/>
        <v>63</v>
      </c>
      <c r="AP346" s="627">
        <f t="shared" si="50"/>
        <v>65</v>
      </c>
      <c r="AQ346" s="627">
        <f t="shared" si="50"/>
        <v>33</v>
      </c>
      <c r="AR346" s="627">
        <f t="shared" si="50"/>
        <v>22</v>
      </c>
      <c r="AS346" s="627">
        <f t="shared" si="50"/>
        <v>118</v>
      </c>
      <c r="AT346" s="627">
        <f t="shared" si="50"/>
        <v>405</v>
      </c>
      <c r="AU346" s="627">
        <f t="shared" si="49"/>
        <v>483</v>
      </c>
      <c r="AV346" s="627">
        <f t="shared" si="49"/>
        <v>12</v>
      </c>
      <c r="AW346" s="627">
        <f t="shared" si="49"/>
        <v>109</v>
      </c>
      <c r="AX346" s="627">
        <f t="shared" si="48"/>
        <v>172</v>
      </c>
      <c r="AY346" s="627">
        <f t="shared" si="48"/>
        <v>276</v>
      </c>
      <c r="AZ346" s="627">
        <f t="shared" si="48"/>
        <v>278</v>
      </c>
      <c r="BA346" s="627">
        <f t="shared" si="48"/>
        <v>294</v>
      </c>
    </row>
    <row r="347" spans="1:53">
      <c r="A347" s="105">
        <f t="shared" si="52"/>
        <v>336</v>
      </c>
      <c r="B347" s="745">
        <v>42705</v>
      </c>
      <c r="C347" s="746" t="s">
        <v>1771</v>
      </c>
      <c r="D347" s="747">
        <v>4849</v>
      </c>
      <c r="E347" s="747">
        <v>4796</v>
      </c>
      <c r="F347" s="747">
        <v>4730</v>
      </c>
      <c r="G347" s="747">
        <v>4706</v>
      </c>
      <c r="H347" s="747">
        <v>4776</v>
      </c>
      <c r="I347" s="747">
        <v>5075</v>
      </c>
      <c r="J347" s="747">
        <v>5482</v>
      </c>
      <c r="K347" s="747">
        <v>5610</v>
      </c>
      <c r="L347" s="747">
        <v>5600</v>
      </c>
      <c r="M347" s="747">
        <v>5526</v>
      </c>
      <c r="N347" s="747">
        <v>5435</v>
      </c>
      <c r="O347" s="747">
        <v>5342</v>
      </c>
      <c r="P347" s="747">
        <v>5237</v>
      </c>
      <c r="Q347" s="747">
        <v>5215</v>
      </c>
      <c r="R347" s="747">
        <v>5228</v>
      </c>
      <c r="S347" s="747">
        <v>5280</v>
      </c>
      <c r="T347" s="747">
        <v>5651</v>
      </c>
      <c r="U347" s="747">
        <v>6078</v>
      </c>
      <c r="V347" s="747">
        <v>6057</v>
      </c>
      <c r="W347" s="747">
        <v>6000</v>
      </c>
      <c r="X347" s="747">
        <v>5825</v>
      </c>
      <c r="Y347" s="747">
        <v>5515</v>
      </c>
      <c r="Z347" s="747">
        <v>5264</v>
      </c>
      <c r="AA347" s="747">
        <v>5014</v>
      </c>
      <c r="AB347" s="627">
        <f>MAX(D347:AA377)</f>
        <v>6908</v>
      </c>
      <c r="AC347" s="628">
        <f t="shared" si="53"/>
        <v>336</v>
      </c>
      <c r="AD347" s="627">
        <f t="shared" si="54"/>
        <v>185</v>
      </c>
      <c r="AE347" s="627">
        <f t="shared" si="51"/>
        <v>53</v>
      </c>
      <c r="AF347" s="627">
        <f t="shared" si="51"/>
        <v>66</v>
      </c>
      <c r="AG347" s="627">
        <f t="shared" si="51"/>
        <v>24</v>
      </c>
      <c r="AH347" s="627">
        <f t="shared" si="51"/>
        <v>70</v>
      </c>
      <c r="AI347" s="627">
        <f t="shared" si="51"/>
        <v>299</v>
      </c>
      <c r="AJ347" s="627">
        <f t="shared" si="51"/>
        <v>407</v>
      </c>
      <c r="AK347" s="627">
        <f t="shared" si="51"/>
        <v>128</v>
      </c>
      <c r="AL347" s="627">
        <f t="shared" si="51"/>
        <v>10</v>
      </c>
      <c r="AM347" s="627">
        <f t="shared" si="50"/>
        <v>74</v>
      </c>
      <c r="AN347" s="627">
        <f t="shared" si="50"/>
        <v>91</v>
      </c>
      <c r="AO347" s="627">
        <f t="shared" si="50"/>
        <v>93</v>
      </c>
      <c r="AP347" s="627">
        <f t="shared" si="50"/>
        <v>105</v>
      </c>
      <c r="AQ347" s="627">
        <f t="shared" si="50"/>
        <v>22</v>
      </c>
      <c r="AR347" s="627">
        <f t="shared" si="50"/>
        <v>13</v>
      </c>
      <c r="AS347" s="627">
        <f t="shared" si="50"/>
        <v>52</v>
      </c>
      <c r="AT347" s="627">
        <f t="shared" si="50"/>
        <v>371</v>
      </c>
      <c r="AU347" s="627">
        <f t="shared" si="49"/>
        <v>427</v>
      </c>
      <c r="AV347" s="627">
        <f t="shared" si="49"/>
        <v>21</v>
      </c>
      <c r="AW347" s="627">
        <f t="shared" si="49"/>
        <v>57</v>
      </c>
      <c r="AX347" s="627">
        <f t="shared" si="48"/>
        <v>175</v>
      </c>
      <c r="AY347" s="627">
        <f t="shared" si="48"/>
        <v>310</v>
      </c>
      <c r="AZ347" s="627">
        <f t="shared" si="48"/>
        <v>251</v>
      </c>
      <c r="BA347" s="627">
        <f t="shared" si="48"/>
        <v>250</v>
      </c>
    </row>
    <row r="348" spans="1:53">
      <c r="A348" s="105">
        <f t="shared" si="52"/>
        <v>337</v>
      </c>
      <c r="B348" s="745">
        <v>42706</v>
      </c>
      <c r="C348" s="746" t="s">
        <v>1771</v>
      </c>
      <c r="D348" s="747">
        <v>4839</v>
      </c>
      <c r="E348" s="747">
        <v>4696</v>
      </c>
      <c r="F348" s="747">
        <v>4728</v>
      </c>
      <c r="G348" s="747">
        <v>4737</v>
      </c>
      <c r="H348" s="747">
        <v>4782</v>
      </c>
      <c r="I348" s="747">
        <v>5026</v>
      </c>
      <c r="J348" s="747">
        <v>5432</v>
      </c>
      <c r="K348" s="747">
        <v>5614</v>
      </c>
      <c r="L348" s="747">
        <v>5683</v>
      </c>
      <c r="M348" s="747">
        <v>5688</v>
      </c>
      <c r="N348" s="747">
        <v>5694</v>
      </c>
      <c r="O348" s="747">
        <v>5593</v>
      </c>
      <c r="P348" s="747">
        <v>5536</v>
      </c>
      <c r="Q348" s="747">
        <v>5520</v>
      </c>
      <c r="R348" s="747">
        <v>5497</v>
      </c>
      <c r="S348" s="747">
        <v>5562</v>
      </c>
      <c r="T348" s="747">
        <v>5906</v>
      </c>
      <c r="U348" s="747">
        <v>6189</v>
      </c>
      <c r="V348" s="747">
        <v>6102</v>
      </c>
      <c r="W348" s="747">
        <v>5997</v>
      </c>
      <c r="X348" s="747">
        <v>5816</v>
      </c>
      <c r="Y348" s="747">
        <v>5501</v>
      </c>
      <c r="Z348" s="747">
        <v>5235</v>
      </c>
      <c r="AA348" s="747">
        <v>5147</v>
      </c>
      <c r="AC348" s="628">
        <f t="shared" si="53"/>
        <v>337</v>
      </c>
      <c r="AD348" s="627">
        <f t="shared" si="54"/>
        <v>175</v>
      </c>
      <c r="AE348" s="627">
        <f t="shared" si="51"/>
        <v>143</v>
      </c>
      <c r="AF348" s="627">
        <f t="shared" si="51"/>
        <v>32</v>
      </c>
      <c r="AG348" s="627">
        <f t="shared" si="51"/>
        <v>9</v>
      </c>
      <c r="AH348" s="627">
        <f t="shared" si="51"/>
        <v>45</v>
      </c>
      <c r="AI348" s="627">
        <f t="shared" si="51"/>
        <v>244</v>
      </c>
      <c r="AJ348" s="627">
        <f t="shared" si="51"/>
        <v>406</v>
      </c>
      <c r="AK348" s="627">
        <f t="shared" si="51"/>
        <v>182</v>
      </c>
      <c r="AL348" s="627">
        <f t="shared" si="51"/>
        <v>69</v>
      </c>
      <c r="AM348" s="627">
        <f t="shared" si="50"/>
        <v>5</v>
      </c>
      <c r="AN348" s="627">
        <f t="shared" si="50"/>
        <v>6</v>
      </c>
      <c r="AO348" s="627">
        <f t="shared" si="50"/>
        <v>101</v>
      </c>
      <c r="AP348" s="627">
        <f t="shared" si="50"/>
        <v>57</v>
      </c>
      <c r="AQ348" s="627">
        <f t="shared" si="50"/>
        <v>16</v>
      </c>
      <c r="AR348" s="627">
        <f t="shared" si="50"/>
        <v>23</v>
      </c>
      <c r="AS348" s="627">
        <f t="shared" si="50"/>
        <v>65</v>
      </c>
      <c r="AT348" s="627">
        <f t="shared" si="50"/>
        <v>344</v>
      </c>
      <c r="AU348" s="627">
        <f t="shared" si="49"/>
        <v>283</v>
      </c>
      <c r="AV348" s="627">
        <f t="shared" si="49"/>
        <v>87</v>
      </c>
      <c r="AW348" s="627">
        <f t="shared" si="49"/>
        <v>105</v>
      </c>
      <c r="AX348" s="627">
        <f t="shared" si="48"/>
        <v>181</v>
      </c>
      <c r="AY348" s="627">
        <f t="shared" si="48"/>
        <v>315</v>
      </c>
      <c r="AZ348" s="627">
        <f t="shared" si="48"/>
        <v>266</v>
      </c>
      <c r="BA348" s="627">
        <f t="shared" si="48"/>
        <v>88</v>
      </c>
    </row>
    <row r="349" spans="1:53">
      <c r="A349" s="105">
        <f t="shared" si="52"/>
        <v>338</v>
      </c>
      <c r="B349" s="745">
        <v>42707</v>
      </c>
      <c r="C349" s="746" t="s">
        <v>1771</v>
      </c>
      <c r="D349" s="747">
        <v>4930</v>
      </c>
      <c r="E349" s="747">
        <v>4819</v>
      </c>
      <c r="F349" s="747">
        <v>4765</v>
      </c>
      <c r="G349" s="747">
        <v>4678</v>
      </c>
      <c r="H349" s="747">
        <v>4699</v>
      </c>
      <c r="I349" s="747">
        <v>4774</v>
      </c>
      <c r="J349" s="747">
        <v>4994</v>
      </c>
      <c r="K349" s="747">
        <v>5085</v>
      </c>
      <c r="L349" s="747">
        <v>5215</v>
      </c>
      <c r="M349" s="747">
        <v>5208</v>
      </c>
      <c r="N349" s="747">
        <v>5170</v>
      </c>
      <c r="O349" s="747">
        <v>5179</v>
      </c>
      <c r="P349" s="747">
        <v>5099</v>
      </c>
      <c r="Q349" s="747">
        <v>4952</v>
      </c>
      <c r="R349" s="747">
        <v>4945</v>
      </c>
      <c r="S349" s="747">
        <v>5086</v>
      </c>
      <c r="T349" s="747">
        <v>5394</v>
      </c>
      <c r="U349" s="747">
        <v>5786</v>
      </c>
      <c r="V349" s="747">
        <v>5814</v>
      </c>
      <c r="W349" s="747">
        <v>5764</v>
      </c>
      <c r="X349" s="747">
        <v>5661</v>
      </c>
      <c r="Y349" s="747">
        <v>5481</v>
      </c>
      <c r="Z349" s="747">
        <v>5165</v>
      </c>
      <c r="AA349" s="747">
        <v>4950</v>
      </c>
      <c r="AC349" s="628">
        <f t="shared" si="53"/>
        <v>338</v>
      </c>
      <c r="AD349" s="627">
        <f t="shared" si="54"/>
        <v>217</v>
      </c>
      <c r="AE349" s="627">
        <f t="shared" si="51"/>
        <v>111</v>
      </c>
      <c r="AF349" s="627">
        <f t="shared" si="51"/>
        <v>54</v>
      </c>
      <c r="AG349" s="627">
        <f t="shared" si="51"/>
        <v>87</v>
      </c>
      <c r="AH349" s="627">
        <f t="shared" si="51"/>
        <v>21</v>
      </c>
      <c r="AI349" s="627">
        <f t="shared" si="51"/>
        <v>75</v>
      </c>
      <c r="AJ349" s="627">
        <f t="shared" si="51"/>
        <v>220</v>
      </c>
      <c r="AK349" s="627">
        <f t="shared" si="51"/>
        <v>91</v>
      </c>
      <c r="AL349" s="627">
        <f t="shared" si="51"/>
        <v>130</v>
      </c>
      <c r="AM349" s="627">
        <f t="shared" si="50"/>
        <v>7</v>
      </c>
      <c r="AN349" s="627">
        <f t="shared" si="50"/>
        <v>38</v>
      </c>
      <c r="AO349" s="627">
        <f t="shared" si="50"/>
        <v>9</v>
      </c>
      <c r="AP349" s="627">
        <f t="shared" si="50"/>
        <v>80</v>
      </c>
      <c r="AQ349" s="627">
        <f t="shared" si="50"/>
        <v>147</v>
      </c>
      <c r="AR349" s="627">
        <f t="shared" si="50"/>
        <v>7</v>
      </c>
      <c r="AS349" s="627">
        <f t="shared" si="50"/>
        <v>141</v>
      </c>
      <c r="AT349" s="627">
        <f t="shared" si="50"/>
        <v>308</v>
      </c>
      <c r="AU349" s="627">
        <f t="shared" si="49"/>
        <v>392</v>
      </c>
      <c r="AV349" s="627">
        <f t="shared" si="49"/>
        <v>28</v>
      </c>
      <c r="AW349" s="627">
        <f t="shared" si="49"/>
        <v>50</v>
      </c>
      <c r="AX349" s="627">
        <f t="shared" si="48"/>
        <v>103</v>
      </c>
      <c r="AY349" s="627">
        <f t="shared" si="48"/>
        <v>180</v>
      </c>
      <c r="AZ349" s="627">
        <f t="shared" si="48"/>
        <v>316</v>
      </c>
      <c r="BA349" s="627">
        <f t="shared" si="48"/>
        <v>215</v>
      </c>
    </row>
    <row r="350" spans="1:53">
      <c r="A350" s="105">
        <f t="shared" si="52"/>
        <v>339</v>
      </c>
      <c r="B350" s="745">
        <v>42708</v>
      </c>
      <c r="C350" s="746" t="s">
        <v>1771</v>
      </c>
      <c r="D350" s="747">
        <v>4750</v>
      </c>
      <c r="E350" s="747">
        <v>4732</v>
      </c>
      <c r="F350" s="747">
        <v>4665</v>
      </c>
      <c r="G350" s="747">
        <v>4654</v>
      </c>
      <c r="H350" s="747">
        <v>4695</v>
      </c>
      <c r="I350" s="747">
        <v>4779</v>
      </c>
      <c r="J350" s="747">
        <v>4865</v>
      </c>
      <c r="K350" s="747">
        <v>4843</v>
      </c>
      <c r="L350" s="747">
        <v>4889</v>
      </c>
      <c r="M350" s="747">
        <v>4882</v>
      </c>
      <c r="N350" s="747">
        <v>4857</v>
      </c>
      <c r="O350" s="747">
        <v>4802</v>
      </c>
      <c r="P350" s="747">
        <v>4770</v>
      </c>
      <c r="Q350" s="747">
        <v>4746</v>
      </c>
      <c r="R350" s="747">
        <v>4793</v>
      </c>
      <c r="S350" s="747">
        <v>4849</v>
      </c>
      <c r="T350" s="747">
        <v>5245</v>
      </c>
      <c r="U350" s="747">
        <v>5785</v>
      </c>
      <c r="V350" s="747">
        <v>5801</v>
      </c>
      <c r="W350" s="747">
        <v>5699</v>
      </c>
      <c r="X350" s="747">
        <v>5533</v>
      </c>
      <c r="Y350" s="747">
        <v>5254</v>
      </c>
      <c r="Z350" s="747">
        <v>4937</v>
      </c>
      <c r="AA350" s="747">
        <v>4683</v>
      </c>
      <c r="AC350" s="628">
        <f t="shared" si="53"/>
        <v>339</v>
      </c>
      <c r="AD350" s="627">
        <f t="shared" si="54"/>
        <v>200</v>
      </c>
      <c r="AE350" s="627">
        <f t="shared" si="51"/>
        <v>18</v>
      </c>
      <c r="AF350" s="627">
        <f t="shared" si="51"/>
        <v>67</v>
      </c>
      <c r="AG350" s="627">
        <f t="shared" si="51"/>
        <v>11</v>
      </c>
      <c r="AH350" s="627">
        <f t="shared" si="51"/>
        <v>41</v>
      </c>
      <c r="AI350" s="627">
        <f t="shared" si="51"/>
        <v>84</v>
      </c>
      <c r="AJ350" s="627">
        <f t="shared" si="51"/>
        <v>86</v>
      </c>
      <c r="AK350" s="627">
        <f t="shared" si="51"/>
        <v>22</v>
      </c>
      <c r="AL350" s="627">
        <f t="shared" si="51"/>
        <v>46</v>
      </c>
      <c r="AM350" s="627">
        <f t="shared" si="50"/>
        <v>7</v>
      </c>
      <c r="AN350" s="627">
        <f t="shared" si="50"/>
        <v>25</v>
      </c>
      <c r="AO350" s="627">
        <f t="shared" si="50"/>
        <v>55</v>
      </c>
      <c r="AP350" s="627">
        <f t="shared" si="50"/>
        <v>32</v>
      </c>
      <c r="AQ350" s="627">
        <f t="shared" si="50"/>
        <v>24</v>
      </c>
      <c r="AR350" s="627">
        <f t="shared" si="50"/>
        <v>47</v>
      </c>
      <c r="AS350" s="627">
        <f t="shared" si="50"/>
        <v>56</v>
      </c>
      <c r="AT350" s="627">
        <f t="shared" si="50"/>
        <v>396</v>
      </c>
      <c r="AU350" s="627">
        <f t="shared" si="49"/>
        <v>540</v>
      </c>
      <c r="AV350" s="627">
        <f t="shared" si="49"/>
        <v>16</v>
      </c>
      <c r="AW350" s="627">
        <f t="shared" si="49"/>
        <v>102</v>
      </c>
      <c r="AX350" s="627">
        <f t="shared" si="48"/>
        <v>166</v>
      </c>
      <c r="AY350" s="627">
        <f t="shared" si="48"/>
        <v>279</v>
      </c>
      <c r="AZ350" s="627">
        <f t="shared" si="48"/>
        <v>317</v>
      </c>
      <c r="BA350" s="627">
        <f t="shared" si="48"/>
        <v>254</v>
      </c>
    </row>
    <row r="351" spans="1:53">
      <c r="A351" s="105">
        <f t="shared" si="52"/>
        <v>340</v>
      </c>
      <c r="B351" s="745">
        <v>42709</v>
      </c>
      <c r="C351" s="746" t="s">
        <v>1771</v>
      </c>
      <c r="D351" s="747">
        <v>4507</v>
      </c>
      <c r="E351" s="747">
        <v>4410</v>
      </c>
      <c r="F351" s="747">
        <v>4382</v>
      </c>
      <c r="G351" s="747">
        <v>4398</v>
      </c>
      <c r="H351" s="747">
        <v>4438</v>
      </c>
      <c r="I351" s="747">
        <v>4673</v>
      </c>
      <c r="J351" s="747">
        <v>5144</v>
      </c>
      <c r="K351" s="747">
        <v>5345</v>
      </c>
      <c r="L351" s="747">
        <v>5291</v>
      </c>
      <c r="M351" s="747">
        <v>5281</v>
      </c>
      <c r="N351" s="747">
        <v>5261</v>
      </c>
      <c r="O351" s="747">
        <v>5208</v>
      </c>
      <c r="P351" s="747">
        <v>5176</v>
      </c>
      <c r="Q351" s="747">
        <v>5164</v>
      </c>
      <c r="R351" s="747">
        <v>5258</v>
      </c>
      <c r="S351" s="747">
        <v>5580</v>
      </c>
      <c r="T351" s="747">
        <v>5885</v>
      </c>
      <c r="U351" s="747">
        <v>6310</v>
      </c>
      <c r="V351" s="747">
        <v>6314</v>
      </c>
      <c r="W351" s="747">
        <v>6201</v>
      </c>
      <c r="X351" s="747">
        <v>6029</v>
      </c>
      <c r="Y351" s="747">
        <v>5719</v>
      </c>
      <c r="Z351" s="747">
        <v>5360</v>
      </c>
      <c r="AA351" s="747">
        <v>5092</v>
      </c>
      <c r="AC351" s="628">
        <f t="shared" si="53"/>
        <v>340</v>
      </c>
      <c r="AD351" s="627">
        <f t="shared" si="54"/>
        <v>176</v>
      </c>
      <c r="AE351" s="627">
        <f t="shared" si="51"/>
        <v>97</v>
      </c>
      <c r="AF351" s="627">
        <f t="shared" si="51"/>
        <v>28</v>
      </c>
      <c r="AG351" s="627">
        <f t="shared" si="51"/>
        <v>16</v>
      </c>
      <c r="AH351" s="627">
        <f t="shared" si="51"/>
        <v>40</v>
      </c>
      <c r="AI351" s="627">
        <f t="shared" si="51"/>
        <v>235</v>
      </c>
      <c r="AJ351" s="627">
        <f t="shared" si="51"/>
        <v>471</v>
      </c>
      <c r="AK351" s="627">
        <f t="shared" si="51"/>
        <v>201</v>
      </c>
      <c r="AL351" s="627">
        <f t="shared" si="51"/>
        <v>54</v>
      </c>
      <c r="AM351" s="627">
        <f t="shared" si="50"/>
        <v>10</v>
      </c>
      <c r="AN351" s="627">
        <f t="shared" si="50"/>
        <v>20</v>
      </c>
      <c r="AO351" s="627">
        <f t="shared" si="50"/>
        <v>53</v>
      </c>
      <c r="AP351" s="627">
        <f t="shared" si="50"/>
        <v>32</v>
      </c>
      <c r="AQ351" s="627">
        <f t="shared" si="50"/>
        <v>12</v>
      </c>
      <c r="AR351" s="627">
        <f t="shared" si="50"/>
        <v>94</v>
      </c>
      <c r="AS351" s="627">
        <f t="shared" si="50"/>
        <v>322</v>
      </c>
      <c r="AT351" s="627">
        <f t="shared" si="50"/>
        <v>305</v>
      </c>
      <c r="AU351" s="627">
        <f t="shared" si="49"/>
        <v>425</v>
      </c>
      <c r="AV351" s="627">
        <f t="shared" si="49"/>
        <v>4</v>
      </c>
      <c r="AW351" s="627">
        <f t="shared" si="49"/>
        <v>113</v>
      </c>
      <c r="AX351" s="627">
        <f t="shared" si="48"/>
        <v>172</v>
      </c>
      <c r="AY351" s="627">
        <f t="shared" si="48"/>
        <v>310</v>
      </c>
      <c r="AZ351" s="627">
        <f t="shared" si="48"/>
        <v>359</v>
      </c>
      <c r="BA351" s="627">
        <f t="shared" si="48"/>
        <v>268</v>
      </c>
    </row>
    <row r="352" spans="1:53">
      <c r="A352" s="105">
        <f t="shared" si="52"/>
        <v>341</v>
      </c>
      <c r="B352" s="745">
        <v>42710</v>
      </c>
      <c r="C352" s="746" t="s">
        <v>1771</v>
      </c>
      <c r="D352" s="747">
        <v>4976</v>
      </c>
      <c r="E352" s="747">
        <v>4907</v>
      </c>
      <c r="F352" s="747">
        <v>4898</v>
      </c>
      <c r="G352" s="747">
        <v>4944</v>
      </c>
      <c r="H352" s="747">
        <v>4976</v>
      </c>
      <c r="I352" s="747">
        <v>5285</v>
      </c>
      <c r="J352" s="747">
        <v>5689</v>
      </c>
      <c r="K352" s="747">
        <v>5845</v>
      </c>
      <c r="L352" s="747">
        <v>5783</v>
      </c>
      <c r="M352" s="747">
        <v>5708</v>
      </c>
      <c r="N352" s="747">
        <v>5652</v>
      </c>
      <c r="O352" s="747">
        <v>5590</v>
      </c>
      <c r="P352" s="747">
        <v>5566</v>
      </c>
      <c r="Q352" s="747">
        <v>5611</v>
      </c>
      <c r="R352" s="747">
        <v>5723</v>
      </c>
      <c r="S352" s="747">
        <v>5861</v>
      </c>
      <c r="T352" s="747">
        <v>6218</v>
      </c>
      <c r="U352" s="747">
        <v>6604</v>
      </c>
      <c r="V352" s="747">
        <v>6576</v>
      </c>
      <c r="W352" s="747">
        <v>6430</v>
      </c>
      <c r="X352" s="747">
        <v>6264</v>
      </c>
      <c r="Y352" s="747">
        <v>5919</v>
      </c>
      <c r="Z352" s="747">
        <v>5461</v>
      </c>
      <c r="AA352" s="747">
        <v>5278</v>
      </c>
      <c r="AC352" s="628">
        <f t="shared" si="53"/>
        <v>341</v>
      </c>
      <c r="AD352" s="627">
        <f t="shared" si="54"/>
        <v>116</v>
      </c>
      <c r="AE352" s="627">
        <f t="shared" si="51"/>
        <v>69</v>
      </c>
      <c r="AF352" s="627">
        <f t="shared" si="51"/>
        <v>9</v>
      </c>
      <c r="AG352" s="627">
        <f t="shared" si="51"/>
        <v>46</v>
      </c>
      <c r="AH352" s="627">
        <f t="shared" si="51"/>
        <v>32</v>
      </c>
      <c r="AI352" s="627">
        <f t="shared" si="51"/>
        <v>309</v>
      </c>
      <c r="AJ352" s="627">
        <f t="shared" si="51"/>
        <v>404</v>
      </c>
      <c r="AK352" s="627">
        <f t="shared" si="51"/>
        <v>156</v>
      </c>
      <c r="AL352" s="627">
        <f t="shared" si="51"/>
        <v>62</v>
      </c>
      <c r="AM352" s="627">
        <f t="shared" si="50"/>
        <v>75</v>
      </c>
      <c r="AN352" s="627">
        <f t="shared" si="50"/>
        <v>56</v>
      </c>
      <c r="AO352" s="627">
        <f t="shared" si="50"/>
        <v>62</v>
      </c>
      <c r="AP352" s="627">
        <f t="shared" si="50"/>
        <v>24</v>
      </c>
      <c r="AQ352" s="627">
        <f t="shared" si="50"/>
        <v>45</v>
      </c>
      <c r="AR352" s="627">
        <f t="shared" si="50"/>
        <v>112</v>
      </c>
      <c r="AS352" s="627">
        <f t="shared" si="50"/>
        <v>138</v>
      </c>
      <c r="AT352" s="627">
        <f t="shared" si="50"/>
        <v>357</v>
      </c>
      <c r="AU352" s="627">
        <f t="shared" si="49"/>
        <v>386</v>
      </c>
      <c r="AV352" s="627">
        <f t="shared" si="49"/>
        <v>28</v>
      </c>
      <c r="AW352" s="627">
        <f t="shared" si="49"/>
        <v>146</v>
      </c>
      <c r="AX352" s="627">
        <f t="shared" si="48"/>
        <v>166</v>
      </c>
      <c r="AY352" s="627">
        <f t="shared" si="48"/>
        <v>345</v>
      </c>
      <c r="AZ352" s="627">
        <f t="shared" si="48"/>
        <v>458</v>
      </c>
      <c r="BA352" s="627">
        <f t="shared" si="48"/>
        <v>183</v>
      </c>
    </row>
    <row r="353" spans="1:53">
      <c r="A353" s="105">
        <f t="shared" si="52"/>
        <v>342</v>
      </c>
      <c r="B353" s="745">
        <v>42711</v>
      </c>
      <c r="C353" s="746" t="s">
        <v>1771</v>
      </c>
      <c r="D353" s="747">
        <v>5078</v>
      </c>
      <c r="E353" s="747">
        <v>5034</v>
      </c>
      <c r="F353" s="747">
        <v>4991</v>
      </c>
      <c r="G353" s="747">
        <v>5000</v>
      </c>
      <c r="H353" s="747">
        <v>5048</v>
      </c>
      <c r="I353" s="747">
        <v>5335</v>
      </c>
      <c r="J353" s="747">
        <v>5731</v>
      </c>
      <c r="K353" s="747">
        <v>5955</v>
      </c>
      <c r="L353" s="747">
        <v>6047</v>
      </c>
      <c r="M353" s="747">
        <v>6088</v>
      </c>
      <c r="N353" s="747">
        <v>6122</v>
      </c>
      <c r="O353" s="747">
        <v>6059</v>
      </c>
      <c r="P353" s="747">
        <v>6057</v>
      </c>
      <c r="Q353" s="747">
        <v>6066</v>
      </c>
      <c r="R353" s="747">
        <v>6050</v>
      </c>
      <c r="S353" s="747">
        <v>6150</v>
      </c>
      <c r="T353" s="747">
        <v>6456</v>
      </c>
      <c r="U353" s="747">
        <v>6908</v>
      </c>
      <c r="V353" s="747">
        <v>6884</v>
      </c>
      <c r="W353" s="747">
        <v>6765</v>
      </c>
      <c r="X353" s="747">
        <v>6590</v>
      </c>
      <c r="Y353" s="747">
        <v>6246</v>
      </c>
      <c r="Z353" s="747">
        <v>5759</v>
      </c>
      <c r="AA353" s="747">
        <v>5474</v>
      </c>
      <c r="AC353" s="628">
        <f t="shared" si="53"/>
        <v>342</v>
      </c>
      <c r="AD353" s="627">
        <f t="shared" si="54"/>
        <v>200</v>
      </c>
      <c r="AE353" s="627">
        <f t="shared" si="51"/>
        <v>44</v>
      </c>
      <c r="AF353" s="627">
        <f t="shared" si="51"/>
        <v>43</v>
      </c>
      <c r="AG353" s="627">
        <f t="shared" si="51"/>
        <v>9</v>
      </c>
      <c r="AH353" s="627">
        <f t="shared" si="51"/>
        <v>48</v>
      </c>
      <c r="AI353" s="627">
        <f t="shared" si="51"/>
        <v>287</v>
      </c>
      <c r="AJ353" s="627">
        <f t="shared" si="51"/>
        <v>396</v>
      </c>
      <c r="AK353" s="627">
        <f t="shared" si="51"/>
        <v>224</v>
      </c>
      <c r="AL353" s="627">
        <f t="shared" si="51"/>
        <v>92</v>
      </c>
      <c r="AM353" s="627">
        <f t="shared" si="50"/>
        <v>41</v>
      </c>
      <c r="AN353" s="627">
        <f t="shared" si="50"/>
        <v>34</v>
      </c>
      <c r="AO353" s="627">
        <f t="shared" si="50"/>
        <v>63</v>
      </c>
      <c r="AP353" s="627">
        <f t="shared" si="50"/>
        <v>2</v>
      </c>
      <c r="AQ353" s="627">
        <f t="shared" si="50"/>
        <v>9</v>
      </c>
      <c r="AR353" s="627">
        <f t="shared" si="50"/>
        <v>16</v>
      </c>
      <c r="AS353" s="627">
        <f t="shared" si="50"/>
        <v>100</v>
      </c>
      <c r="AT353" s="627">
        <f t="shared" si="50"/>
        <v>306</v>
      </c>
      <c r="AU353" s="627">
        <f t="shared" si="49"/>
        <v>452</v>
      </c>
      <c r="AV353" s="627">
        <f t="shared" si="49"/>
        <v>24</v>
      </c>
      <c r="AW353" s="627">
        <f t="shared" si="49"/>
        <v>119</v>
      </c>
      <c r="AX353" s="627">
        <f t="shared" si="49"/>
        <v>175</v>
      </c>
      <c r="AY353" s="627">
        <f t="shared" si="49"/>
        <v>344</v>
      </c>
      <c r="AZ353" s="627">
        <f t="shared" si="49"/>
        <v>487</v>
      </c>
      <c r="BA353" s="627">
        <f t="shared" si="49"/>
        <v>285</v>
      </c>
    </row>
    <row r="354" spans="1:53">
      <c r="A354" s="105">
        <f t="shared" si="52"/>
        <v>343</v>
      </c>
      <c r="B354" s="745">
        <v>42712</v>
      </c>
      <c r="C354" s="746" t="s">
        <v>1771</v>
      </c>
      <c r="D354" s="747">
        <v>5439</v>
      </c>
      <c r="E354" s="747">
        <v>5341</v>
      </c>
      <c r="F354" s="747">
        <v>5221</v>
      </c>
      <c r="G354" s="747">
        <v>5231</v>
      </c>
      <c r="H354" s="747">
        <v>5331</v>
      </c>
      <c r="I354" s="747">
        <v>5535</v>
      </c>
      <c r="J354" s="747">
        <v>6004</v>
      </c>
      <c r="K354" s="747">
        <v>6206</v>
      </c>
      <c r="L354" s="747">
        <v>6183</v>
      </c>
      <c r="M354" s="747">
        <v>6159</v>
      </c>
      <c r="N354" s="747">
        <v>6133</v>
      </c>
      <c r="O354" s="747">
        <v>6061</v>
      </c>
      <c r="P354" s="747">
        <v>5955</v>
      </c>
      <c r="Q354" s="747">
        <v>5921</v>
      </c>
      <c r="R354" s="747">
        <v>5899</v>
      </c>
      <c r="S354" s="747">
        <v>5952</v>
      </c>
      <c r="T354" s="747">
        <v>6321</v>
      </c>
      <c r="U354" s="747">
        <v>6796</v>
      </c>
      <c r="V354" s="747">
        <v>6785</v>
      </c>
      <c r="W354" s="747">
        <v>6690</v>
      </c>
      <c r="X354" s="747">
        <v>6497</v>
      </c>
      <c r="Y354" s="747">
        <v>6246</v>
      </c>
      <c r="Z354" s="747">
        <v>5904</v>
      </c>
      <c r="AA354" s="747">
        <v>5540</v>
      </c>
      <c r="AC354" s="628">
        <f t="shared" si="53"/>
        <v>343</v>
      </c>
      <c r="AD354" s="627">
        <f t="shared" si="54"/>
        <v>35</v>
      </c>
      <c r="AE354" s="627">
        <f t="shared" si="51"/>
        <v>98</v>
      </c>
      <c r="AF354" s="627">
        <f t="shared" si="51"/>
        <v>120</v>
      </c>
      <c r="AG354" s="627">
        <f t="shared" si="51"/>
        <v>10</v>
      </c>
      <c r="AH354" s="627">
        <f t="shared" si="51"/>
        <v>100</v>
      </c>
      <c r="AI354" s="627">
        <f t="shared" si="51"/>
        <v>204</v>
      </c>
      <c r="AJ354" s="627">
        <f t="shared" si="51"/>
        <v>469</v>
      </c>
      <c r="AK354" s="627">
        <f t="shared" si="51"/>
        <v>202</v>
      </c>
      <c r="AL354" s="627">
        <f t="shared" si="51"/>
        <v>23</v>
      </c>
      <c r="AM354" s="627">
        <f t="shared" si="50"/>
        <v>24</v>
      </c>
      <c r="AN354" s="627">
        <f t="shared" si="50"/>
        <v>26</v>
      </c>
      <c r="AO354" s="627">
        <f t="shared" si="50"/>
        <v>72</v>
      </c>
      <c r="AP354" s="627">
        <f t="shared" si="50"/>
        <v>106</v>
      </c>
      <c r="AQ354" s="627">
        <f t="shared" si="50"/>
        <v>34</v>
      </c>
      <c r="AR354" s="627">
        <f t="shared" si="50"/>
        <v>22</v>
      </c>
      <c r="AS354" s="627">
        <f t="shared" si="50"/>
        <v>53</v>
      </c>
      <c r="AT354" s="627">
        <f t="shared" si="50"/>
        <v>369</v>
      </c>
      <c r="AU354" s="627">
        <f t="shared" si="49"/>
        <v>475</v>
      </c>
      <c r="AV354" s="627">
        <f t="shared" si="49"/>
        <v>11</v>
      </c>
      <c r="AW354" s="627">
        <f t="shared" si="49"/>
        <v>95</v>
      </c>
      <c r="AX354" s="627">
        <f t="shared" si="49"/>
        <v>193</v>
      </c>
      <c r="AY354" s="627">
        <f t="shared" si="49"/>
        <v>251</v>
      </c>
      <c r="AZ354" s="627">
        <f t="shared" si="49"/>
        <v>342</v>
      </c>
      <c r="BA354" s="627">
        <f t="shared" si="49"/>
        <v>364</v>
      </c>
    </row>
    <row r="355" spans="1:53">
      <c r="A355" s="105">
        <f t="shared" si="52"/>
        <v>344</v>
      </c>
      <c r="B355" s="745">
        <v>42713</v>
      </c>
      <c r="C355" s="746" t="s">
        <v>1771</v>
      </c>
      <c r="D355" s="747">
        <v>5358</v>
      </c>
      <c r="E355" s="747">
        <v>5228</v>
      </c>
      <c r="F355" s="747">
        <v>5162</v>
      </c>
      <c r="G355" s="747">
        <v>5089</v>
      </c>
      <c r="H355" s="747">
        <v>5181</v>
      </c>
      <c r="I355" s="747">
        <v>5478</v>
      </c>
      <c r="J355" s="747">
        <v>5815</v>
      </c>
      <c r="K355" s="747">
        <v>5963</v>
      </c>
      <c r="L355" s="747">
        <v>5933</v>
      </c>
      <c r="M355" s="747">
        <v>5835</v>
      </c>
      <c r="N355" s="747">
        <v>5710</v>
      </c>
      <c r="O355" s="747">
        <v>5569</v>
      </c>
      <c r="P355" s="747">
        <v>5482</v>
      </c>
      <c r="Q355" s="747">
        <v>5434</v>
      </c>
      <c r="R355" s="747">
        <v>5407</v>
      </c>
      <c r="S355" s="747">
        <v>5370</v>
      </c>
      <c r="T355" s="747">
        <v>5723</v>
      </c>
      <c r="U355" s="747">
        <v>6148</v>
      </c>
      <c r="V355" s="747">
        <v>6040</v>
      </c>
      <c r="W355" s="747">
        <v>5974</v>
      </c>
      <c r="X355" s="747">
        <v>5869</v>
      </c>
      <c r="Y355" s="747">
        <v>5692</v>
      </c>
      <c r="Z355" s="747">
        <v>5432</v>
      </c>
      <c r="AA355" s="747">
        <v>5178</v>
      </c>
      <c r="AC355" s="628">
        <f t="shared" si="53"/>
        <v>344</v>
      </c>
      <c r="AD355" s="627">
        <f t="shared" si="54"/>
        <v>182</v>
      </c>
      <c r="AE355" s="627">
        <f t="shared" si="51"/>
        <v>130</v>
      </c>
      <c r="AF355" s="627">
        <f t="shared" si="51"/>
        <v>66</v>
      </c>
      <c r="AG355" s="627">
        <f t="shared" si="51"/>
        <v>73</v>
      </c>
      <c r="AH355" s="627">
        <f t="shared" si="51"/>
        <v>92</v>
      </c>
      <c r="AI355" s="627">
        <f t="shared" si="51"/>
        <v>297</v>
      </c>
      <c r="AJ355" s="627">
        <f t="shared" si="51"/>
        <v>337</v>
      </c>
      <c r="AK355" s="627">
        <f t="shared" si="51"/>
        <v>148</v>
      </c>
      <c r="AL355" s="627">
        <f t="shared" si="51"/>
        <v>30</v>
      </c>
      <c r="AM355" s="627">
        <f t="shared" si="50"/>
        <v>98</v>
      </c>
      <c r="AN355" s="627">
        <f t="shared" si="50"/>
        <v>125</v>
      </c>
      <c r="AO355" s="627">
        <f t="shared" si="50"/>
        <v>141</v>
      </c>
      <c r="AP355" s="627">
        <f t="shared" si="50"/>
        <v>87</v>
      </c>
      <c r="AQ355" s="627">
        <f t="shared" si="50"/>
        <v>48</v>
      </c>
      <c r="AR355" s="627">
        <f t="shared" si="50"/>
        <v>27</v>
      </c>
      <c r="AS355" s="627">
        <f t="shared" si="50"/>
        <v>37</v>
      </c>
      <c r="AT355" s="627">
        <f t="shared" si="50"/>
        <v>353</v>
      </c>
      <c r="AU355" s="627">
        <f t="shared" si="49"/>
        <v>425</v>
      </c>
      <c r="AV355" s="627">
        <f t="shared" si="49"/>
        <v>108</v>
      </c>
      <c r="AW355" s="627">
        <f t="shared" si="49"/>
        <v>66</v>
      </c>
      <c r="AX355" s="627">
        <f t="shared" si="49"/>
        <v>105</v>
      </c>
      <c r="AY355" s="627">
        <f t="shared" si="49"/>
        <v>177</v>
      </c>
      <c r="AZ355" s="627">
        <f t="shared" si="49"/>
        <v>260</v>
      </c>
      <c r="BA355" s="627">
        <f t="shared" si="49"/>
        <v>254</v>
      </c>
    </row>
    <row r="356" spans="1:53">
      <c r="A356" s="105">
        <f t="shared" si="52"/>
        <v>345</v>
      </c>
      <c r="B356" s="745">
        <v>42714</v>
      </c>
      <c r="C356" s="746" t="s">
        <v>1771</v>
      </c>
      <c r="D356" s="747">
        <v>4938</v>
      </c>
      <c r="E356" s="747">
        <v>4742</v>
      </c>
      <c r="F356" s="747">
        <v>4617</v>
      </c>
      <c r="G356" s="747">
        <v>4581</v>
      </c>
      <c r="H356" s="747">
        <v>4705</v>
      </c>
      <c r="I356" s="747">
        <v>4785</v>
      </c>
      <c r="J356" s="747">
        <v>4958</v>
      </c>
      <c r="K356" s="747">
        <v>5098</v>
      </c>
      <c r="L356" s="747">
        <v>5149</v>
      </c>
      <c r="M356" s="747">
        <v>5269</v>
      </c>
      <c r="N356" s="747">
        <v>5318</v>
      </c>
      <c r="O356" s="747">
        <v>5245</v>
      </c>
      <c r="P356" s="747">
        <v>5066</v>
      </c>
      <c r="Q356" s="747">
        <v>5059</v>
      </c>
      <c r="R356" s="747">
        <v>5002</v>
      </c>
      <c r="S356" s="747">
        <v>5061</v>
      </c>
      <c r="T356" s="747">
        <v>5393</v>
      </c>
      <c r="U356" s="747">
        <v>5785</v>
      </c>
      <c r="V356" s="747">
        <v>5700</v>
      </c>
      <c r="W356" s="747">
        <v>5595</v>
      </c>
      <c r="X356" s="747">
        <v>5453</v>
      </c>
      <c r="Y356" s="747">
        <v>5252</v>
      </c>
      <c r="Z356" s="747">
        <v>5077</v>
      </c>
      <c r="AA356" s="747">
        <v>4823</v>
      </c>
      <c r="AC356" s="628">
        <f t="shared" si="53"/>
        <v>345</v>
      </c>
      <c r="AD356" s="627">
        <f t="shared" si="54"/>
        <v>240</v>
      </c>
      <c r="AE356" s="627">
        <f t="shared" si="51"/>
        <v>196</v>
      </c>
      <c r="AF356" s="627">
        <f t="shared" si="51"/>
        <v>125</v>
      </c>
      <c r="AG356" s="627">
        <f t="shared" si="51"/>
        <v>36</v>
      </c>
      <c r="AH356" s="627">
        <f t="shared" si="51"/>
        <v>124</v>
      </c>
      <c r="AI356" s="627">
        <f t="shared" si="51"/>
        <v>80</v>
      </c>
      <c r="AJ356" s="627">
        <f t="shared" si="51"/>
        <v>173</v>
      </c>
      <c r="AK356" s="627">
        <f t="shared" si="51"/>
        <v>140</v>
      </c>
      <c r="AL356" s="627">
        <f t="shared" si="51"/>
        <v>51</v>
      </c>
      <c r="AM356" s="627">
        <f t="shared" si="50"/>
        <v>120</v>
      </c>
      <c r="AN356" s="627">
        <f t="shared" si="50"/>
        <v>49</v>
      </c>
      <c r="AO356" s="627">
        <f t="shared" si="50"/>
        <v>73</v>
      </c>
      <c r="AP356" s="627">
        <f t="shared" si="50"/>
        <v>179</v>
      </c>
      <c r="AQ356" s="627">
        <f t="shared" si="50"/>
        <v>7</v>
      </c>
      <c r="AR356" s="627">
        <f t="shared" si="50"/>
        <v>57</v>
      </c>
      <c r="AS356" s="627">
        <f t="shared" si="50"/>
        <v>59</v>
      </c>
      <c r="AT356" s="627">
        <f t="shared" si="50"/>
        <v>332</v>
      </c>
      <c r="AU356" s="627">
        <f t="shared" si="49"/>
        <v>392</v>
      </c>
      <c r="AV356" s="627">
        <f t="shared" si="49"/>
        <v>85</v>
      </c>
      <c r="AW356" s="627">
        <f t="shared" si="49"/>
        <v>105</v>
      </c>
      <c r="AX356" s="627">
        <f t="shared" si="49"/>
        <v>142</v>
      </c>
      <c r="AY356" s="627">
        <f t="shared" si="49"/>
        <v>201</v>
      </c>
      <c r="AZ356" s="627">
        <f t="shared" si="49"/>
        <v>175</v>
      </c>
      <c r="BA356" s="627">
        <f t="shared" si="49"/>
        <v>254</v>
      </c>
    </row>
    <row r="357" spans="1:53">
      <c r="A357" s="105">
        <f t="shared" si="52"/>
        <v>346</v>
      </c>
      <c r="B357" s="745">
        <v>42715</v>
      </c>
      <c r="C357" s="746" t="s">
        <v>1771</v>
      </c>
      <c r="D357" s="747">
        <v>4644</v>
      </c>
      <c r="E357" s="747">
        <v>4519</v>
      </c>
      <c r="F357" s="747">
        <v>4414</v>
      </c>
      <c r="G357" s="747">
        <v>4364</v>
      </c>
      <c r="H357" s="747">
        <v>4413</v>
      </c>
      <c r="I357" s="747">
        <v>4468</v>
      </c>
      <c r="J357" s="747">
        <v>4622</v>
      </c>
      <c r="K357" s="747">
        <v>4745</v>
      </c>
      <c r="L357" s="747">
        <v>4846</v>
      </c>
      <c r="M357" s="747">
        <v>4949</v>
      </c>
      <c r="N357" s="747">
        <v>4963</v>
      </c>
      <c r="O357" s="747">
        <v>4962</v>
      </c>
      <c r="P357" s="747">
        <v>4913</v>
      </c>
      <c r="Q357" s="747">
        <v>4837</v>
      </c>
      <c r="R357" s="747">
        <v>4856</v>
      </c>
      <c r="S357" s="747">
        <v>4965</v>
      </c>
      <c r="T357" s="747">
        <v>5380</v>
      </c>
      <c r="U357" s="747">
        <v>5925</v>
      </c>
      <c r="V357" s="747">
        <v>5960</v>
      </c>
      <c r="W357" s="747">
        <v>5872</v>
      </c>
      <c r="X357" s="747">
        <v>5726</v>
      </c>
      <c r="Y357" s="747">
        <v>5429</v>
      </c>
      <c r="Z357" s="747">
        <v>5160</v>
      </c>
      <c r="AA357" s="747">
        <v>4909</v>
      </c>
      <c r="AC357" s="628">
        <f t="shared" si="53"/>
        <v>346</v>
      </c>
      <c r="AD357" s="627">
        <f t="shared" si="54"/>
        <v>179</v>
      </c>
      <c r="AE357" s="627">
        <f t="shared" si="51"/>
        <v>125</v>
      </c>
      <c r="AF357" s="627">
        <f t="shared" si="51"/>
        <v>105</v>
      </c>
      <c r="AG357" s="627">
        <f t="shared" si="51"/>
        <v>50</v>
      </c>
      <c r="AH357" s="627">
        <f t="shared" si="51"/>
        <v>49</v>
      </c>
      <c r="AI357" s="627">
        <f t="shared" si="51"/>
        <v>55</v>
      </c>
      <c r="AJ357" s="627">
        <f t="shared" si="51"/>
        <v>154</v>
      </c>
      <c r="AK357" s="627">
        <f t="shared" si="51"/>
        <v>123</v>
      </c>
      <c r="AL357" s="627">
        <f t="shared" si="51"/>
        <v>101</v>
      </c>
      <c r="AM357" s="627">
        <f t="shared" si="50"/>
        <v>103</v>
      </c>
      <c r="AN357" s="627">
        <f t="shared" si="50"/>
        <v>14</v>
      </c>
      <c r="AO357" s="627">
        <f t="shared" si="50"/>
        <v>1</v>
      </c>
      <c r="AP357" s="627">
        <f t="shared" si="50"/>
        <v>49</v>
      </c>
      <c r="AQ357" s="627">
        <f t="shared" si="50"/>
        <v>76</v>
      </c>
      <c r="AR357" s="627">
        <f t="shared" si="50"/>
        <v>19</v>
      </c>
      <c r="AS357" s="627">
        <f t="shared" si="50"/>
        <v>109</v>
      </c>
      <c r="AT357" s="627">
        <f t="shared" si="50"/>
        <v>415</v>
      </c>
      <c r="AU357" s="627">
        <f t="shared" si="49"/>
        <v>545</v>
      </c>
      <c r="AV357" s="627">
        <f t="shared" si="49"/>
        <v>35</v>
      </c>
      <c r="AW357" s="627">
        <f t="shared" si="49"/>
        <v>88</v>
      </c>
      <c r="AX357" s="627">
        <f t="shared" si="49"/>
        <v>146</v>
      </c>
      <c r="AY357" s="627">
        <f t="shared" si="49"/>
        <v>297</v>
      </c>
      <c r="AZ357" s="627">
        <f t="shared" si="49"/>
        <v>269</v>
      </c>
      <c r="BA357" s="627">
        <f t="shared" si="49"/>
        <v>251</v>
      </c>
    </row>
    <row r="358" spans="1:53">
      <c r="A358" s="105">
        <f t="shared" si="52"/>
        <v>347</v>
      </c>
      <c r="B358" s="745">
        <v>42716</v>
      </c>
      <c r="C358" s="746" t="s">
        <v>1771</v>
      </c>
      <c r="D358" s="747">
        <v>4702</v>
      </c>
      <c r="E358" s="747">
        <v>4618</v>
      </c>
      <c r="F358" s="747">
        <v>4607</v>
      </c>
      <c r="G358" s="747">
        <v>4642</v>
      </c>
      <c r="H358" s="747">
        <v>4750</v>
      </c>
      <c r="I358" s="747">
        <v>4999</v>
      </c>
      <c r="J358" s="747">
        <v>5482</v>
      </c>
      <c r="K358" s="747">
        <v>5632</v>
      </c>
      <c r="L358" s="747">
        <v>5606</v>
      </c>
      <c r="M358" s="747">
        <v>5532</v>
      </c>
      <c r="N358" s="747">
        <v>5471</v>
      </c>
      <c r="O358" s="747">
        <v>5380</v>
      </c>
      <c r="P358" s="747">
        <v>5302</v>
      </c>
      <c r="Q358" s="747">
        <v>5256</v>
      </c>
      <c r="R358" s="747">
        <v>5274</v>
      </c>
      <c r="S358" s="747">
        <v>5350</v>
      </c>
      <c r="T358" s="747">
        <v>5726</v>
      </c>
      <c r="U358" s="747">
        <v>6222</v>
      </c>
      <c r="V358" s="747">
        <v>6211</v>
      </c>
      <c r="W358" s="747">
        <v>6079</v>
      </c>
      <c r="X358" s="747">
        <v>5911</v>
      </c>
      <c r="Y358" s="747">
        <v>5584</v>
      </c>
      <c r="Z358" s="747">
        <v>5154</v>
      </c>
      <c r="AA358" s="747">
        <v>5000</v>
      </c>
      <c r="AC358" s="628">
        <f t="shared" si="53"/>
        <v>347</v>
      </c>
      <c r="AD358" s="627">
        <f t="shared" si="54"/>
        <v>207</v>
      </c>
      <c r="AE358" s="627">
        <f t="shared" si="51"/>
        <v>84</v>
      </c>
      <c r="AF358" s="627">
        <f t="shared" si="51"/>
        <v>11</v>
      </c>
      <c r="AG358" s="627">
        <f t="shared" si="51"/>
        <v>35</v>
      </c>
      <c r="AH358" s="627">
        <f t="shared" si="51"/>
        <v>108</v>
      </c>
      <c r="AI358" s="627">
        <f t="shared" si="51"/>
        <v>249</v>
      </c>
      <c r="AJ358" s="627">
        <f t="shared" si="51"/>
        <v>483</v>
      </c>
      <c r="AK358" s="627">
        <f t="shared" si="51"/>
        <v>150</v>
      </c>
      <c r="AL358" s="627">
        <f t="shared" si="51"/>
        <v>26</v>
      </c>
      <c r="AM358" s="627">
        <f t="shared" si="50"/>
        <v>74</v>
      </c>
      <c r="AN358" s="627">
        <f t="shared" si="50"/>
        <v>61</v>
      </c>
      <c r="AO358" s="627">
        <f t="shared" si="50"/>
        <v>91</v>
      </c>
      <c r="AP358" s="627">
        <f t="shared" si="50"/>
        <v>78</v>
      </c>
      <c r="AQ358" s="627">
        <f t="shared" si="50"/>
        <v>46</v>
      </c>
      <c r="AR358" s="627">
        <f t="shared" si="50"/>
        <v>18</v>
      </c>
      <c r="AS358" s="627">
        <f t="shared" si="50"/>
        <v>76</v>
      </c>
      <c r="AT358" s="627">
        <f t="shared" si="50"/>
        <v>376</v>
      </c>
      <c r="AU358" s="627">
        <f t="shared" si="49"/>
        <v>496</v>
      </c>
      <c r="AV358" s="627">
        <f t="shared" si="49"/>
        <v>11</v>
      </c>
      <c r="AW358" s="627">
        <f t="shared" si="49"/>
        <v>132</v>
      </c>
      <c r="AX358" s="627">
        <f t="shared" si="49"/>
        <v>168</v>
      </c>
      <c r="AY358" s="627">
        <f t="shared" si="49"/>
        <v>327</v>
      </c>
      <c r="AZ358" s="627">
        <f t="shared" si="49"/>
        <v>430</v>
      </c>
      <c r="BA358" s="627">
        <f t="shared" si="49"/>
        <v>154</v>
      </c>
    </row>
    <row r="359" spans="1:53">
      <c r="A359" s="105">
        <f t="shared" si="52"/>
        <v>348</v>
      </c>
      <c r="B359" s="745">
        <v>42717</v>
      </c>
      <c r="C359" s="746" t="s">
        <v>1771</v>
      </c>
      <c r="D359" s="747">
        <v>4842</v>
      </c>
      <c r="E359" s="747">
        <v>4700</v>
      </c>
      <c r="F359" s="747">
        <v>4707</v>
      </c>
      <c r="G359" s="747">
        <v>4783</v>
      </c>
      <c r="H359" s="747">
        <v>4748</v>
      </c>
      <c r="I359" s="747">
        <v>5125</v>
      </c>
      <c r="J359" s="747">
        <v>5537</v>
      </c>
      <c r="K359" s="747">
        <v>5713</v>
      </c>
      <c r="L359" s="747">
        <v>5656</v>
      </c>
      <c r="M359" s="747">
        <v>5574</v>
      </c>
      <c r="N359" s="747">
        <v>5524</v>
      </c>
      <c r="O359" s="747">
        <v>5409</v>
      </c>
      <c r="P359" s="747">
        <v>5332</v>
      </c>
      <c r="Q359" s="747">
        <v>5330</v>
      </c>
      <c r="R359" s="747">
        <v>5358</v>
      </c>
      <c r="S359" s="747">
        <v>5455</v>
      </c>
      <c r="T359" s="747">
        <v>5818</v>
      </c>
      <c r="U359" s="747">
        <v>6285</v>
      </c>
      <c r="V359" s="747">
        <v>6273</v>
      </c>
      <c r="W359" s="747">
        <v>6159</v>
      </c>
      <c r="X359" s="747">
        <v>6023</v>
      </c>
      <c r="Y359" s="747">
        <v>5713</v>
      </c>
      <c r="Z359" s="747">
        <v>5366</v>
      </c>
      <c r="AA359" s="747">
        <v>5018</v>
      </c>
      <c r="AC359" s="628">
        <f t="shared" si="53"/>
        <v>348</v>
      </c>
      <c r="AD359" s="627">
        <f t="shared" si="54"/>
        <v>158</v>
      </c>
      <c r="AE359" s="627">
        <f t="shared" si="51"/>
        <v>142</v>
      </c>
      <c r="AF359" s="627">
        <f t="shared" si="51"/>
        <v>7</v>
      </c>
      <c r="AG359" s="627">
        <f t="shared" si="51"/>
        <v>76</v>
      </c>
      <c r="AH359" s="627">
        <f t="shared" si="51"/>
        <v>35</v>
      </c>
      <c r="AI359" s="627">
        <f t="shared" si="51"/>
        <v>377</v>
      </c>
      <c r="AJ359" s="627">
        <f t="shared" si="51"/>
        <v>412</v>
      </c>
      <c r="AK359" s="627">
        <f t="shared" si="51"/>
        <v>176</v>
      </c>
      <c r="AL359" s="627">
        <f t="shared" si="51"/>
        <v>57</v>
      </c>
      <c r="AM359" s="627">
        <f t="shared" si="50"/>
        <v>82</v>
      </c>
      <c r="AN359" s="627">
        <f t="shared" si="50"/>
        <v>50</v>
      </c>
      <c r="AO359" s="627">
        <f t="shared" si="50"/>
        <v>115</v>
      </c>
      <c r="AP359" s="627">
        <f t="shared" si="50"/>
        <v>77</v>
      </c>
      <c r="AQ359" s="627">
        <f t="shared" si="50"/>
        <v>2</v>
      </c>
      <c r="AR359" s="627">
        <f t="shared" si="50"/>
        <v>28</v>
      </c>
      <c r="AS359" s="627">
        <f t="shared" si="50"/>
        <v>97</v>
      </c>
      <c r="AT359" s="627">
        <f t="shared" si="50"/>
        <v>363</v>
      </c>
      <c r="AU359" s="627">
        <f t="shared" si="49"/>
        <v>467</v>
      </c>
      <c r="AV359" s="627">
        <f t="shared" si="49"/>
        <v>12</v>
      </c>
      <c r="AW359" s="627">
        <f t="shared" si="49"/>
        <v>114</v>
      </c>
      <c r="AX359" s="627">
        <f t="shared" si="49"/>
        <v>136</v>
      </c>
      <c r="AY359" s="627">
        <f t="shared" si="49"/>
        <v>310</v>
      </c>
      <c r="AZ359" s="627">
        <f t="shared" si="49"/>
        <v>347</v>
      </c>
      <c r="BA359" s="627">
        <f t="shared" si="49"/>
        <v>348</v>
      </c>
    </row>
    <row r="360" spans="1:53">
      <c r="A360" s="105">
        <f t="shared" si="52"/>
        <v>349</v>
      </c>
      <c r="B360" s="745">
        <v>42718</v>
      </c>
      <c r="C360" s="746" t="s">
        <v>1771</v>
      </c>
      <c r="D360" s="747">
        <v>4880</v>
      </c>
      <c r="E360" s="747">
        <v>4773</v>
      </c>
      <c r="F360" s="747">
        <v>4730</v>
      </c>
      <c r="G360" s="747">
        <v>4733</v>
      </c>
      <c r="H360" s="747">
        <v>4781</v>
      </c>
      <c r="I360" s="747">
        <v>5145</v>
      </c>
      <c r="J360" s="747">
        <v>5571</v>
      </c>
      <c r="K360" s="747">
        <v>5802</v>
      </c>
      <c r="L360" s="747">
        <v>5832</v>
      </c>
      <c r="M360" s="747">
        <v>5880</v>
      </c>
      <c r="N360" s="747">
        <v>5818</v>
      </c>
      <c r="O360" s="747">
        <v>5674</v>
      </c>
      <c r="P360" s="747">
        <v>5569</v>
      </c>
      <c r="Q360" s="747">
        <v>5573</v>
      </c>
      <c r="R360" s="747">
        <v>5574</v>
      </c>
      <c r="S360" s="747">
        <v>5667</v>
      </c>
      <c r="T360" s="747">
        <v>6060</v>
      </c>
      <c r="U360" s="747">
        <v>6504</v>
      </c>
      <c r="V360" s="747">
        <v>6489</v>
      </c>
      <c r="W360" s="747">
        <v>6389</v>
      </c>
      <c r="X360" s="747">
        <v>6205</v>
      </c>
      <c r="Y360" s="747">
        <v>5866</v>
      </c>
      <c r="Z360" s="747">
        <v>5495</v>
      </c>
      <c r="AA360" s="747">
        <v>5159</v>
      </c>
      <c r="AC360" s="628">
        <f t="shared" si="53"/>
        <v>349</v>
      </c>
      <c r="AD360" s="627">
        <f t="shared" si="54"/>
        <v>138</v>
      </c>
      <c r="AE360" s="627">
        <f t="shared" si="51"/>
        <v>107</v>
      </c>
      <c r="AF360" s="627">
        <f t="shared" si="51"/>
        <v>43</v>
      </c>
      <c r="AG360" s="627">
        <f t="shared" si="51"/>
        <v>3</v>
      </c>
      <c r="AH360" s="627">
        <f t="shared" si="51"/>
        <v>48</v>
      </c>
      <c r="AI360" s="627">
        <f t="shared" si="51"/>
        <v>364</v>
      </c>
      <c r="AJ360" s="627">
        <f t="shared" si="51"/>
        <v>426</v>
      </c>
      <c r="AK360" s="627">
        <f t="shared" si="51"/>
        <v>231</v>
      </c>
      <c r="AL360" s="627">
        <f t="shared" ref="AL360:AP376" si="55">ABS(L360-K360)</f>
        <v>30</v>
      </c>
      <c r="AM360" s="627">
        <f t="shared" si="50"/>
        <v>48</v>
      </c>
      <c r="AN360" s="627">
        <f t="shared" si="50"/>
        <v>62</v>
      </c>
      <c r="AO360" s="627">
        <f t="shared" si="50"/>
        <v>144</v>
      </c>
      <c r="AP360" s="627">
        <f t="shared" si="50"/>
        <v>105</v>
      </c>
      <c r="AQ360" s="627">
        <f t="shared" si="50"/>
        <v>4</v>
      </c>
      <c r="AR360" s="627">
        <f t="shared" si="50"/>
        <v>1</v>
      </c>
      <c r="AS360" s="627">
        <f t="shared" si="50"/>
        <v>93</v>
      </c>
      <c r="AT360" s="627">
        <f t="shared" si="50"/>
        <v>393</v>
      </c>
      <c r="AU360" s="627">
        <f t="shared" si="49"/>
        <v>444</v>
      </c>
      <c r="AV360" s="627">
        <f t="shared" si="49"/>
        <v>15</v>
      </c>
      <c r="AW360" s="627">
        <f t="shared" si="49"/>
        <v>100</v>
      </c>
      <c r="AX360" s="627">
        <f t="shared" si="49"/>
        <v>184</v>
      </c>
      <c r="AY360" s="627">
        <f t="shared" si="49"/>
        <v>339</v>
      </c>
      <c r="AZ360" s="627">
        <f t="shared" si="49"/>
        <v>371</v>
      </c>
      <c r="BA360" s="627">
        <f t="shared" si="49"/>
        <v>336</v>
      </c>
    </row>
    <row r="361" spans="1:53">
      <c r="A361" s="105">
        <f t="shared" si="52"/>
        <v>350</v>
      </c>
      <c r="B361" s="745">
        <v>42719</v>
      </c>
      <c r="C361" s="746" t="s">
        <v>1771</v>
      </c>
      <c r="D361" s="747">
        <v>5010</v>
      </c>
      <c r="E361" s="747">
        <v>4931</v>
      </c>
      <c r="F361" s="747">
        <v>4904</v>
      </c>
      <c r="G361" s="747">
        <v>4914</v>
      </c>
      <c r="H361" s="747">
        <v>5031</v>
      </c>
      <c r="I361" s="747">
        <v>5225</v>
      </c>
      <c r="J361" s="747">
        <v>5650</v>
      </c>
      <c r="K361" s="747">
        <v>5653</v>
      </c>
      <c r="L361" s="747">
        <v>5553</v>
      </c>
      <c r="M361" s="747">
        <v>5703</v>
      </c>
      <c r="N361" s="747">
        <v>5636</v>
      </c>
      <c r="O361" s="747">
        <v>5560</v>
      </c>
      <c r="P361" s="747">
        <v>5411</v>
      </c>
      <c r="Q361" s="747">
        <v>5395</v>
      </c>
      <c r="R361" s="747">
        <v>5315</v>
      </c>
      <c r="S361" s="747">
        <v>5350</v>
      </c>
      <c r="T361" s="747">
        <v>5693</v>
      </c>
      <c r="U361" s="747">
        <v>6107</v>
      </c>
      <c r="V361" s="747">
        <v>6063</v>
      </c>
      <c r="W361" s="747">
        <v>5940</v>
      </c>
      <c r="X361" s="747">
        <v>5778</v>
      </c>
      <c r="Y361" s="747">
        <v>5456</v>
      </c>
      <c r="Z361" s="747">
        <v>5049</v>
      </c>
      <c r="AA361" s="747">
        <v>4697</v>
      </c>
      <c r="AC361" s="628">
        <f t="shared" si="53"/>
        <v>350</v>
      </c>
      <c r="AD361" s="627">
        <f t="shared" si="54"/>
        <v>149</v>
      </c>
      <c r="AE361" s="627">
        <f t="shared" ref="AE361:AN376" si="56">ABS(E361-D361)</f>
        <v>79</v>
      </c>
      <c r="AF361" s="627">
        <f t="shared" si="56"/>
        <v>27</v>
      </c>
      <c r="AG361" s="627">
        <f t="shared" si="56"/>
        <v>10</v>
      </c>
      <c r="AH361" s="627">
        <f t="shared" si="56"/>
        <v>117</v>
      </c>
      <c r="AI361" s="627">
        <f t="shared" si="56"/>
        <v>194</v>
      </c>
      <c r="AJ361" s="627">
        <f t="shared" si="56"/>
        <v>425</v>
      </c>
      <c r="AK361" s="627">
        <f t="shared" si="56"/>
        <v>3</v>
      </c>
      <c r="AL361" s="627">
        <f t="shared" si="55"/>
        <v>100</v>
      </c>
      <c r="AM361" s="627">
        <f t="shared" si="50"/>
        <v>150</v>
      </c>
      <c r="AN361" s="627">
        <f t="shared" si="50"/>
        <v>67</v>
      </c>
      <c r="AO361" s="627">
        <f t="shared" si="50"/>
        <v>76</v>
      </c>
      <c r="AP361" s="627">
        <f t="shared" si="50"/>
        <v>149</v>
      </c>
      <c r="AQ361" s="627">
        <f t="shared" si="50"/>
        <v>16</v>
      </c>
      <c r="AR361" s="627">
        <f t="shared" si="50"/>
        <v>80</v>
      </c>
      <c r="AS361" s="627">
        <f t="shared" si="50"/>
        <v>35</v>
      </c>
      <c r="AT361" s="627">
        <f t="shared" si="50"/>
        <v>343</v>
      </c>
      <c r="AU361" s="627">
        <f t="shared" si="49"/>
        <v>414</v>
      </c>
      <c r="AV361" s="627">
        <f t="shared" si="49"/>
        <v>44</v>
      </c>
      <c r="AW361" s="627">
        <f t="shared" si="49"/>
        <v>123</v>
      </c>
      <c r="AX361" s="627">
        <f t="shared" si="49"/>
        <v>162</v>
      </c>
      <c r="AY361" s="627">
        <f t="shared" si="49"/>
        <v>322</v>
      </c>
      <c r="AZ361" s="627">
        <f t="shared" si="49"/>
        <v>407</v>
      </c>
      <c r="BA361" s="627">
        <f t="shared" si="49"/>
        <v>352</v>
      </c>
    </row>
    <row r="362" spans="1:53">
      <c r="A362" s="105">
        <f t="shared" si="52"/>
        <v>351</v>
      </c>
      <c r="B362" s="745">
        <v>42720</v>
      </c>
      <c r="C362" s="746" t="s">
        <v>1771</v>
      </c>
      <c r="D362" s="747">
        <v>4601</v>
      </c>
      <c r="E362" s="747">
        <v>4473</v>
      </c>
      <c r="F362" s="747">
        <v>4435</v>
      </c>
      <c r="G362" s="747">
        <v>4438</v>
      </c>
      <c r="H362" s="747">
        <v>4450</v>
      </c>
      <c r="I362" s="747">
        <v>4707</v>
      </c>
      <c r="J362" s="747">
        <v>5091</v>
      </c>
      <c r="K362" s="747">
        <v>5396</v>
      </c>
      <c r="L362" s="747">
        <v>5475</v>
      </c>
      <c r="M362" s="747">
        <v>5480</v>
      </c>
      <c r="N362" s="747">
        <v>5415</v>
      </c>
      <c r="O362" s="747">
        <v>5380</v>
      </c>
      <c r="P362" s="747">
        <v>5325</v>
      </c>
      <c r="Q362" s="747">
        <v>5300</v>
      </c>
      <c r="R362" s="747">
        <v>5267</v>
      </c>
      <c r="S362" s="747">
        <v>5348</v>
      </c>
      <c r="T362" s="747">
        <v>5750</v>
      </c>
      <c r="U362" s="747">
        <v>6209</v>
      </c>
      <c r="V362" s="747">
        <v>6158</v>
      </c>
      <c r="W362" s="747">
        <v>6048</v>
      </c>
      <c r="X362" s="747">
        <v>5994</v>
      </c>
      <c r="Y362" s="747">
        <v>5791</v>
      </c>
      <c r="Z362" s="747">
        <v>5583</v>
      </c>
      <c r="AA362" s="747">
        <v>5400</v>
      </c>
      <c r="AC362" s="628">
        <f t="shared" si="53"/>
        <v>351</v>
      </c>
      <c r="AD362" s="627">
        <f t="shared" si="54"/>
        <v>96</v>
      </c>
      <c r="AE362" s="627">
        <f t="shared" si="56"/>
        <v>128</v>
      </c>
      <c r="AF362" s="627">
        <f t="shared" si="56"/>
        <v>38</v>
      </c>
      <c r="AG362" s="627">
        <f t="shared" si="56"/>
        <v>3</v>
      </c>
      <c r="AH362" s="627">
        <f t="shared" si="56"/>
        <v>12</v>
      </c>
      <c r="AI362" s="627">
        <f t="shared" si="56"/>
        <v>257</v>
      </c>
      <c r="AJ362" s="627">
        <f t="shared" si="56"/>
        <v>384</v>
      </c>
      <c r="AK362" s="627">
        <f t="shared" si="56"/>
        <v>305</v>
      </c>
      <c r="AL362" s="627">
        <f t="shared" si="55"/>
        <v>79</v>
      </c>
      <c r="AM362" s="627">
        <f t="shared" si="50"/>
        <v>5</v>
      </c>
      <c r="AN362" s="627">
        <f t="shared" si="50"/>
        <v>65</v>
      </c>
      <c r="AO362" s="627">
        <f t="shared" si="50"/>
        <v>35</v>
      </c>
      <c r="AP362" s="627">
        <f t="shared" si="50"/>
        <v>55</v>
      </c>
      <c r="AQ362" s="627">
        <f t="shared" si="50"/>
        <v>25</v>
      </c>
      <c r="AR362" s="627">
        <f t="shared" si="50"/>
        <v>33</v>
      </c>
      <c r="AS362" s="627">
        <f t="shared" si="50"/>
        <v>81</v>
      </c>
      <c r="AT362" s="627">
        <f t="shared" si="50"/>
        <v>402</v>
      </c>
      <c r="AU362" s="627">
        <f t="shared" si="49"/>
        <v>459</v>
      </c>
      <c r="AV362" s="627">
        <f t="shared" si="49"/>
        <v>51</v>
      </c>
      <c r="AW362" s="627">
        <f t="shared" si="49"/>
        <v>110</v>
      </c>
      <c r="AX362" s="627">
        <f t="shared" si="49"/>
        <v>54</v>
      </c>
      <c r="AY362" s="627">
        <f t="shared" si="49"/>
        <v>203</v>
      </c>
      <c r="AZ362" s="627">
        <f t="shared" si="49"/>
        <v>208</v>
      </c>
      <c r="BA362" s="627">
        <f t="shared" si="49"/>
        <v>183</v>
      </c>
    </row>
    <row r="363" spans="1:53">
      <c r="A363" s="105">
        <f t="shared" si="52"/>
        <v>352</v>
      </c>
      <c r="B363" s="745">
        <v>42721</v>
      </c>
      <c r="C363" s="746" t="s">
        <v>1771</v>
      </c>
      <c r="D363" s="747">
        <v>5183</v>
      </c>
      <c r="E363" s="747">
        <v>5087</v>
      </c>
      <c r="F363" s="747">
        <v>5056</v>
      </c>
      <c r="G363" s="747">
        <v>5031</v>
      </c>
      <c r="H363" s="747">
        <v>5078</v>
      </c>
      <c r="I363" s="747">
        <v>5158</v>
      </c>
      <c r="J363" s="747">
        <v>5396</v>
      </c>
      <c r="K363" s="747">
        <v>5571</v>
      </c>
      <c r="L363" s="747">
        <v>5771</v>
      </c>
      <c r="M363" s="747">
        <v>5997</v>
      </c>
      <c r="N363" s="747">
        <v>6081</v>
      </c>
      <c r="O363" s="747">
        <v>6047</v>
      </c>
      <c r="P363" s="747">
        <v>5961</v>
      </c>
      <c r="Q363" s="747">
        <v>5833</v>
      </c>
      <c r="R363" s="747">
        <v>5764</v>
      </c>
      <c r="S363" s="747">
        <v>5822</v>
      </c>
      <c r="T363" s="747">
        <v>6211</v>
      </c>
      <c r="U363" s="747">
        <v>6697</v>
      </c>
      <c r="V363" s="747">
        <v>6711</v>
      </c>
      <c r="W363" s="747">
        <v>6616</v>
      </c>
      <c r="X363" s="747">
        <v>6488</v>
      </c>
      <c r="Y363" s="747">
        <v>6255</v>
      </c>
      <c r="Z363" s="747">
        <v>5935</v>
      </c>
      <c r="AA363" s="747">
        <v>5706</v>
      </c>
      <c r="AC363" s="628">
        <f t="shared" si="53"/>
        <v>352</v>
      </c>
      <c r="AD363" s="627">
        <f t="shared" si="54"/>
        <v>217</v>
      </c>
      <c r="AE363" s="627">
        <f t="shared" si="56"/>
        <v>96</v>
      </c>
      <c r="AF363" s="627">
        <f t="shared" si="56"/>
        <v>31</v>
      </c>
      <c r="AG363" s="627">
        <f t="shared" si="56"/>
        <v>25</v>
      </c>
      <c r="AH363" s="627">
        <f t="shared" si="56"/>
        <v>47</v>
      </c>
      <c r="AI363" s="627">
        <f t="shared" si="56"/>
        <v>80</v>
      </c>
      <c r="AJ363" s="627">
        <f t="shared" si="56"/>
        <v>238</v>
      </c>
      <c r="AK363" s="627">
        <f t="shared" si="56"/>
        <v>175</v>
      </c>
      <c r="AL363" s="627">
        <f t="shared" si="55"/>
        <v>200</v>
      </c>
      <c r="AM363" s="627">
        <f t="shared" si="50"/>
        <v>226</v>
      </c>
      <c r="AN363" s="627">
        <f t="shared" si="50"/>
        <v>84</v>
      </c>
      <c r="AO363" s="627">
        <f t="shared" si="50"/>
        <v>34</v>
      </c>
      <c r="AP363" s="627">
        <f t="shared" si="50"/>
        <v>86</v>
      </c>
      <c r="AQ363" s="627">
        <f t="shared" si="50"/>
        <v>128</v>
      </c>
      <c r="AR363" s="627">
        <f t="shared" si="50"/>
        <v>69</v>
      </c>
      <c r="AS363" s="627">
        <f t="shared" si="50"/>
        <v>58</v>
      </c>
      <c r="AT363" s="627">
        <f t="shared" si="50"/>
        <v>389</v>
      </c>
      <c r="AU363" s="627">
        <f t="shared" si="49"/>
        <v>486</v>
      </c>
      <c r="AV363" s="627">
        <f t="shared" si="49"/>
        <v>14</v>
      </c>
      <c r="AW363" s="627">
        <f t="shared" si="49"/>
        <v>95</v>
      </c>
      <c r="AX363" s="627">
        <f t="shared" si="49"/>
        <v>128</v>
      </c>
      <c r="AY363" s="627">
        <f t="shared" si="49"/>
        <v>233</v>
      </c>
      <c r="AZ363" s="627">
        <f t="shared" si="49"/>
        <v>320</v>
      </c>
      <c r="BA363" s="627">
        <f t="shared" si="49"/>
        <v>229</v>
      </c>
    </row>
    <row r="364" spans="1:53">
      <c r="A364" s="105">
        <f t="shared" si="52"/>
        <v>353</v>
      </c>
      <c r="B364" s="745">
        <v>42722</v>
      </c>
      <c r="C364" s="746" t="s">
        <v>1771</v>
      </c>
      <c r="D364" s="747">
        <v>5567</v>
      </c>
      <c r="E364" s="747">
        <v>5421</v>
      </c>
      <c r="F364" s="747">
        <v>5358</v>
      </c>
      <c r="G364" s="747">
        <v>5317</v>
      </c>
      <c r="H364" s="747">
        <v>5298</v>
      </c>
      <c r="I364" s="747">
        <v>5310</v>
      </c>
      <c r="J364" s="747">
        <v>5481</v>
      </c>
      <c r="K364" s="747">
        <v>5542</v>
      </c>
      <c r="L364" s="747">
        <v>5641</v>
      </c>
      <c r="M364" s="747">
        <v>5708</v>
      </c>
      <c r="N364" s="747">
        <v>5685</v>
      </c>
      <c r="O364" s="747">
        <v>5626</v>
      </c>
      <c r="P364" s="747">
        <v>5540</v>
      </c>
      <c r="Q364" s="747">
        <v>5485</v>
      </c>
      <c r="R364" s="747">
        <v>5472</v>
      </c>
      <c r="S364" s="747">
        <v>5551</v>
      </c>
      <c r="T364" s="747">
        <v>5919</v>
      </c>
      <c r="U364" s="747">
        <v>6516</v>
      </c>
      <c r="V364" s="747">
        <v>6559</v>
      </c>
      <c r="W364" s="747">
        <v>6475</v>
      </c>
      <c r="X364" s="747">
        <v>6348</v>
      </c>
      <c r="Y364" s="747">
        <v>6050</v>
      </c>
      <c r="Z364" s="747">
        <v>5643</v>
      </c>
      <c r="AA364" s="747">
        <v>5475</v>
      </c>
      <c r="AC364" s="628">
        <f t="shared" si="53"/>
        <v>353</v>
      </c>
      <c r="AD364" s="627">
        <f t="shared" si="54"/>
        <v>139</v>
      </c>
      <c r="AE364" s="627">
        <f t="shared" si="56"/>
        <v>146</v>
      </c>
      <c r="AF364" s="627">
        <f t="shared" si="56"/>
        <v>63</v>
      </c>
      <c r="AG364" s="627">
        <f t="shared" si="56"/>
        <v>41</v>
      </c>
      <c r="AH364" s="627">
        <f t="shared" si="56"/>
        <v>19</v>
      </c>
      <c r="AI364" s="627">
        <f t="shared" si="56"/>
        <v>12</v>
      </c>
      <c r="AJ364" s="627">
        <f t="shared" si="56"/>
        <v>171</v>
      </c>
      <c r="AK364" s="627">
        <f t="shared" si="56"/>
        <v>61</v>
      </c>
      <c r="AL364" s="627">
        <f t="shared" si="55"/>
        <v>99</v>
      </c>
      <c r="AM364" s="627">
        <f t="shared" si="55"/>
        <v>67</v>
      </c>
      <c r="AN364" s="627">
        <f t="shared" si="55"/>
        <v>23</v>
      </c>
      <c r="AO364" s="627">
        <f t="shared" si="55"/>
        <v>59</v>
      </c>
      <c r="AP364" s="627">
        <f t="shared" si="55"/>
        <v>86</v>
      </c>
      <c r="AQ364" s="627">
        <f t="shared" si="50"/>
        <v>55</v>
      </c>
      <c r="AR364" s="627">
        <f t="shared" si="50"/>
        <v>13</v>
      </c>
      <c r="AS364" s="627">
        <f t="shared" si="50"/>
        <v>79</v>
      </c>
      <c r="AT364" s="627">
        <f t="shared" si="50"/>
        <v>368</v>
      </c>
      <c r="AU364" s="627">
        <f t="shared" si="49"/>
        <v>597</v>
      </c>
      <c r="AV364" s="627">
        <f t="shared" si="49"/>
        <v>43</v>
      </c>
      <c r="AW364" s="627">
        <f t="shared" si="49"/>
        <v>84</v>
      </c>
      <c r="AX364" s="627">
        <f t="shared" si="49"/>
        <v>127</v>
      </c>
      <c r="AY364" s="627">
        <f t="shared" si="49"/>
        <v>298</v>
      </c>
      <c r="AZ364" s="627">
        <f t="shared" si="49"/>
        <v>407</v>
      </c>
      <c r="BA364" s="627">
        <f t="shared" si="49"/>
        <v>168</v>
      </c>
    </row>
    <row r="365" spans="1:53">
      <c r="A365" s="105">
        <f t="shared" si="52"/>
        <v>354</v>
      </c>
      <c r="B365" s="745">
        <v>42723</v>
      </c>
      <c r="C365" s="746" t="s">
        <v>1771</v>
      </c>
      <c r="D365" s="747">
        <v>5288</v>
      </c>
      <c r="E365" s="747">
        <v>5201</v>
      </c>
      <c r="F365" s="747">
        <v>5154</v>
      </c>
      <c r="G365" s="747">
        <v>5147</v>
      </c>
      <c r="H365" s="747">
        <v>5196</v>
      </c>
      <c r="I365" s="747">
        <v>5470</v>
      </c>
      <c r="J365" s="747">
        <v>5851</v>
      </c>
      <c r="K365" s="747">
        <v>5994</v>
      </c>
      <c r="L365" s="747">
        <v>6011</v>
      </c>
      <c r="M365" s="747">
        <v>5960</v>
      </c>
      <c r="N365" s="747">
        <v>5903</v>
      </c>
      <c r="O365" s="747">
        <v>5794</v>
      </c>
      <c r="P365" s="747">
        <v>5701</v>
      </c>
      <c r="Q365" s="747">
        <v>5612</v>
      </c>
      <c r="R365" s="747">
        <v>5578</v>
      </c>
      <c r="S365" s="747">
        <v>5603</v>
      </c>
      <c r="T365" s="747">
        <v>5890</v>
      </c>
      <c r="U365" s="747">
        <v>6489</v>
      </c>
      <c r="V365" s="747">
        <v>6466</v>
      </c>
      <c r="W365" s="747">
        <v>6398</v>
      </c>
      <c r="X365" s="747">
        <v>6246</v>
      </c>
      <c r="Y365" s="747">
        <v>5933</v>
      </c>
      <c r="Z365" s="747">
        <v>5636</v>
      </c>
      <c r="AA365" s="747">
        <v>5287</v>
      </c>
      <c r="AC365" s="628">
        <f t="shared" si="53"/>
        <v>354</v>
      </c>
      <c r="AD365" s="627">
        <f t="shared" si="54"/>
        <v>187</v>
      </c>
      <c r="AE365" s="627">
        <f t="shared" si="56"/>
        <v>87</v>
      </c>
      <c r="AF365" s="627">
        <f t="shared" si="56"/>
        <v>47</v>
      </c>
      <c r="AG365" s="627">
        <f t="shared" si="56"/>
        <v>7</v>
      </c>
      <c r="AH365" s="627">
        <f t="shared" si="56"/>
        <v>49</v>
      </c>
      <c r="AI365" s="627">
        <f t="shared" si="56"/>
        <v>274</v>
      </c>
      <c r="AJ365" s="627">
        <f t="shared" si="56"/>
        <v>381</v>
      </c>
      <c r="AK365" s="627">
        <f t="shared" si="56"/>
        <v>143</v>
      </c>
      <c r="AL365" s="627">
        <f t="shared" si="55"/>
        <v>17</v>
      </c>
      <c r="AM365" s="627">
        <f t="shared" si="55"/>
        <v>51</v>
      </c>
      <c r="AN365" s="627">
        <f t="shared" si="55"/>
        <v>57</v>
      </c>
      <c r="AO365" s="627">
        <f t="shared" si="55"/>
        <v>109</v>
      </c>
      <c r="AP365" s="627">
        <f t="shared" si="55"/>
        <v>93</v>
      </c>
      <c r="AQ365" s="627">
        <f t="shared" si="50"/>
        <v>89</v>
      </c>
      <c r="AR365" s="627">
        <f t="shared" si="50"/>
        <v>34</v>
      </c>
      <c r="AS365" s="627">
        <f t="shared" si="50"/>
        <v>25</v>
      </c>
      <c r="AT365" s="627">
        <f t="shared" si="50"/>
        <v>287</v>
      </c>
      <c r="AU365" s="627">
        <f t="shared" si="49"/>
        <v>599</v>
      </c>
      <c r="AV365" s="627">
        <f t="shared" si="49"/>
        <v>23</v>
      </c>
      <c r="AW365" s="627">
        <f t="shared" si="49"/>
        <v>68</v>
      </c>
      <c r="AX365" s="627">
        <f t="shared" si="49"/>
        <v>152</v>
      </c>
      <c r="AY365" s="627">
        <f t="shared" si="49"/>
        <v>313</v>
      </c>
      <c r="AZ365" s="627">
        <f t="shared" si="49"/>
        <v>297</v>
      </c>
      <c r="BA365" s="627">
        <f t="shared" si="49"/>
        <v>349</v>
      </c>
    </row>
    <row r="366" spans="1:53">
      <c r="A366" s="105">
        <f t="shared" si="52"/>
        <v>355</v>
      </c>
      <c r="B366" s="745">
        <v>42724</v>
      </c>
      <c r="C366" s="746" t="s">
        <v>1771</v>
      </c>
      <c r="D366" s="747">
        <v>5023</v>
      </c>
      <c r="E366" s="747">
        <v>4857</v>
      </c>
      <c r="F366" s="747">
        <v>4643</v>
      </c>
      <c r="G366" s="747">
        <v>4701</v>
      </c>
      <c r="H366" s="747">
        <v>4747</v>
      </c>
      <c r="I366" s="747">
        <v>4965</v>
      </c>
      <c r="J366" s="747">
        <v>5417</v>
      </c>
      <c r="K366" s="747">
        <v>5629</v>
      </c>
      <c r="L366" s="747">
        <v>5672</v>
      </c>
      <c r="M366" s="747">
        <v>5648</v>
      </c>
      <c r="N366" s="747">
        <v>5696</v>
      </c>
      <c r="O366" s="747">
        <v>5577</v>
      </c>
      <c r="P366" s="747">
        <v>5452</v>
      </c>
      <c r="Q366" s="747">
        <v>5448</v>
      </c>
      <c r="R366" s="747">
        <v>5472</v>
      </c>
      <c r="S366" s="747">
        <v>5316</v>
      </c>
      <c r="T366" s="747">
        <v>5590</v>
      </c>
      <c r="U366" s="747">
        <v>6131</v>
      </c>
      <c r="V366" s="747">
        <v>6102</v>
      </c>
      <c r="W366" s="747">
        <v>6009</v>
      </c>
      <c r="X366" s="747">
        <v>5854</v>
      </c>
      <c r="Y366" s="747">
        <v>5572</v>
      </c>
      <c r="Z366" s="747">
        <v>5172</v>
      </c>
      <c r="AA366" s="747">
        <v>4776</v>
      </c>
      <c r="AC366" s="628">
        <f t="shared" si="53"/>
        <v>355</v>
      </c>
      <c r="AD366" s="627">
        <f t="shared" si="54"/>
        <v>264</v>
      </c>
      <c r="AE366" s="627">
        <f t="shared" si="56"/>
        <v>166</v>
      </c>
      <c r="AF366" s="627">
        <f t="shared" si="56"/>
        <v>214</v>
      </c>
      <c r="AG366" s="627">
        <f t="shared" si="56"/>
        <v>58</v>
      </c>
      <c r="AH366" s="627">
        <f t="shared" si="56"/>
        <v>46</v>
      </c>
      <c r="AI366" s="627">
        <f t="shared" si="56"/>
        <v>218</v>
      </c>
      <c r="AJ366" s="627">
        <f t="shared" si="56"/>
        <v>452</v>
      </c>
      <c r="AK366" s="627">
        <f t="shared" si="56"/>
        <v>212</v>
      </c>
      <c r="AL366" s="627">
        <f t="shared" si="55"/>
        <v>43</v>
      </c>
      <c r="AM366" s="627">
        <f t="shared" si="55"/>
        <v>24</v>
      </c>
      <c r="AN366" s="627">
        <f t="shared" si="55"/>
        <v>48</v>
      </c>
      <c r="AO366" s="627">
        <f t="shared" si="55"/>
        <v>119</v>
      </c>
      <c r="AP366" s="627">
        <f t="shared" si="55"/>
        <v>125</v>
      </c>
      <c r="AQ366" s="627">
        <f t="shared" si="50"/>
        <v>4</v>
      </c>
      <c r="AR366" s="627">
        <f t="shared" si="50"/>
        <v>24</v>
      </c>
      <c r="AS366" s="627">
        <f t="shared" si="50"/>
        <v>156</v>
      </c>
      <c r="AT366" s="627">
        <f t="shared" si="50"/>
        <v>274</v>
      </c>
      <c r="AU366" s="627">
        <f t="shared" si="49"/>
        <v>541</v>
      </c>
      <c r="AV366" s="627">
        <f t="shared" si="49"/>
        <v>29</v>
      </c>
      <c r="AW366" s="627">
        <f t="shared" si="49"/>
        <v>93</v>
      </c>
      <c r="AX366" s="627">
        <f t="shared" si="49"/>
        <v>155</v>
      </c>
      <c r="AY366" s="627">
        <f t="shared" si="49"/>
        <v>282</v>
      </c>
      <c r="AZ366" s="627">
        <f t="shared" si="49"/>
        <v>400</v>
      </c>
      <c r="BA366" s="627">
        <f t="shared" si="49"/>
        <v>396</v>
      </c>
    </row>
    <row r="367" spans="1:53">
      <c r="A367" s="105">
        <f t="shared" si="52"/>
        <v>356</v>
      </c>
      <c r="B367" s="745">
        <v>42725</v>
      </c>
      <c r="C367" s="746" t="s">
        <v>1771</v>
      </c>
      <c r="D367" s="747">
        <v>4566</v>
      </c>
      <c r="E367" s="747">
        <v>4592</v>
      </c>
      <c r="F367" s="747">
        <v>4596</v>
      </c>
      <c r="G367" s="747">
        <v>4589</v>
      </c>
      <c r="H367" s="747">
        <v>4716</v>
      </c>
      <c r="I367" s="747">
        <v>4935</v>
      </c>
      <c r="J367" s="747">
        <v>5323</v>
      </c>
      <c r="K367" s="747">
        <v>5544</v>
      </c>
      <c r="L367" s="747">
        <v>5590</v>
      </c>
      <c r="M367" s="747">
        <v>5643</v>
      </c>
      <c r="N367" s="747">
        <v>5587</v>
      </c>
      <c r="O367" s="747">
        <v>5455</v>
      </c>
      <c r="P367" s="747">
        <v>5338</v>
      </c>
      <c r="Q367" s="747">
        <v>5286</v>
      </c>
      <c r="R367" s="747">
        <v>5388</v>
      </c>
      <c r="S367" s="747">
        <v>5486</v>
      </c>
      <c r="T367" s="747">
        <v>5852</v>
      </c>
      <c r="U367" s="747">
        <v>6219</v>
      </c>
      <c r="V367" s="747">
        <v>6172</v>
      </c>
      <c r="W367" s="747">
        <v>6130</v>
      </c>
      <c r="X367" s="747">
        <v>5991</v>
      </c>
      <c r="Y367" s="747">
        <v>5692</v>
      </c>
      <c r="Z367" s="747">
        <v>5205</v>
      </c>
      <c r="AA367" s="747">
        <v>4882</v>
      </c>
      <c r="AC367" s="628">
        <f t="shared" si="53"/>
        <v>356</v>
      </c>
      <c r="AD367" s="627">
        <f t="shared" si="54"/>
        <v>210</v>
      </c>
      <c r="AE367" s="627">
        <f t="shared" si="56"/>
        <v>26</v>
      </c>
      <c r="AF367" s="627">
        <f t="shared" si="56"/>
        <v>4</v>
      </c>
      <c r="AG367" s="627">
        <f t="shared" si="56"/>
        <v>7</v>
      </c>
      <c r="AH367" s="627">
        <f t="shared" si="56"/>
        <v>127</v>
      </c>
      <c r="AI367" s="627">
        <f t="shared" si="56"/>
        <v>219</v>
      </c>
      <c r="AJ367" s="627">
        <f t="shared" si="56"/>
        <v>388</v>
      </c>
      <c r="AK367" s="627">
        <f t="shared" si="56"/>
        <v>221</v>
      </c>
      <c r="AL367" s="627">
        <f t="shared" si="55"/>
        <v>46</v>
      </c>
      <c r="AM367" s="627">
        <f t="shared" si="55"/>
        <v>53</v>
      </c>
      <c r="AN367" s="627">
        <f t="shared" si="55"/>
        <v>56</v>
      </c>
      <c r="AO367" s="627">
        <f t="shared" si="55"/>
        <v>132</v>
      </c>
      <c r="AP367" s="627">
        <f t="shared" si="55"/>
        <v>117</v>
      </c>
      <c r="AQ367" s="627">
        <f t="shared" si="50"/>
        <v>52</v>
      </c>
      <c r="AR367" s="627">
        <f t="shared" si="50"/>
        <v>102</v>
      </c>
      <c r="AS367" s="627">
        <f t="shared" si="50"/>
        <v>98</v>
      </c>
      <c r="AT367" s="627">
        <f t="shared" si="50"/>
        <v>366</v>
      </c>
      <c r="AU367" s="627">
        <f t="shared" si="50"/>
        <v>367</v>
      </c>
      <c r="AV367" s="627">
        <f t="shared" si="50"/>
        <v>47</v>
      </c>
      <c r="AW367" s="627">
        <f t="shared" si="50"/>
        <v>42</v>
      </c>
      <c r="AX367" s="627">
        <f t="shared" si="50"/>
        <v>139</v>
      </c>
      <c r="AY367" s="627">
        <f t="shared" si="50"/>
        <v>299</v>
      </c>
      <c r="AZ367" s="627">
        <f t="shared" si="50"/>
        <v>487</v>
      </c>
      <c r="BA367" s="627">
        <f t="shared" si="50"/>
        <v>323</v>
      </c>
    </row>
    <row r="368" spans="1:53">
      <c r="A368" s="105">
        <f t="shared" si="52"/>
        <v>357</v>
      </c>
      <c r="B368" s="745">
        <v>42726</v>
      </c>
      <c r="C368" s="746" t="s">
        <v>1771</v>
      </c>
      <c r="D368" s="747">
        <v>4651</v>
      </c>
      <c r="E368" s="747">
        <v>4654</v>
      </c>
      <c r="F368" s="747">
        <v>4575</v>
      </c>
      <c r="G368" s="747">
        <v>4600</v>
      </c>
      <c r="H368" s="747">
        <v>4828</v>
      </c>
      <c r="I368" s="747">
        <v>5115</v>
      </c>
      <c r="J368" s="747">
        <v>5411</v>
      </c>
      <c r="K368" s="747">
        <v>5660</v>
      </c>
      <c r="L368" s="747">
        <v>5775</v>
      </c>
      <c r="M368" s="747">
        <v>5725</v>
      </c>
      <c r="N368" s="747">
        <v>5730</v>
      </c>
      <c r="O368" s="747">
        <v>5677</v>
      </c>
      <c r="P368" s="747">
        <v>5599</v>
      </c>
      <c r="Q368" s="747">
        <v>5428</v>
      </c>
      <c r="R368" s="747">
        <v>5356</v>
      </c>
      <c r="S368" s="747">
        <v>5490</v>
      </c>
      <c r="T368" s="747">
        <v>5766</v>
      </c>
      <c r="U368" s="747">
        <v>6215</v>
      </c>
      <c r="V368" s="747">
        <v>6176</v>
      </c>
      <c r="W368" s="747">
        <v>6028</v>
      </c>
      <c r="X368" s="747">
        <v>5899</v>
      </c>
      <c r="Y368" s="747">
        <v>5646</v>
      </c>
      <c r="Z368" s="747">
        <v>5253</v>
      </c>
      <c r="AA368" s="747">
        <v>4861</v>
      </c>
      <c r="AC368" s="628">
        <f t="shared" si="53"/>
        <v>357</v>
      </c>
      <c r="AD368" s="627">
        <f t="shared" si="54"/>
        <v>231</v>
      </c>
      <c r="AE368" s="627">
        <f t="shared" si="56"/>
        <v>3</v>
      </c>
      <c r="AF368" s="627">
        <f t="shared" si="56"/>
        <v>79</v>
      </c>
      <c r="AG368" s="627">
        <f t="shared" si="56"/>
        <v>25</v>
      </c>
      <c r="AH368" s="627">
        <f t="shared" si="56"/>
        <v>228</v>
      </c>
      <c r="AI368" s="627">
        <f t="shared" si="56"/>
        <v>287</v>
      </c>
      <c r="AJ368" s="627">
        <f t="shared" si="56"/>
        <v>296</v>
      </c>
      <c r="AK368" s="627">
        <f t="shared" si="56"/>
        <v>249</v>
      </c>
      <c r="AL368" s="627">
        <f t="shared" si="55"/>
        <v>115</v>
      </c>
      <c r="AM368" s="627">
        <f t="shared" si="55"/>
        <v>50</v>
      </c>
      <c r="AN368" s="627">
        <f t="shared" si="55"/>
        <v>5</v>
      </c>
      <c r="AO368" s="627">
        <f t="shared" si="55"/>
        <v>53</v>
      </c>
      <c r="AP368" s="627">
        <f t="shared" si="55"/>
        <v>78</v>
      </c>
      <c r="AQ368" s="627">
        <f t="shared" si="50"/>
        <v>171</v>
      </c>
      <c r="AR368" s="627">
        <f t="shared" si="50"/>
        <v>72</v>
      </c>
      <c r="AS368" s="627">
        <f t="shared" ref="AQ368:BA376" si="57">ABS(S368-R368)</f>
        <v>134</v>
      </c>
      <c r="AT368" s="627">
        <f t="shared" si="57"/>
        <v>276</v>
      </c>
      <c r="AU368" s="627">
        <f t="shared" si="57"/>
        <v>449</v>
      </c>
      <c r="AV368" s="627">
        <f t="shared" si="57"/>
        <v>39</v>
      </c>
      <c r="AW368" s="627">
        <f t="shared" si="57"/>
        <v>148</v>
      </c>
      <c r="AX368" s="627">
        <f t="shared" si="57"/>
        <v>129</v>
      </c>
      <c r="AY368" s="627">
        <f t="shared" si="57"/>
        <v>253</v>
      </c>
      <c r="AZ368" s="627">
        <f t="shared" si="57"/>
        <v>393</v>
      </c>
      <c r="BA368" s="627">
        <f t="shared" si="57"/>
        <v>392</v>
      </c>
    </row>
    <row r="369" spans="1:53">
      <c r="A369" s="105">
        <f t="shared" si="52"/>
        <v>358</v>
      </c>
      <c r="B369" s="745">
        <v>42727</v>
      </c>
      <c r="C369" s="746" t="s">
        <v>1771</v>
      </c>
      <c r="D369" s="747">
        <v>4644</v>
      </c>
      <c r="E369" s="747">
        <v>4678</v>
      </c>
      <c r="F369" s="747">
        <v>4632</v>
      </c>
      <c r="G369" s="747">
        <v>4603</v>
      </c>
      <c r="H369" s="747">
        <v>4824</v>
      </c>
      <c r="I369" s="747">
        <v>4986</v>
      </c>
      <c r="J369" s="747">
        <v>5395</v>
      </c>
      <c r="K369" s="747">
        <v>5535</v>
      </c>
      <c r="L369" s="747">
        <v>5495</v>
      </c>
      <c r="M369" s="747">
        <v>5435</v>
      </c>
      <c r="N369" s="747">
        <v>5235</v>
      </c>
      <c r="O369" s="747">
        <v>5130</v>
      </c>
      <c r="P369" s="747">
        <v>5039</v>
      </c>
      <c r="Q369" s="747">
        <v>4997</v>
      </c>
      <c r="R369" s="747">
        <v>4971</v>
      </c>
      <c r="S369" s="747">
        <v>5017</v>
      </c>
      <c r="T369" s="747">
        <v>5268</v>
      </c>
      <c r="U369" s="747">
        <v>5831</v>
      </c>
      <c r="V369" s="747">
        <v>5798</v>
      </c>
      <c r="W369" s="747">
        <v>5718</v>
      </c>
      <c r="X369" s="747">
        <v>5626</v>
      </c>
      <c r="Y369" s="747">
        <v>5392</v>
      </c>
      <c r="Z369" s="747">
        <v>5161</v>
      </c>
      <c r="AA369" s="747">
        <v>4638</v>
      </c>
      <c r="AC369" s="628">
        <f t="shared" si="53"/>
        <v>358</v>
      </c>
      <c r="AD369" s="627">
        <f t="shared" si="54"/>
        <v>217</v>
      </c>
      <c r="AE369" s="627">
        <f t="shared" si="56"/>
        <v>34</v>
      </c>
      <c r="AF369" s="627">
        <f t="shared" si="56"/>
        <v>46</v>
      </c>
      <c r="AG369" s="627">
        <f t="shared" si="56"/>
        <v>29</v>
      </c>
      <c r="AH369" s="627">
        <f t="shared" si="56"/>
        <v>221</v>
      </c>
      <c r="AI369" s="627">
        <f t="shared" si="56"/>
        <v>162</v>
      </c>
      <c r="AJ369" s="627">
        <f t="shared" si="56"/>
        <v>409</v>
      </c>
      <c r="AK369" s="627">
        <f t="shared" si="56"/>
        <v>140</v>
      </c>
      <c r="AL369" s="627">
        <f t="shared" si="55"/>
        <v>40</v>
      </c>
      <c r="AM369" s="627">
        <f t="shared" si="55"/>
        <v>60</v>
      </c>
      <c r="AN369" s="627">
        <f t="shared" si="55"/>
        <v>200</v>
      </c>
      <c r="AO369" s="627">
        <f t="shared" si="55"/>
        <v>105</v>
      </c>
      <c r="AP369" s="627">
        <f t="shared" si="55"/>
        <v>91</v>
      </c>
      <c r="AQ369" s="627">
        <f t="shared" si="57"/>
        <v>42</v>
      </c>
      <c r="AR369" s="627">
        <f t="shared" si="57"/>
        <v>26</v>
      </c>
      <c r="AS369" s="627">
        <f t="shared" si="57"/>
        <v>46</v>
      </c>
      <c r="AT369" s="627">
        <f t="shared" si="57"/>
        <v>251</v>
      </c>
      <c r="AU369" s="627">
        <f t="shared" si="57"/>
        <v>563</v>
      </c>
      <c r="AV369" s="627">
        <f t="shared" si="57"/>
        <v>33</v>
      </c>
      <c r="AW369" s="627">
        <f t="shared" si="57"/>
        <v>80</v>
      </c>
      <c r="AX369" s="627">
        <f t="shared" si="57"/>
        <v>92</v>
      </c>
      <c r="AY369" s="627">
        <f t="shared" si="57"/>
        <v>234</v>
      </c>
      <c r="AZ369" s="627">
        <f t="shared" si="57"/>
        <v>231</v>
      </c>
      <c r="BA369" s="627">
        <f t="shared" si="57"/>
        <v>523</v>
      </c>
    </row>
    <row r="370" spans="1:53">
      <c r="A370" s="105">
        <f t="shared" si="52"/>
        <v>359</v>
      </c>
      <c r="B370" s="745">
        <v>42728</v>
      </c>
      <c r="C370" s="746" t="s">
        <v>1771</v>
      </c>
      <c r="D370" s="747">
        <v>4681</v>
      </c>
      <c r="E370" s="747">
        <v>4551</v>
      </c>
      <c r="F370" s="747">
        <v>4466</v>
      </c>
      <c r="G370" s="747">
        <v>4432</v>
      </c>
      <c r="H370" s="747">
        <v>4398</v>
      </c>
      <c r="I370" s="747">
        <v>4491</v>
      </c>
      <c r="J370" s="747">
        <v>4635</v>
      </c>
      <c r="K370" s="747">
        <v>4818</v>
      </c>
      <c r="L370" s="747">
        <v>4930</v>
      </c>
      <c r="M370" s="747">
        <v>4943</v>
      </c>
      <c r="N370" s="747">
        <v>4918</v>
      </c>
      <c r="O370" s="747">
        <v>4850</v>
      </c>
      <c r="P370" s="747">
        <v>4759</v>
      </c>
      <c r="Q370" s="747">
        <v>4700</v>
      </c>
      <c r="R370" s="747">
        <v>4689</v>
      </c>
      <c r="S370" s="747">
        <v>4777</v>
      </c>
      <c r="T370" s="747">
        <v>4995</v>
      </c>
      <c r="U370" s="747">
        <v>5419</v>
      </c>
      <c r="V370" s="747">
        <v>5376</v>
      </c>
      <c r="W370" s="747">
        <v>5253</v>
      </c>
      <c r="X370" s="747">
        <v>5173</v>
      </c>
      <c r="Y370" s="747">
        <v>5064</v>
      </c>
      <c r="Z370" s="747">
        <v>4839</v>
      </c>
      <c r="AA370" s="747">
        <v>4624</v>
      </c>
      <c r="AC370" s="628">
        <f t="shared" si="53"/>
        <v>359</v>
      </c>
      <c r="AD370" s="627">
        <f t="shared" si="54"/>
        <v>43</v>
      </c>
      <c r="AE370" s="627">
        <f t="shared" si="56"/>
        <v>130</v>
      </c>
      <c r="AF370" s="627">
        <f t="shared" si="56"/>
        <v>85</v>
      </c>
      <c r="AG370" s="627">
        <f t="shared" si="56"/>
        <v>34</v>
      </c>
      <c r="AH370" s="627">
        <f t="shared" si="56"/>
        <v>34</v>
      </c>
      <c r="AI370" s="627">
        <f t="shared" si="56"/>
        <v>93</v>
      </c>
      <c r="AJ370" s="627">
        <f t="shared" si="56"/>
        <v>144</v>
      </c>
      <c r="AK370" s="627">
        <f t="shared" si="56"/>
        <v>183</v>
      </c>
      <c r="AL370" s="627">
        <f t="shared" si="55"/>
        <v>112</v>
      </c>
      <c r="AM370" s="627">
        <f t="shared" si="55"/>
        <v>13</v>
      </c>
      <c r="AN370" s="627">
        <f t="shared" si="55"/>
        <v>25</v>
      </c>
      <c r="AO370" s="627">
        <f t="shared" si="55"/>
        <v>68</v>
      </c>
      <c r="AP370" s="627">
        <f t="shared" si="55"/>
        <v>91</v>
      </c>
      <c r="AQ370" s="627">
        <f t="shared" si="57"/>
        <v>59</v>
      </c>
      <c r="AR370" s="627">
        <f t="shared" si="57"/>
        <v>11</v>
      </c>
      <c r="AS370" s="627">
        <f t="shared" si="57"/>
        <v>88</v>
      </c>
      <c r="AT370" s="627">
        <f t="shared" si="57"/>
        <v>218</v>
      </c>
      <c r="AU370" s="627">
        <f t="shared" si="57"/>
        <v>424</v>
      </c>
      <c r="AV370" s="627">
        <f t="shared" si="57"/>
        <v>43</v>
      </c>
      <c r="AW370" s="627">
        <f t="shared" si="57"/>
        <v>123</v>
      </c>
      <c r="AX370" s="627">
        <f t="shared" si="57"/>
        <v>80</v>
      </c>
      <c r="AY370" s="627">
        <f t="shared" si="57"/>
        <v>109</v>
      </c>
      <c r="AZ370" s="627">
        <f t="shared" si="57"/>
        <v>225</v>
      </c>
      <c r="BA370" s="627">
        <f t="shared" si="57"/>
        <v>215</v>
      </c>
    </row>
    <row r="371" spans="1:53">
      <c r="A371" s="105">
        <f t="shared" si="52"/>
        <v>360</v>
      </c>
      <c r="B371" s="745">
        <v>42729</v>
      </c>
      <c r="C371" s="746" t="s">
        <v>1771</v>
      </c>
      <c r="D371" s="747">
        <v>4461</v>
      </c>
      <c r="E371" s="747">
        <v>4314</v>
      </c>
      <c r="F371" s="747">
        <v>4250</v>
      </c>
      <c r="G371" s="747">
        <v>4217</v>
      </c>
      <c r="H371" s="747">
        <v>4209</v>
      </c>
      <c r="I371" s="747">
        <v>4282</v>
      </c>
      <c r="J371" s="747">
        <v>4362</v>
      </c>
      <c r="K371" s="747">
        <v>4552</v>
      </c>
      <c r="L371" s="747">
        <v>4681</v>
      </c>
      <c r="M371" s="747">
        <v>4802</v>
      </c>
      <c r="N371" s="747">
        <v>4959</v>
      </c>
      <c r="O371" s="747">
        <v>5015</v>
      </c>
      <c r="P371" s="747">
        <v>5059</v>
      </c>
      <c r="Q371" s="747">
        <v>5034</v>
      </c>
      <c r="R371" s="747">
        <v>4907</v>
      </c>
      <c r="S371" s="747">
        <v>4859</v>
      </c>
      <c r="T371" s="747">
        <v>5068</v>
      </c>
      <c r="U371" s="747">
        <v>5426</v>
      </c>
      <c r="V371" s="747">
        <v>5445</v>
      </c>
      <c r="W371" s="747">
        <v>5395</v>
      </c>
      <c r="X371" s="747">
        <v>5330</v>
      </c>
      <c r="Y371" s="747">
        <v>5192</v>
      </c>
      <c r="Z371" s="747">
        <v>5093</v>
      </c>
      <c r="AA371" s="747">
        <v>4902</v>
      </c>
      <c r="AC371" s="628">
        <f t="shared" si="53"/>
        <v>360</v>
      </c>
      <c r="AD371" s="627">
        <f t="shared" si="54"/>
        <v>163</v>
      </c>
      <c r="AE371" s="627">
        <f t="shared" si="56"/>
        <v>147</v>
      </c>
      <c r="AF371" s="627">
        <f t="shared" si="56"/>
        <v>64</v>
      </c>
      <c r="AG371" s="627">
        <f t="shared" si="56"/>
        <v>33</v>
      </c>
      <c r="AH371" s="627">
        <f t="shared" si="56"/>
        <v>8</v>
      </c>
      <c r="AI371" s="627">
        <f t="shared" si="56"/>
        <v>73</v>
      </c>
      <c r="AJ371" s="627">
        <f t="shared" si="56"/>
        <v>80</v>
      </c>
      <c r="AK371" s="627">
        <f t="shared" si="56"/>
        <v>190</v>
      </c>
      <c r="AL371" s="627">
        <f t="shared" si="55"/>
        <v>129</v>
      </c>
      <c r="AM371" s="627">
        <f t="shared" si="55"/>
        <v>121</v>
      </c>
      <c r="AN371" s="627">
        <f t="shared" si="55"/>
        <v>157</v>
      </c>
      <c r="AO371" s="627">
        <f t="shared" si="55"/>
        <v>56</v>
      </c>
      <c r="AP371" s="627">
        <f t="shared" si="55"/>
        <v>44</v>
      </c>
      <c r="AQ371" s="627">
        <f t="shared" si="57"/>
        <v>25</v>
      </c>
      <c r="AR371" s="627">
        <f t="shared" si="57"/>
        <v>127</v>
      </c>
      <c r="AS371" s="627">
        <f t="shared" si="57"/>
        <v>48</v>
      </c>
      <c r="AT371" s="627">
        <f t="shared" si="57"/>
        <v>209</v>
      </c>
      <c r="AU371" s="627">
        <f t="shared" si="57"/>
        <v>358</v>
      </c>
      <c r="AV371" s="627">
        <f t="shared" si="57"/>
        <v>19</v>
      </c>
      <c r="AW371" s="627">
        <f t="shared" si="57"/>
        <v>50</v>
      </c>
      <c r="AX371" s="627">
        <f t="shared" si="57"/>
        <v>65</v>
      </c>
      <c r="AY371" s="627">
        <f t="shared" si="57"/>
        <v>138</v>
      </c>
      <c r="AZ371" s="627">
        <f t="shared" si="57"/>
        <v>99</v>
      </c>
      <c r="BA371" s="627">
        <f t="shared" si="57"/>
        <v>191</v>
      </c>
    </row>
    <row r="372" spans="1:53">
      <c r="A372" s="105">
        <f t="shared" si="52"/>
        <v>361</v>
      </c>
      <c r="B372" s="745">
        <v>42730</v>
      </c>
      <c r="C372" s="746" t="s">
        <v>1771</v>
      </c>
      <c r="D372" s="747">
        <v>4707</v>
      </c>
      <c r="E372" s="747">
        <v>4599</v>
      </c>
      <c r="F372" s="747">
        <v>4576</v>
      </c>
      <c r="G372" s="747">
        <v>4571</v>
      </c>
      <c r="H372" s="747">
        <v>4666</v>
      </c>
      <c r="I372" s="747">
        <v>4756</v>
      </c>
      <c r="J372" s="747">
        <v>4943</v>
      </c>
      <c r="K372" s="747">
        <v>5064</v>
      </c>
      <c r="L372" s="747">
        <v>5018</v>
      </c>
      <c r="M372" s="747">
        <v>4998</v>
      </c>
      <c r="N372" s="747">
        <v>5027</v>
      </c>
      <c r="O372" s="747">
        <v>5019</v>
      </c>
      <c r="P372" s="747">
        <v>4919</v>
      </c>
      <c r="Q372" s="747">
        <v>4886</v>
      </c>
      <c r="R372" s="747">
        <v>4911</v>
      </c>
      <c r="S372" s="747">
        <v>5027</v>
      </c>
      <c r="T372" s="747">
        <v>5385</v>
      </c>
      <c r="U372" s="747">
        <v>5971</v>
      </c>
      <c r="V372" s="747">
        <v>5993</v>
      </c>
      <c r="W372" s="747">
        <v>5919</v>
      </c>
      <c r="X372" s="747">
        <v>5808</v>
      </c>
      <c r="Y372" s="747">
        <v>5586</v>
      </c>
      <c r="Z372" s="747">
        <v>5303</v>
      </c>
      <c r="AA372" s="747">
        <v>4991</v>
      </c>
      <c r="AC372" s="628">
        <f t="shared" si="53"/>
        <v>361</v>
      </c>
      <c r="AD372" s="627">
        <f t="shared" si="54"/>
        <v>195</v>
      </c>
      <c r="AE372" s="627">
        <f t="shared" si="56"/>
        <v>108</v>
      </c>
      <c r="AF372" s="627">
        <f t="shared" si="56"/>
        <v>23</v>
      </c>
      <c r="AG372" s="627">
        <f t="shared" si="56"/>
        <v>5</v>
      </c>
      <c r="AH372" s="627">
        <f t="shared" si="56"/>
        <v>95</v>
      </c>
      <c r="AI372" s="627">
        <f t="shared" si="56"/>
        <v>90</v>
      </c>
      <c r="AJ372" s="627">
        <f t="shared" si="56"/>
        <v>187</v>
      </c>
      <c r="AK372" s="627">
        <f t="shared" si="56"/>
        <v>121</v>
      </c>
      <c r="AL372" s="627">
        <f t="shared" si="55"/>
        <v>46</v>
      </c>
      <c r="AM372" s="627">
        <f t="shared" si="55"/>
        <v>20</v>
      </c>
      <c r="AN372" s="627">
        <f t="shared" si="55"/>
        <v>29</v>
      </c>
      <c r="AO372" s="627">
        <f t="shared" si="55"/>
        <v>8</v>
      </c>
      <c r="AP372" s="627">
        <f t="shared" si="55"/>
        <v>100</v>
      </c>
      <c r="AQ372" s="627">
        <f t="shared" si="57"/>
        <v>33</v>
      </c>
      <c r="AR372" s="627">
        <f t="shared" si="57"/>
        <v>25</v>
      </c>
      <c r="AS372" s="627">
        <f t="shared" si="57"/>
        <v>116</v>
      </c>
      <c r="AT372" s="627">
        <f t="shared" si="57"/>
        <v>358</v>
      </c>
      <c r="AU372" s="627">
        <f t="shared" si="57"/>
        <v>586</v>
      </c>
      <c r="AV372" s="627">
        <f t="shared" si="57"/>
        <v>22</v>
      </c>
      <c r="AW372" s="627">
        <f t="shared" si="57"/>
        <v>74</v>
      </c>
      <c r="AX372" s="627">
        <f t="shared" si="57"/>
        <v>111</v>
      </c>
      <c r="AY372" s="627">
        <f t="shared" si="57"/>
        <v>222</v>
      </c>
      <c r="AZ372" s="627">
        <f t="shared" si="57"/>
        <v>283</v>
      </c>
      <c r="BA372" s="627">
        <f t="shared" si="57"/>
        <v>312</v>
      </c>
    </row>
    <row r="373" spans="1:53">
      <c r="A373" s="105">
        <f t="shared" si="52"/>
        <v>362</v>
      </c>
      <c r="B373" s="745">
        <v>42731</v>
      </c>
      <c r="C373" s="746" t="s">
        <v>1771</v>
      </c>
      <c r="D373" s="747">
        <v>4750</v>
      </c>
      <c r="E373" s="747">
        <v>4670</v>
      </c>
      <c r="F373" s="747">
        <v>4672</v>
      </c>
      <c r="G373" s="747">
        <v>4675</v>
      </c>
      <c r="H373" s="747">
        <v>4780</v>
      </c>
      <c r="I373" s="747">
        <v>4996</v>
      </c>
      <c r="J373" s="747">
        <v>5308</v>
      </c>
      <c r="K373" s="747">
        <v>5489</v>
      </c>
      <c r="L373" s="747">
        <v>5539</v>
      </c>
      <c r="M373" s="747">
        <v>5504</v>
      </c>
      <c r="N373" s="747">
        <v>5430</v>
      </c>
      <c r="O373" s="747">
        <v>5342</v>
      </c>
      <c r="P373" s="747">
        <v>5277</v>
      </c>
      <c r="Q373" s="747">
        <v>5317</v>
      </c>
      <c r="R373" s="747">
        <v>5298</v>
      </c>
      <c r="S373" s="747">
        <v>5402</v>
      </c>
      <c r="T373" s="747">
        <v>5617</v>
      </c>
      <c r="U373" s="747">
        <v>6074</v>
      </c>
      <c r="V373" s="747">
        <v>6056</v>
      </c>
      <c r="W373" s="747">
        <v>5890</v>
      </c>
      <c r="X373" s="747">
        <v>5764</v>
      </c>
      <c r="Y373" s="747">
        <v>5523</v>
      </c>
      <c r="Z373" s="747">
        <v>5275</v>
      </c>
      <c r="AA373" s="747">
        <v>4969</v>
      </c>
      <c r="AC373" s="628">
        <f t="shared" si="53"/>
        <v>362</v>
      </c>
      <c r="AD373" s="627">
        <f t="shared" si="54"/>
        <v>241</v>
      </c>
      <c r="AE373" s="627">
        <f t="shared" si="56"/>
        <v>80</v>
      </c>
      <c r="AF373" s="627">
        <f t="shared" si="56"/>
        <v>2</v>
      </c>
      <c r="AG373" s="627">
        <f t="shared" si="56"/>
        <v>3</v>
      </c>
      <c r="AH373" s="627">
        <f t="shared" si="56"/>
        <v>105</v>
      </c>
      <c r="AI373" s="627">
        <f t="shared" si="56"/>
        <v>216</v>
      </c>
      <c r="AJ373" s="627">
        <f t="shared" si="56"/>
        <v>312</v>
      </c>
      <c r="AK373" s="627">
        <f t="shared" si="56"/>
        <v>181</v>
      </c>
      <c r="AL373" s="627">
        <f t="shared" si="55"/>
        <v>50</v>
      </c>
      <c r="AM373" s="627">
        <f t="shared" si="55"/>
        <v>35</v>
      </c>
      <c r="AN373" s="627">
        <f t="shared" si="55"/>
        <v>74</v>
      </c>
      <c r="AO373" s="627">
        <f t="shared" si="55"/>
        <v>88</v>
      </c>
      <c r="AP373" s="627">
        <f t="shared" si="55"/>
        <v>65</v>
      </c>
      <c r="AQ373" s="627">
        <f t="shared" si="57"/>
        <v>40</v>
      </c>
      <c r="AR373" s="627">
        <f t="shared" si="57"/>
        <v>19</v>
      </c>
      <c r="AS373" s="627">
        <f t="shared" si="57"/>
        <v>104</v>
      </c>
      <c r="AT373" s="627">
        <f t="shared" si="57"/>
        <v>215</v>
      </c>
      <c r="AU373" s="627">
        <f t="shared" si="57"/>
        <v>457</v>
      </c>
      <c r="AV373" s="627">
        <f t="shared" si="57"/>
        <v>18</v>
      </c>
      <c r="AW373" s="627">
        <f t="shared" si="57"/>
        <v>166</v>
      </c>
      <c r="AX373" s="627">
        <f t="shared" si="57"/>
        <v>126</v>
      </c>
      <c r="AY373" s="627">
        <f t="shared" si="57"/>
        <v>241</v>
      </c>
      <c r="AZ373" s="627">
        <f t="shared" si="57"/>
        <v>248</v>
      </c>
      <c r="BA373" s="627">
        <f t="shared" si="57"/>
        <v>306</v>
      </c>
    </row>
    <row r="374" spans="1:53">
      <c r="A374" s="105">
        <f t="shared" si="52"/>
        <v>363</v>
      </c>
      <c r="B374" s="745">
        <v>42732</v>
      </c>
      <c r="C374" s="746" t="s">
        <v>1771</v>
      </c>
      <c r="D374" s="747">
        <v>4751</v>
      </c>
      <c r="E374" s="747">
        <v>4556</v>
      </c>
      <c r="F374" s="747">
        <v>4489</v>
      </c>
      <c r="G374" s="747">
        <v>4461</v>
      </c>
      <c r="H374" s="747">
        <v>4539</v>
      </c>
      <c r="I374" s="747">
        <v>4735</v>
      </c>
      <c r="J374" s="747">
        <v>4982</v>
      </c>
      <c r="K374" s="747">
        <v>5190</v>
      </c>
      <c r="L374" s="747">
        <v>5255</v>
      </c>
      <c r="M374" s="747">
        <v>5250</v>
      </c>
      <c r="N374" s="747">
        <v>5299</v>
      </c>
      <c r="O374" s="747">
        <v>5283</v>
      </c>
      <c r="P374" s="747">
        <v>5228</v>
      </c>
      <c r="Q374" s="747">
        <v>5213</v>
      </c>
      <c r="R374" s="747">
        <v>5225</v>
      </c>
      <c r="S374" s="747">
        <v>5273</v>
      </c>
      <c r="T374" s="747">
        <v>5557</v>
      </c>
      <c r="U374" s="747">
        <v>6065</v>
      </c>
      <c r="V374" s="747">
        <v>6064</v>
      </c>
      <c r="W374" s="747">
        <v>5953</v>
      </c>
      <c r="X374" s="747">
        <v>5799</v>
      </c>
      <c r="Y374" s="747">
        <v>5626</v>
      </c>
      <c r="Z374" s="747">
        <v>5401</v>
      </c>
      <c r="AA374" s="747">
        <v>5103</v>
      </c>
      <c r="AC374" s="628">
        <f t="shared" si="53"/>
        <v>363</v>
      </c>
      <c r="AD374" s="627">
        <f t="shared" si="54"/>
        <v>218</v>
      </c>
      <c r="AE374" s="627">
        <f t="shared" si="56"/>
        <v>195</v>
      </c>
      <c r="AF374" s="627">
        <f t="shared" si="56"/>
        <v>67</v>
      </c>
      <c r="AG374" s="627">
        <f t="shared" si="56"/>
        <v>28</v>
      </c>
      <c r="AH374" s="627">
        <f t="shared" si="56"/>
        <v>78</v>
      </c>
      <c r="AI374" s="627">
        <f t="shared" si="56"/>
        <v>196</v>
      </c>
      <c r="AJ374" s="627">
        <f t="shared" si="56"/>
        <v>247</v>
      </c>
      <c r="AK374" s="627">
        <f t="shared" si="56"/>
        <v>208</v>
      </c>
      <c r="AL374" s="627">
        <f t="shared" si="55"/>
        <v>65</v>
      </c>
      <c r="AM374" s="627">
        <f t="shared" si="55"/>
        <v>5</v>
      </c>
      <c r="AN374" s="627">
        <f t="shared" si="55"/>
        <v>49</v>
      </c>
      <c r="AO374" s="627">
        <f t="shared" si="55"/>
        <v>16</v>
      </c>
      <c r="AP374" s="627">
        <f t="shared" si="55"/>
        <v>55</v>
      </c>
      <c r="AQ374" s="627">
        <f t="shared" si="57"/>
        <v>15</v>
      </c>
      <c r="AR374" s="627">
        <f t="shared" si="57"/>
        <v>12</v>
      </c>
      <c r="AS374" s="627">
        <f t="shared" si="57"/>
        <v>48</v>
      </c>
      <c r="AT374" s="627">
        <f t="shared" si="57"/>
        <v>284</v>
      </c>
      <c r="AU374" s="627">
        <f t="shared" si="57"/>
        <v>508</v>
      </c>
      <c r="AV374" s="627">
        <f t="shared" si="57"/>
        <v>1</v>
      </c>
      <c r="AW374" s="627">
        <f t="shared" si="57"/>
        <v>111</v>
      </c>
      <c r="AX374" s="627">
        <f t="shared" si="57"/>
        <v>154</v>
      </c>
      <c r="AY374" s="627">
        <f t="shared" si="57"/>
        <v>173</v>
      </c>
      <c r="AZ374" s="627">
        <f t="shared" si="57"/>
        <v>225</v>
      </c>
      <c r="BA374" s="627">
        <f t="shared" si="57"/>
        <v>298</v>
      </c>
    </row>
    <row r="375" spans="1:53">
      <c r="A375" s="105">
        <f t="shared" si="52"/>
        <v>364</v>
      </c>
      <c r="B375" s="745">
        <v>42733</v>
      </c>
      <c r="C375" s="746" t="s">
        <v>1771</v>
      </c>
      <c r="D375" s="747">
        <v>4900</v>
      </c>
      <c r="E375" s="747">
        <v>4787</v>
      </c>
      <c r="F375" s="747">
        <v>4722</v>
      </c>
      <c r="G375" s="747">
        <v>4678</v>
      </c>
      <c r="H375" s="747">
        <v>4811</v>
      </c>
      <c r="I375" s="747">
        <v>4970</v>
      </c>
      <c r="J375" s="747">
        <v>5334</v>
      </c>
      <c r="K375" s="747">
        <v>5522</v>
      </c>
      <c r="L375" s="747">
        <v>5546</v>
      </c>
      <c r="M375" s="747">
        <v>5431</v>
      </c>
      <c r="N375" s="747">
        <v>5413</v>
      </c>
      <c r="O375" s="747">
        <v>5336</v>
      </c>
      <c r="P375" s="747">
        <v>5244</v>
      </c>
      <c r="Q375" s="747">
        <v>5190</v>
      </c>
      <c r="R375" s="747">
        <v>5165</v>
      </c>
      <c r="S375" s="747">
        <v>5243</v>
      </c>
      <c r="T375" s="747">
        <v>5541</v>
      </c>
      <c r="U375" s="747">
        <v>6086</v>
      </c>
      <c r="V375" s="747">
        <v>6052</v>
      </c>
      <c r="W375" s="747">
        <v>5987</v>
      </c>
      <c r="X375" s="747">
        <v>5840</v>
      </c>
      <c r="Y375" s="747">
        <v>5577</v>
      </c>
      <c r="Z375" s="747">
        <v>5314</v>
      </c>
      <c r="AA375" s="747">
        <v>5063</v>
      </c>
      <c r="AC375" s="628">
        <f>AC374+1</f>
        <v>364</v>
      </c>
      <c r="AD375" s="627">
        <f>ABS(D375-AA374)</f>
        <v>203</v>
      </c>
      <c r="AE375" s="627">
        <f t="shared" si="56"/>
        <v>113</v>
      </c>
      <c r="AF375" s="627">
        <f t="shared" si="56"/>
        <v>65</v>
      </c>
      <c r="AG375" s="627">
        <f t="shared" si="56"/>
        <v>44</v>
      </c>
      <c r="AH375" s="627">
        <f t="shared" si="56"/>
        <v>133</v>
      </c>
      <c r="AI375" s="627">
        <f t="shared" si="56"/>
        <v>159</v>
      </c>
      <c r="AJ375" s="627">
        <f t="shared" si="56"/>
        <v>364</v>
      </c>
      <c r="AK375" s="627">
        <f t="shared" si="56"/>
        <v>188</v>
      </c>
      <c r="AL375" s="627">
        <f t="shared" si="56"/>
        <v>24</v>
      </c>
      <c r="AM375" s="627">
        <f t="shared" si="56"/>
        <v>115</v>
      </c>
      <c r="AN375" s="627">
        <f t="shared" si="56"/>
        <v>18</v>
      </c>
      <c r="AO375" s="627">
        <f t="shared" si="55"/>
        <v>77</v>
      </c>
      <c r="AP375" s="627">
        <f t="shared" si="55"/>
        <v>92</v>
      </c>
      <c r="AQ375" s="627">
        <f t="shared" si="57"/>
        <v>54</v>
      </c>
      <c r="AR375" s="627">
        <f t="shared" si="57"/>
        <v>25</v>
      </c>
      <c r="AS375" s="627">
        <f t="shared" si="57"/>
        <v>78</v>
      </c>
      <c r="AT375" s="627">
        <f t="shared" si="57"/>
        <v>298</v>
      </c>
      <c r="AU375" s="627">
        <f t="shared" si="57"/>
        <v>545</v>
      </c>
      <c r="AV375" s="627">
        <f t="shared" si="57"/>
        <v>34</v>
      </c>
      <c r="AW375" s="627">
        <f t="shared" si="57"/>
        <v>65</v>
      </c>
      <c r="AX375" s="627">
        <f t="shared" si="57"/>
        <v>147</v>
      </c>
      <c r="AY375" s="627">
        <f t="shared" si="57"/>
        <v>263</v>
      </c>
      <c r="AZ375" s="627">
        <f t="shared" si="57"/>
        <v>263</v>
      </c>
      <c r="BA375" s="627">
        <f t="shared" si="57"/>
        <v>251</v>
      </c>
    </row>
    <row r="376" spans="1:53">
      <c r="A376" s="105">
        <f t="shared" si="52"/>
        <v>365</v>
      </c>
      <c r="B376" s="745">
        <v>42734</v>
      </c>
      <c r="C376" s="746" t="s">
        <v>1771</v>
      </c>
      <c r="D376" s="747">
        <v>4856</v>
      </c>
      <c r="E376" s="747">
        <v>4724</v>
      </c>
      <c r="F376" s="747">
        <v>4663</v>
      </c>
      <c r="G376" s="747">
        <v>4477</v>
      </c>
      <c r="H376" s="747">
        <v>4575</v>
      </c>
      <c r="I376" s="747">
        <v>4763</v>
      </c>
      <c r="J376" s="747">
        <v>5006</v>
      </c>
      <c r="K376" s="747">
        <v>5185</v>
      </c>
      <c r="L376" s="747">
        <v>5286</v>
      </c>
      <c r="M376" s="747">
        <v>5288</v>
      </c>
      <c r="N376" s="747">
        <v>5259</v>
      </c>
      <c r="O376" s="747">
        <v>5140</v>
      </c>
      <c r="P376" s="747">
        <v>5093</v>
      </c>
      <c r="Q376" s="747">
        <v>5049</v>
      </c>
      <c r="R376" s="747">
        <v>5041</v>
      </c>
      <c r="S376" s="747">
        <v>5069</v>
      </c>
      <c r="T376" s="747">
        <v>5300</v>
      </c>
      <c r="U376" s="747">
        <v>5761</v>
      </c>
      <c r="V376" s="747">
        <v>5711</v>
      </c>
      <c r="W376" s="747">
        <v>5608</v>
      </c>
      <c r="X376" s="747">
        <v>5472</v>
      </c>
      <c r="Y376" s="747">
        <v>5356</v>
      </c>
      <c r="Z376" s="747">
        <v>5178</v>
      </c>
      <c r="AA376" s="747">
        <v>4877</v>
      </c>
      <c r="AC376" s="628">
        <f>AC375+1</f>
        <v>365</v>
      </c>
      <c r="AD376" s="627">
        <f>ABS(D376-AA375)</f>
        <v>207</v>
      </c>
      <c r="AE376" s="627">
        <f t="shared" si="56"/>
        <v>132</v>
      </c>
      <c r="AF376" s="627">
        <f t="shared" si="56"/>
        <v>61</v>
      </c>
      <c r="AG376" s="627">
        <f t="shared" si="56"/>
        <v>186</v>
      </c>
      <c r="AH376" s="627">
        <f t="shared" si="56"/>
        <v>98</v>
      </c>
      <c r="AI376" s="627">
        <f t="shared" si="56"/>
        <v>188</v>
      </c>
      <c r="AJ376" s="627">
        <f t="shared" si="56"/>
        <v>243</v>
      </c>
      <c r="AK376" s="627">
        <f t="shared" si="56"/>
        <v>179</v>
      </c>
      <c r="AL376" s="627">
        <f t="shared" si="56"/>
        <v>101</v>
      </c>
      <c r="AM376" s="627">
        <f t="shared" si="56"/>
        <v>2</v>
      </c>
      <c r="AN376" s="627">
        <f t="shared" si="56"/>
        <v>29</v>
      </c>
      <c r="AO376" s="627">
        <f t="shared" si="55"/>
        <v>119</v>
      </c>
      <c r="AP376" s="627">
        <f t="shared" si="55"/>
        <v>47</v>
      </c>
      <c r="AQ376" s="627">
        <f t="shared" si="57"/>
        <v>44</v>
      </c>
      <c r="AR376" s="627">
        <f t="shared" si="57"/>
        <v>8</v>
      </c>
      <c r="AS376" s="627">
        <f t="shared" si="57"/>
        <v>28</v>
      </c>
      <c r="AT376" s="627">
        <f t="shared" si="57"/>
        <v>231</v>
      </c>
      <c r="AU376" s="627">
        <f t="shared" si="57"/>
        <v>461</v>
      </c>
      <c r="AV376" s="627">
        <f t="shared" si="57"/>
        <v>50</v>
      </c>
      <c r="AW376" s="627">
        <f t="shared" si="57"/>
        <v>103</v>
      </c>
      <c r="AX376" s="627">
        <f t="shared" si="57"/>
        <v>136</v>
      </c>
      <c r="AY376" s="627">
        <f t="shared" si="57"/>
        <v>116</v>
      </c>
      <c r="AZ376" s="627">
        <f t="shared" si="57"/>
        <v>178</v>
      </c>
      <c r="BA376" s="627">
        <f t="shared" si="57"/>
        <v>301</v>
      </c>
    </row>
    <row r="377" spans="1:53" s="1189" customFormat="1">
      <c r="A377" s="1187">
        <f t="shared" si="52"/>
        <v>366</v>
      </c>
      <c r="B377" s="1188">
        <v>42735</v>
      </c>
      <c r="C377" s="1189" t="s">
        <v>1771</v>
      </c>
      <c r="D377" s="1190">
        <v>4653</v>
      </c>
      <c r="E377" s="1190">
        <v>4526</v>
      </c>
      <c r="F377" s="1190">
        <v>4470</v>
      </c>
      <c r="G377" s="1190">
        <v>4370</v>
      </c>
      <c r="H377" s="1190">
        <v>4423</v>
      </c>
      <c r="I377" s="1190">
        <v>4464</v>
      </c>
      <c r="J377" s="1190">
        <v>4632</v>
      </c>
      <c r="K377" s="1190">
        <v>4796</v>
      </c>
      <c r="L377" s="1190">
        <v>4886</v>
      </c>
      <c r="M377" s="1190">
        <v>4943</v>
      </c>
      <c r="N377" s="1190">
        <v>4936</v>
      </c>
      <c r="O377" s="1190">
        <v>4874</v>
      </c>
      <c r="P377" s="1190">
        <v>4809</v>
      </c>
      <c r="Q377" s="1190">
        <v>4761</v>
      </c>
      <c r="R377" s="1190">
        <v>4745</v>
      </c>
      <c r="S377" s="1190">
        <v>4847</v>
      </c>
      <c r="T377" s="1190">
        <v>5180</v>
      </c>
      <c r="U377" s="1190">
        <v>5703</v>
      </c>
      <c r="V377" s="1190">
        <v>5702</v>
      </c>
      <c r="W377" s="1190">
        <v>5541</v>
      </c>
      <c r="X377" s="1190">
        <v>5395</v>
      </c>
      <c r="Y377" s="1190">
        <v>5219</v>
      </c>
      <c r="Z377" s="1190">
        <v>5050</v>
      </c>
      <c r="AA377" s="1190">
        <v>4994</v>
      </c>
      <c r="AC377" s="1187">
        <f>AC376+1</f>
        <v>366</v>
      </c>
      <c r="AD377" s="1189">
        <f>ABS(D377-AA376)</f>
        <v>224</v>
      </c>
      <c r="AE377" s="1189">
        <f t="shared" ref="AE377" si="58">ABS(E377-D377)</f>
        <v>127</v>
      </c>
      <c r="AF377" s="1189">
        <f t="shared" ref="AF377" si="59">ABS(F377-E377)</f>
        <v>56</v>
      </c>
      <c r="AG377" s="1189">
        <f t="shared" ref="AG377" si="60">ABS(G377-F377)</f>
        <v>100</v>
      </c>
      <c r="AH377" s="1189">
        <f t="shared" ref="AH377" si="61">ABS(H377-G377)</f>
        <v>53</v>
      </c>
      <c r="AI377" s="1189">
        <f t="shared" ref="AI377" si="62">ABS(I377-H377)</f>
        <v>41</v>
      </c>
      <c r="AJ377" s="1189">
        <f t="shared" ref="AJ377" si="63">ABS(J377-I377)</f>
        <v>168</v>
      </c>
      <c r="AK377" s="1189">
        <f t="shared" ref="AK377" si="64">ABS(K377-J377)</f>
        <v>164</v>
      </c>
      <c r="AL377" s="1189">
        <f t="shared" ref="AL377" si="65">ABS(L377-K377)</f>
        <v>90</v>
      </c>
      <c r="AM377" s="1189">
        <f t="shared" ref="AM377" si="66">ABS(M377-L377)</f>
        <v>57</v>
      </c>
      <c r="AN377" s="1189">
        <f t="shared" ref="AN377" si="67">ABS(N377-M377)</f>
        <v>7</v>
      </c>
      <c r="AO377" s="1189">
        <f t="shared" ref="AO377" si="68">ABS(O377-N377)</f>
        <v>62</v>
      </c>
      <c r="AP377" s="1189">
        <f t="shared" ref="AP377" si="69">ABS(P377-O377)</f>
        <v>65</v>
      </c>
      <c r="AQ377" s="1189">
        <f t="shared" ref="AQ377" si="70">ABS(Q377-P377)</f>
        <v>48</v>
      </c>
      <c r="AR377" s="1189">
        <f t="shared" ref="AR377" si="71">ABS(R377-Q377)</f>
        <v>16</v>
      </c>
      <c r="AS377" s="1189">
        <f t="shared" ref="AS377" si="72">ABS(S377-R377)</f>
        <v>102</v>
      </c>
      <c r="AT377" s="1189">
        <f t="shared" ref="AT377" si="73">ABS(T377-S377)</f>
        <v>333</v>
      </c>
      <c r="AU377" s="1189">
        <f t="shared" ref="AU377" si="74">ABS(U377-T377)</f>
        <v>523</v>
      </c>
      <c r="AV377" s="1189">
        <f t="shared" ref="AV377" si="75">ABS(V377-U377)</f>
        <v>1</v>
      </c>
      <c r="AW377" s="1189">
        <f t="shared" ref="AW377" si="76">ABS(W377-V377)</f>
        <v>161</v>
      </c>
      <c r="AX377" s="1189">
        <f t="shared" ref="AX377" si="77">ABS(X377-W377)</f>
        <v>146</v>
      </c>
      <c r="AY377" s="1189">
        <f t="shared" ref="AY377" si="78">ABS(Y377-X377)</f>
        <v>176</v>
      </c>
      <c r="AZ377" s="1189">
        <f t="shared" ref="AZ377" si="79">ABS(Z377-Y377)</f>
        <v>169</v>
      </c>
      <c r="BA377" s="1189">
        <f t="shared" ref="BA377" si="80">ABS(AA377-Z377)</f>
        <v>56</v>
      </c>
    </row>
    <row r="379" spans="1:53">
      <c r="AA379" s="817"/>
    </row>
  </sheetData>
  <phoneticPr fontId="2" type="noConversion"/>
  <pageMargins left="0.5" right="0.5" top="1" bottom="1" header="0.5" footer="0.5"/>
  <pageSetup scale="69" fitToWidth="2" fitToHeight="33" orientation="landscape" r:id="rId1"/>
  <headerFooter alignWithMargins="0">
    <oddHeader>&amp;RPage &amp;P of &amp;N</oddHeader>
  </headerFooter>
  <colBreaks count="1" manualBreakCount="1">
    <brk id="28" max="3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L56"/>
  <sheetViews>
    <sheetView topLeftCell="A4" workbookViewId="0">
      <selection activeCell="I12" sqref="I12"/>
    </sheetView>
  </sheetViews>
  <sheetFormatPr defaultRowHeight="12.75"/>
  <cols>
    <col min="2" max="2" width="41.7109375" customWidth="1"/>
    <col min="3" max="3" width="9.5703125" customWidth="1"/>
    <col min="4" max="4" width="10.85546875" bestFit="1" customWidth="1"/>
    <col min="5" max="5" width="11" bestFit="1" customWidth="1"/>
    <col min="6" max="6" width="12.28515625" bestFit="1" customWidth="1"/>
    <col min="7" max="7" width="20.140625" bestFit="1" customWidth="1"/>
    <col min="8" max="8" width="15.28515625" bestFit="1" customWidth="1"/>
    <col min="9" max="9" width="12.42578125" bestFit="1" customWidth="1"/>
    <col min="10" max="10" width="23.28515625" customWidth="1"/>
    <col min="12" max="12" width="8.5703125" customWidth="1"/>
    <col min="258" max="258" width="41.7109375" customWidth="1"/>
    <col min="259" max="259" width="9.5703125" customWidth="1"/>
    <col min="260" max="260" width="10.85546875" bestFit="1" customWidth="1"/>
    <col min="261" max="261" width="11" bestFit="1" customWidth="1"/>
    <col min="262" max="262" width="12.28515625" bestFit="1" customWidth="1"/>
    <col min="263" max="263" width="20.140625" bestFit="1" customWidth="1"/>
    <col min="264" max="264" width="15.28515625" bestFit="1" customWidth="1"/>
    <col min="265" max="265" width="12.42578125" bestFit="1" customWidth="1"/>
    <col min="266" max="266" width="23.28515625" customWidth="1"/>
    <col min="268" max="268" width="8.5703125" customWidth="1"/>
    <col min="514" max="514" width="41.7109375" customWidth="1"/>
    <col min="515" max="515" width="9.5703125" customWidth="1"/>
    <col min="516" max="516" width="10.85546875" bestFit="1" customWidth="1"/>
    <col min="517" max="517" width="11" bestFit="1" customWidth="1"/>
    <col min="518" max="518" width="12.28515625" bestFit="1" customWidth="1"/>
    <col min="519" max="519" width="20.140625" bestFit="1" customWidth="1"/>
    <col min="520" max="520" width="15.28515625" bestFit="1" customWidth="1"/>
    <col min="521" max="521" width="12.42578125" bestFit="1" customWidth="1"/>
    <col min="522" max="522" width="23.28515625" customWidth="1"/>
    <col min="524" max="524" width="8.5703125" customWidth="1"/>
    <col min="770" max="770" width="41.7109375" customWidth="1"/>
    <col min="771" max="771" width="9.5703125" customWidth="1"/>
    <col min="772" max="772" width="10.85546875" bestFit="1" customWidth="1"/>
    <col min="773" max="773" width="11" bestFit="1" customWidth="1"/>
    <col min="774" max="774" width="12.28515625" bestFit="1" customWidth="1"/>
    <col min="775" max="775" width="20.140625" bestFit="1" customWidth="1"/>
    <col min="776" max="776" width="15.28515625" bestFit="1" customWidth="1"/>
    <col min="777" max="777" width="12.42578125" bestFit="1" customWidth="1"/>
    <col min="778" max="778" width="23.28515625" customWidth="1"/>
    <col min="780" max="780" width="8.5703125" customWidth="1"/>
    <col min="1026" max="1026" width="41.7109375" customWidth="1"/>
    <col min="1027" max="1027" width="9.5703125" customWidth="1"/>
    <col min="1028" max="1028" width="10.85546875" bestFit="1" customWidth="1"/>
    <col min="1029" max="1029" width="11" bestFit="1" customWidth="1"/>
    <col min="1030" max="1030" width="12.28515625" bestFit="1" customWidth="1"/>
    <col min="1031" max="1031" width="20.140625" bestFit="1" customWidth="1"/>
    <col min="1032" max="1032" width="15.28515625" bestFit="1" customWidth="1"/>
    <col min="1033" max="1033" width="12.42578125" bestFit="1" customWidth="1"/>
    <col min="1034" max="1034" width="23.28515625" customWidth="1"/>
    <col min="1036" max="1036" width="8.5703125" customWidth="1"/>
    <col min="1282" max="1282" width="41.7109375" customWidth="1"/>
    <col min="1283" max="1283" width="9.5703125" customWidth="1"/>
    <col min="1284" max="1284" width="10.85546875" bestFit="1" customWidth="1"/>
    <col min="1285" max="1285" width="11" bestFit="1" customWidth="1"/>
    <col min="1286" max="1286" width="12.28515625" bestFit="1" customWidth="1"/>
    <col min="1287" max="1287" width="20.140625" bestFit="1" customWidth="1"/>
    <col min="1288" max="1288" width="15.28515625" bestFit="1" customWidth="1"/>
    <col min="1289" max="1289" width="12.42578125" bestFit="1" customWidth="1"/>
    <col min="1290" max="1290" width="23.28515625" customWidth="1"/>
    <col min="1292" max="1292" width="8.5703125" customWidth="1"/>
    <col min="1538" max="1538" width="41.7109375" customWidth="1"/>
    <col min="1539" max="1539" width="9.5703125" customWidth="1"/>
    <col min="1540" max="1540" width="10.85546875" bestFit="1" customWidth="1"/>
    <col min="1541" max="1541" width="11" bestFit="1" customWidth="1"/>
    <col min="1542" max="1542" width="12.28515625" bestFit="1" customWidth="1"/>
    <col min="1543" max="1543" width="20.140625" bestFit="1" customWidth="1"/>
    <col min="1544" max="1544" width="15.28515625" bestFit="1" customWidth="1"/>
    <col min="1545" max="1545" width="12.42578125" bestFit="1" customWidth="1"/>
    <col min="1546" max="1546" width="23.28515625" customWidth="1"/>
    <col min="1548" max="1548" width="8.5703125" customWidth="1"/>
    <col min="1794" max="1794" width="41.7109375" customWidth="1"/>
    <col min="1795" max="1795" width="9.5703125" customWidth="1"/>
    <col min="1796" max="1796" width="10.85546875" bestFit="1" customWidth="1"/>
    <col min="1797" max="1797" width="11" bestFit="1" customWidth="1"/>
    <col min="1798" max="1798" width="12.28515625" bestFit="1" customWidth="1"/>
    <col min="1799" max="1799" width="20.140625" bestFit="1" customWidth="1"/>
    <col min="1800" max="1800" width="15.28515625" bestFit="1" customWidth="1"/>
    <col min="1801" max="1801" width="12.42578125" bestFit="1" customWidth="1"/>
    <col min="1802" max="1802" width="23.28515625" customWidth="1"/>
    <col min="1804" max="1804" width="8.5703125" customWidth="1"/>
    <col min="2050" max="2050" width="41.7109375" customWidth="1"/>
    <col min="2051" max="2051" width="9.5703125" customWidth="1"/>
    <col min="2052" max="2052" width="10.85546875" bestFit="1" customWidth="1"/>
    <col min="2053" max="2053" width="11" bestFit="1" customWidth="1"/>
    <col min="2054" max="2054" width="12.28515625" bestFit="1" customWidth="1"/>
    <col min="2055" max="2055" width="20.140625" bestFit="1" customWidth="1"/>
    <col min="2056" max="2056" width="15.28515625" bestFit="1" customWidth="1"/>
    <col min="2057" max="2057" width="12.42578125" bestFit="1" customWidth="1"/>
    <col min="2058" max="2058" width="23.28515625" customWidth="1"/>
    <col min="2060" max="2060" width="8.5703125" customWidth="1"/>
    <col min="2306" max="2306" width="41.7109375" customWidth="1"/>
    <col min="2307" max="2307" width="9.5703125" customWidth="1"/>
    <col min="2308" max="2308" width="10.85546875" bestFit="1" customWidth="1"/>
    <col min="2309" max="2309" width="11" bestFit="1" customWidth="1"/>
    <col min="2310" max="2310" width="12.28515625" bestFit="1" customWidth="1"/>
    <col min="2311" max="2311" width="20.140625" bestFit="1" customWidth="1"/>
    <col min="2312" max="2312" width="15.28515625" bestFit="1" customWidth="1"/>
    <col min="2313" max="2313" width="12.42578125" bestFit="1" customWidth="1"/>
    <col min="2314" max="2314" width="23.28515625" customWidth="1"/>
    <col min="2316" max="2316" width="8.5703125" customWidth="1"/>
    <col min="2562" max="2562" width="41.7109375" customWidth="1"/>
    <col min="2563" max="2563" width="9.5703125" customWidth="1"/>
    <col min="2564" max="2564" width="10.85546875" bestFit="1" customWidth="1"/>
    <col min="2565" max="2565" width="11" bestFit="1" customWidth="1"/>
    <col min="2566" max="2566" width="12.28515625" bestFit="1" customWidth="1"/>
    <col min="2567" max="2567" width="20.140625" bestFit="1" customWidth="1"/>
    <col min="2568" max="2568" width="15.28515625" bestFit="1" customWidth="1"/>
    <col min="2569" max="2569" width="12.42578125" bestFit="1" customWidth="1"/>
    <col min="2570" max="2570" width="23.28515625" customWidth="1"/>
    <col min="2572" max="2572" width="8.5703125" customWidth="1"/>
    <col min="2818" max="2818" width="41.7109375" customWidth="1"/>
    <col min="2819" max="2819" width="9.5703125" customWidth="1"/>
    <col min="2820" max="2820" width="10.85546875" bestFit="1" customWidth="1"/>
    <col min="2821" max="2821" width="11" bestFit="1" customWidth="1"/>
    <col min="2822" max="2822" width="12.28515625" bestFit="1" customWidth="1"/>
    <col min="2823" max="2823" width="20.140625" bestFit="1" customWidth="1"/>
    <col min="2824" max="2824" width="15.28515625" bestFit="1" customWidth="1"/>
    <col min="2825" max="2825" width="12.42578125" bestFit="1" customWidth="1"/>
    <col min="2826" max="2826" width="23.28515625" customWidth="1"/>
    <col min="2828" max="2828" width="8.5703125" customWidth="1"/>
    <col min="3074" max="3074" width="41.7109375" customWidth="1"/>
    <col min="3075" max="3075" width="9.5703125" customWidth="1"/>
    <col min="3076" max="3076" width="10.85546875" bestFit="1" customWidth="1"/>
    <col min="3077" max="3077" width="11" bestFit="1" customWidth="1"/>
    <col min="3078" max="3078" width="12.28515625" bestFit="1" customWidth="1"/>
    <col min="3079" max="3079" width="20.140625" bestFit="1" customWidth="1"/>
    <col min="3080" max="3080" width="15.28515625" bestFit="1" customWidth="1"/>
    <col min="3081" max="3081" width="12.42578125" bestFit="1" customWidth="1"/>
    <col min="3082" max="3082" width="23.28515625" customWidth="1"/>
    <col min="3084" max="3084" width="8.5703125" customWidth="1"/>
    <col min="3330" max="3330" width="41.7109375" customWidth="1"/>
    <col min="3331" max="3331" width="9.5703125" customWidth="1"/>
    <col min="3332" max="3332" width="10.85546875" bestFit="1" customWidth="1"/>
    <col min="3333" max="3333" width="11" bestFit="1" customWidth="1"/>
    <col min="3334" max="3334" width="12.28515625" bestFit="1" customWidth="1"/>
    <col min="3335" max="3335" width="20.140625" bestFit="1" customWidth="1"/>
    <col min="3336" max="3336" width="15.28515625" bestFit="1" customWidth="1"/>
    <col min="3337" max="3337" width="12.42578125" bestFit="1" customWidth="1"/>
    <col min="3338" max="3338" width="23.28515625" customWidth="1"/>
    <col min="3340" max="3340" width="8.5703125" customWidth="1"/>
    <col min="3586" max="3586" width="41.7109375" customWidth="1"/>
    <col min="3587" max="3587" width="9.5703125" customWidth="1"/>
    <col min="3588" max="3588" width="10.85546875" bestFit="1" customWidth="1"/>
    <col min="3589" max="3589" width="11" bestFit="1" customWidth="1"/>
    <col min="3590" max="3590" width="12.28515625" bestFit="1" customWidth="1"/>
    <col min="3591" max="3591" width="20.140625" bestFit="1" customWidth="1"/>
    <col min="3592" max="3592" width="15.28515625" bestFit="1" customWidth="1"/>
    <col min="3593" max="3593" width="12.42578125" bestFit="1" customWidth="1"/>
    <col min="3594" max="3594" width="23.28515625" customWidth="1"/>
    <col min="3596" max="3596" width="8.5703125" customWidth="1"/>
    <col min="3842" max="3842" width="41.7109375" customWidth="1"/>
    <col min="3843" max="3843" width="9.5703125" customWidth="1"/>
    <col min="3844" max="3844" width="10.85546875" bestFit="1" customWidth="1"/>
    <col min="3845" max="3845" width="11" bestFit="1" customWidth="1"/>
    <col min="3846" max="3846" width="12.28515625" bestFit="1" customWidth="1"/>
    <col min="3847" max="3847" width="20.140625" bestFit="1" customWidth="1"/>
    <col min="3848" max="3848" width="15.28515625" bestFit="1" customWidth="1"/>
    <col min="3849" max="3849" width="12.42578125" bestFit="1" customWidth="1"/>
    <col min="3850" max="3850" width="23.28515625" customWidth="1"/>
    <col min="3852" max="3852" width="8.5703125" customWidth="1"/>
    <col min="4098" max="4098" width="41.7109375" customWidth="1"/>
    <col min="4099" max="4099" width="9.5703125" customWidth="1"/>
    <col min="4100" max="4100" width="10.85546875" bestFit="1" customWidth="1"/>
    <col min="4101" max="4101" width="11" bestFit="1" customWidth="1"/>
    <col min="4102" max="4102" width="12.28515625" bestFit="1" customWidth="1"/>
    <col min="4103" max="4103" width="20.140625" bestFit="1" customWidth="1"/>
    <col min="4104" max="4104" width="15.28515625" bestFit="1" customWidth="1"/>
    <col min="4105" max="4105" width="12.42578125" bestFit="1" customWidth="1"/>
    <col min="4106" max="4106" width="23.28515625" customWidth="1"/>
    <col min="4108" max="4108" width="8.5703125" customWidth="1"/>
    <col min="4354" max="4354" width="41.7109375" customWidth="1"/>
    <col min="4355" max="4355" width="9.5703125" customWidth="1"/>
    <col min="4356" max="4356" width="10.85546875" bestFit="1" customWidth="1"/>
    <col min="4357" max="4357" width="11" bestFit="1" customWidth="1"/>
    <col min="4358" max="4358" width="12.28515625" bestFit="1" customWidth="1"/>
    <col min="4359" max="4359" width="20.140625" bestFit="1" customWidth="1"/>
    <col min="4360" max="4360" width="15.28515625" bestFit="1" customWidth="1"/>
    <col min="4361" max="4361" width="12.42578125" bestFit="1" customWidth="1"/>
    <col min="4362" max="4362" width="23.28515625" customWidth="1"/>
    <col min="4364" max="4364" width="8.5703125" customWidth="1"/>
    <col min="4610" max="4610" width="41.7109375" customWidth="1"/>
    <col min="4611" max="4611" width="9.5703125" customWidth="1"/>
    <col min="4612" max="4612" width="10.85546875" bestFit="1" customWidth="1"/>
    <col min="4613" max="4613" width="11" bestFit="1" customWidth="1"/>
    <col min="4614" max="4614" width="12.28515625" bestFit="1" customWidth="1"/>
    <col min="4615" max="4615" width="20.140625" bestFit="1" customWidth="1"/>
    <col min="4616" max="4616" width="15.28515625" bestFit="1" customWidth="1"/>
    <col min="4617" max="4617" width="12.42578125" bestFit="1" customWidth="1"/>
    <col min="4618" max="4618" width="23.28515625" customWidth="1"/>
    <col min="4620" max="4620" width="8.5703125" customWidth="1"/>
    <col min="4866" max="4866" width="41.7109375" customWidth="1"/>
    <col min="4867" max="4867" width="9.5703125" customWidth="1"/>
    <col min="4868" max="4868" width="10.85546875" bestFit="1" customWidth="1"/>
    <col min="4869" max="4869" width="11" bestFit="1" customWidth="1"/>
    <col min="4870" max="4870" width="12.28515625" bestFit="1" customWidth="1"/>
    <col min="4871" max="4871" width="20.140625" bestFit="1" customWidth="1"/>
    <col min="4872" max="4872" width="15.28515625" bestFit="1" customWidth="1"/>
    <col min="4873" max="4873" width="12.42578125" bestFit="1" customWidth="1"/>
    <col min="4874" max="4874" width="23.28515625" customWidth="1"/>
    <col min="4876" max="4876" width="8.5703125" customWidth="1"/>
    <col min="5122" max="5122" width="41.7109375" customWidth="1"/>
    <col min="5123" max="5123" width="9.5703125" customWidth="1"/>
    <col min="5124" max="5124" width="10.85546875" bestFit="1" customWidth="1"/>
    <col min="5125" max="5125" width="11" bestFit="1" customWidth="1"/>
    <col min="5126" max="5126" width="12.28515625" bestFit="1" customWidth="1"/>
    <col min="5127" max="5127" width="20.140625" bestFit="1" customWidth="1"/>
    <col min="5128" max="5128" width="15.28515625" bestFit="1" customWidth="1"/>
    <col min="5129" max="5129" width="12.42578125" bestFit="1" customWidth="1"/>
    <col min="5130" max="5130" width="23.28515625" customWidth="1"/>
    <col min="5132" max="5132" width="8.5703125" customWidth="1"/>
    <col min="5378" max="5378" width="41.7109375" customWidth="1"/>
    <col min="5379" max="5379" width="9.5703125" customWidth="1"/>
    <col min="5380" max="5380" width="10.85546875" bestFit="1" customWidth="1"/>
    <col min="5381" max="5381" width="11" bestFit="1" customWidth="1"/>
    <col min="5382" max="5382" width="12.28515625" bestFit="1" customWidth="1"/>
    <col min="5383" max="5383" width="20.140625" bestFit="1" customWidth="1"/>
    <col min="5384" max="5384" width="15.28515625" bestFit="1" customWidth="1"/>
    <col min="5385" max="5385" width="12.42578125" bestFit="1" customWidth="1"/>
    <col min="5386" max="5386" width="23.28515625" customWidth="1"/>
    <col min="5388" max="5388" width="8.5703125" customWidth="1"/>
    <col min="5634" max="5634" width="41.7109375" customWidth="1"/>
    <col min="5635" max="5635" width="9.5703125" customWidth="1"/>
    <col min="5636" max="5636" width="10.85546875" bestFit="1" customWidth="1"/>
    <col min="5637" max="5637" width="11" bestFit="1" customWidth="1"/>
    <col min="5638" max="5638" width="12.28515625" bestFit="1" customWidth="1"/>
    <col min="5639" max="5639" width="20.140625" bestFit="1" customWidth="1"/>
    <col min="5640" max="5640" width="15.28515625" bestFit="1" customWidth="1"/>
    <col min="5641" max="5641" width="12.42578125" bestFit="1" customWidth="1"/>
    <col min="5642" max="5642" width="23.28515625" customWidth="1"/>
    <col min="5644" max="5644" width="8.5703125" customWidth="1"/>
    <col min="5890" max="5890" width="41.7109375" customWidth="1"/>
    <col min="5891" max="5891" width="9.5703125" customWidth="1"/>
    <col min="5892" max="5892" width="10.85546875" bestFit="1" customWidth="1"/>
    <col min="5893" max="5893" width="11" bestFit="1" customWidth="1"/>
    <col min="5894" max="5894" width="12.28515625" bestFit="1" customWidth="1"/>
    <col min="5895" max="5895" width="20.140625" bestFit="1" customWidth="1"/>
    <col min="5896" max="5896" width="15.28515625" bestFit="1" customWidth="1"/>
    <col min="5897" max="5897" width="12.42578125" bestFit="1" customWidth="1"/>
    <col min="5898" max="5898" width="23.28515625" customWidth="1"/>
    <col min="5900" max="5900" width="8.5703125" customWidth="1"/>
    <col min="6146" max="6146" width="41.7109375" customWidth="1"/>
    <col min="6147" max="6147" width="9.5703125" customWidth="1"/>
    <col min="6148" max="6148" width="10.85546875" bestFit="1" customWidth="1"/>
    <col min="6149" max="6149" width="11" bestFit="1" customWidth="1"/>
    <col min="6150" max="6150" width="12.28515625" bestFit="1" customWidth="1"/>
    <col min="6151" max="6151" width="20.140625" bestFit="1" customWidth="1"/>
    <col min="6152" max="6152" width="15.28515625" bestFit="1" customWidth="1"/>
    <col min="6153" max="6153" width="12.42578125" bestFit="1" customWidth="1"/>
    <col min="6154" max="6154" width="23.28515625" customWidth="1"/>
    <col min="6156" max="6156" width="8.5703125" customWidth="1"/>
    <col min="6402" max="6402" width="41.7109375" customWidth="1"/>
    <col min="6403" max="6403" width="9.5703125" customWidth="1"/>
    <col min="6404" max="6404" width="10.85546875" bestFit="1" customWidth="1"/>
    <col min="6405" max="6405" width="11" bestFit="1" customWidth="1"/>
    <col min="6406" max="6406" width="12.28515625" bestFit="1" customWidth="1"/>
    <col min="6407" max="6407" width="20.140625" bestFit="1" customWidth="1"/>
    <col min="6408" max="6408" width="15.28515625" bestFit="1" customWidth="1"/>
    <col min="6409" max="6409" width="12.42578125" bestFit="1" customWidth="1"/>
    <col min="6410" max="6410" width="23.28515625" customWidth="1"/>
    <col min="6412" max="6412" width="8.5703125" customWidth="1"/>
    <col min="6658" max="6658" width="41.7109375" customWidth="1"/>
    <col min="6659" max="6659" width="9.5703125" customWidth="1"/>
    <col min="6660" max="6660" width="10.85546875" bestFit="1" customWidth="1"/>
    <col min="6661" max="6661" width="11" bestFit="1" customWidth="1"/>
    <col min="6662" max="6662" width="12.28515625" bestFit="1" customWidth="1"/>
    <col min="6663" max="6663" width="20.140625" bestFit="1" customWidth="1"/>
    <col min="6664" max="6664" width="15.28515625" bestFit="1" customWidth="1"/>
    <col min="6665" max="6665" width="12.42578125" bestFit="1" customWidth="1"/>
    <col min="6666" max="6666" width="23.28515625" customWidth="1"/>
    <col min="6668" max="6668" width="8.5703125" customWidth="1"/>
    <col min="6914" max="6914" width="41.7109375" customWidth="1"/>
    <col min="6915" max="6915" width="9.5703125" customWidth="1"/>
    <col min="6916" max="6916" width="10.85546875" bestFit="1" customWidth="1"/>
    <col min="6917" max="6917" width="11" bestFit="1" customWidth="1"/>
    <col min="6918" max="6918" width="12.28515625" bestFit="1" customWidth="1"/>
    <col min="6919" max="6919" width="20.140625" bestFit="1" customWidth="1"/>
    <col min="6920" max="6920" width="15.28515625" bestFit="1" customWidth="1"/>
    <col min="6921" max="6921" width="12.42578125" bestFit="1" customWidth="1"/>
    <col min="6922" max="6922" width="23.28515625" customWidth="1"/>
    <col min="6924" max="6924" width="8.5703125" customWidth="1"/>
    <col min="7170" max="7170" width="41.7109375" customWidth="1"/>
    <col min="7171" max="7171" width="9.5703125" customWidth="1"/>
    <col min="7172" max="7172" width="10.85546875" bestFit="1" customWidth="1"/>
    <col min="7173" max="7173" width="11" bestFit="1" customWidth="1"/>
    <col min="7174" max="7174" width="12.28515625" bestFit="1" customWidth="1"/>
    <col min="7175" max="7175" width="20.140625" bestFit="1" customWidth="1"/>
    <col min="7176" max="7176" width="15.28515625" bestFit="1" customWidth="1"/>
    <col min="7177" max="7177" width="12.42578125" bestFit="1" customWidth="1"/>
    <col min="7178" max="7178" width="23.28515625" customWidth="1"/>
    <col min="7180" max="7180" width="8.5703125" customWidth="1"/>
    <col min="7426" max="7426" width="41.7109375" customWidth="1"/>
    <col min="7427" max="7427" width="9.5703125" customWidth="1"/>
    <col min="7428" max="7428" width="10.85546875" bestFit="1" customWidth="1"/>
    <col min="7429" max="7429" width="11" bestFit="1" customWidth="1"/>
    <col min="7430" max="7430" width="12.28515625" bestFit="1" customWidth="1"/>
    <col min="7431" max="7431" width="20.140625" bestFit="1" customWidth="1"/>
    <col min="7432" max="7432" width="15.28515625" bestFit="1" customWidth="1"/>
    <col min="7433" max="7433" width="12.42578125" bestFit="1" customWidth="1"/>
    <col min="7434" max="7434" width="23.28515625" customWidth="1"/>
    <col min="7436" max="7436" width="8.5703125" customWidth="1"/>
    <col min="7682" max="7682" width="41.7109375" customWidth="1"/>
    <col min="7683" max="7683" width="9.5703125" customWidth="1"/>
    <col min="7684" max="7684" width="10.85546875" bestFit="1" customWidth="1"/>
    <col min="7685" max="7685" width="11" bestFit="1" customWidth="1"/>
    <col min="7686" max="7686" width="12.28515625" bestFit="1" customWidth="1"/>
    <col min="7687" max="7687" width="20.140625" bestFit="1" customWidth="1"/>
    <col min="7688" max="7688" width="15.28515625" bestFit="1" customWidth="1"/>
    <col min="7689" max="7689" width="12.42578125" bestFit="1" customWidth="1"/>
    <col min="7690" max="7690" width="23.28515625" customWidth="1"/>
    <col min="7692" max="7692" width="8.5703125" customWidth="1"/>
    <col min="7938" max="7938" width="41.7109375" customWidth="1"/>
    <col min="7939" max="7939" width="9.5703125" customWidth="1"/>
    <col min="7940" max="7940" width="10.85546875" bestFit="1" customWidth="1"/>
    <col min="7941" max="7941" width="11" bestFit="1" customWidth="1"/>
    <col min="7942" max="7942" width="12.28515625" bestFit="1" customWidth="1"/>
    <col min="7943" max="7943" width="20.140625" bestFit="1" customWidth="1"/>
    <col min="7944" max="7944" width="15.28515625" bestFit="1" customWidth="1"/>
    <col min="7945" max="7945" width="12.42578125" bestFit="1" customWidth="1"/>
    <col min="7946" max="7946" width="23.28515625" customWidth="1"/>
    <col min="7948" max="7948" width="8.5703125" customWidth="1"/>
    <col min="8194" max="8194" width="41.7109375" customWidth="1"/>
    <col min="8195" max="8195" width="9.5703125" customWidth="1"/>
    <col min="8196" max="8196" width="10.85546875" bestFit="1" customWidth="1"/>
    <col min="8197" max="8197" width="11" bestFit="1" customWidth="1"/>
    <col min="8198" max="8198" width="12.28515625" bestFit="1" customWidth="1"/>
    <col min="8199" max="8199" width="20.140625" bestFit="1" customWidth="1"/>
    <col min="8200" max="8200" width="15.28515625" bestFit="1" customWidth="1"/>
    <col min="8201" max="8201" width="12.42578125" bestFit="1" customWidth="1"/>
    <col min="8202" max="8202" width="23.28515625" customWidth="1"/>
    <col min="8204" max="8204" width="8.5703125" customWidth="1"/>
    <col min="8450" max="8450" width="41.7109375" customWidth="1"/>
    <col min="8451" max="8451" width="9.5703125" customWidth="1"/>
    <col min="8452" max="8452" width="10.85546875" bestFit="1" customWidth="1"/>
    <col min="8453" max="8453" width="11" bestFit="1" customWidth="1"/>
    <col min="8454" max="8454" width="12.28515625" bestFit="1" customWidth="1"/>
    <col min="8455" max="8455" width="20.140625" bestFit="1" customWidth="1"/>
    <col min="8456" max="8456" width="15.28515625" bestFit="1" customWidth="1"/>
    <col min="8457" max="8457" width="12.42578125" bestFit="1" customWidth="1"/>
    <col min="8458" max="8458" width="23.28515625" customWidth="1"/>
    <col min="8460" max="8460" width="8.5703125" customWidth="1"/>
    <col min="8706" max="8706" width="41.7109375" customWidth="1"/>
    <col min="8707" max="8707" width="9.5703125" customWidth="1"/>
    <col min="8708" max="8708" width="10.85546875" bestFit="1" customWidth="1"/>
    <col min="8709" max="8709" width="11" bestFit="1" customWidth="1"/>
    <col min="8710" max="8710" width="12.28515625" bestFit="1" customWidth="1"/>
    <col min="8711" max="8711" width="20.140625" bestFit="1" customWidth="1"/>
    <col min="8712" max="8712" width="15.28515625" bestFit="1" customWidth="1"/>
    <col min="8713" max="8713" width="12.42578125" bestFit="1" customWidth="1"/>
    <col min="8714" max="8714" width="23.28515625" customWidth="1"/>
    <col min="8716" max="8716" width="8.5703125" customWidth="1"/>
    <col min="8962" max="8962" width="41.7109375" customWidth="1"/>
    <col min="8963" max="8963" width="9.5703125" customWidth="1"/>
    <col min="8964" max="8964" width="10.85546875" bestFit="1" customWidth="1"/>
    <col min="8965" max="8965" width="11" bestFit="1" customWidth="1"/>
    <col min="8966" max="8966" width="12.28515625" bestFit="1" customWidth="1"/>
    <col min="8967" max="8967" width="20.140625" bestFit="1" customWidth="1"/>
    <col min="8968" max="8968" width="15.28515625" bestFit="1" customWidth="1"/>
    <col min="8969" max="8969" width="12.42578125" bestFit="1" customWidth="1"/>
    <col min="8970" max="8970" width="23.28515625" customWidth="1"/>
    <col min="8972" max="8972" width="8.5703125" customWidth="1"/>
    <col min="9218" max="9218" width="41.7109375" customWidth="1"/>
    <col min="9219" max="9219" width="9.5703125" customWidth="1"/>
    <col min="9220" max="9220" width="10.85546875" bestFit="1" customWidth="1"/>
    <col min="9221" max="9221" width="11" bestFit="1" customWidth="1"/>
    <col min="9222" max="9222" width="12.28515625" bestFit="1" customWidth="1"/>
    <col min="9223" max="9223" width="20.140625" bestFit="1" customWidth="1"/>
    <col min="9224" max="9224" width="15.28515625" bestFit="1" customWidth="1"/>
    <col min="9225" max="9225" width="12.42578125" bestFit="1" customWidth="1"/>
    <col min="9226" max="9226" width="23.28515625" customWidth="1"/>
    <col min="9228" max="9228" width="8.5703125" customWidth="1"/>
    <col min="9474" max="9474" width="41.7109375" customWidth="1"/>
    <col min="9475" max="9475" width="9.5703125" customWidth="1"/>
    <col min="9476" max="9476" width="10.85546875" bestFit="1" customWidth="1"/>
    <col min="9477" max="9477" width="11" bestFit="1" customWidth="1"/>
    <col min="9478" max="9478" width="12.28515625" bestFit="1" customWidth="1"/>
    <col min="9479" max="9479" width="20.140625" bestFit="1" customWidth="1"/>
    <col min="9480" max="9480" width="15.28515625" bestFit="1" customWidth="1"/>
    <col min="9481" max="9481" width="12.42578125" bestFit="1" customWidth="1"/>
    <col min="9482" max="9482" width="23.28515625" customWidth="1"/>
    <col min="9484" max="9484" width="8.5703125" customWidth="1"/>
    <col min="9730" max="9730" width="41.7109375" customWidth="1"/>
    <col min="9731" max="9731" width="9.5703125" customWidth="1"/>
    <col min="9732" max="9732" width="10.85546875" bestFit="1" customWidth="1"/>
    <col min="9733" max="9733" width="11" bestFit="1" customWidth="1"/>
    <col min="9734" max="9734" width="12.28515625" bestFit="1" customWidth="1"/>
    <col min="9735" max="9735" width="20.140625" bestFit="1" customWidth="1"/>
    <col min="9736" max="9736" width="15.28515625" bestFit="1" customWidth="1"/>
    <col min="9737" max="9737" width="12.42578125" bestFit="1" customWidth="1"/>
    <col min="9738" max="9738" width="23.28515625" customWidth="1"/>
    <col min="9740" max="9740" width="8.5703125" customWidth="1"/>
    <col min="9986" max="9986" width="41.7109375" customWidth="1"/>
    <col min="9987" max="9987" width="9.5703125" customWidth="1"/>
    <col min="9988" max="9988" width="10.85546875" bestFit="1" customWidth="1"/>
    <col min="9989" max="9989" width="11" bestFit="1" customWidth="1"/>
    <col min="9990" max="9990" width="12.28515625" bestFit="1" customWidth="1"/>
    <col min="9991" max="9991" width="20.140625" bestFit="1" customWidth="1"/>
    <col min="9992" max="9992" width="15.28515625" bestFit="1" customWidth="1"/>
    <col min="9993" max="9993" width="12.42578125" bestFit="1" customWidth="1"/>
    <col min="9994" max="9994" width="23.28515625" customWidth="1"/>
    <col min="9996" max="9996" width="8.5703125" customWidth="1"/>
    <col min="10242" max="10242" width="41.7109375" customWidth="1"/>
    <col min="10243" max="10243" width="9.5703125" customWidth="1"/>
    <col min="10244" max="10244" width="10.85546875" bestFit="1" customWidth="1"/>
    <col min="10245" max="10245" width="11" bestFit="1" customWidth="1"/>
    <col min="10246" max="10246" width="12.28515625" bestFit="1" customWidth="1"/>
    <col min="10247" max="10247" width="20.140625" bestFit="1" customWidth="1"/>
    <col min="10248" max="10248" width="15.28515625" bestFit="1" customWidth="1"/>
    <col min="10249" max="10249" width="12.42578125" bestFit="1" customWidth="1"/>
    <col min="10250" max="10250" width="23.28515625" customWidth="1"/>
    <col min="10252" max="10252" width="8.5703125" customWidth="1"/>
    <col min="10498" max="10498" width="41.7109375" customWidth="1"/>
    <col min="10499" max="10499" width="9.5703125" customWidth="1"/>
    <col min="10500" max="10500" width="10.85546875" bestFit="1" customWidth="1"/>
    <col min="10501" max="10501" width="11" bestFit="1" customWidth="1"/>
    <col min="10502" max="10502" width="12.28515625" bestFit="1" customWidth="1"/>
    <col min="10503" max="10503" width="20.140625" bestFit="1" customWidth="1"/>
    <col min="10504" max="10504" width="15.28515625" bestFit="1" customWidth="1"/>
    <col min="10505" max="10505" width="12.42578125" bestFit="1" customWidth="1"/>
    <col min="10506" max="10506" width="23.28515625" customWidth="1"/>
    <col min="10508" max="10508" width="8.5703125" customWidth="1"/>
    <col min="10754" max="10754" width="41.7109375" customWidth="1"/>
    <col min="10755" max="10755" width="9.5703125" customWidth="1"/>
    <col min="10756" max="10756" width="10.85546875" bestFit="1" customWidth="1"/>
    <col min="10757" max="10757" width="11" bestFit="1" customWidth="1"/>
    <col min="10758" max="10758" width="12.28515625" bestFit="1" customWidth="1"/>
    <col min="10759" max="10759" width="20.140625" bestFit="1" customWidth="1"/>
    <col min="10760" max="10760" width="15.28515625" bestFit="1" customWidth="1"/>
    <col min="10761" max="10761" width="12.42578125" bestFit="1" customWidth="1"/>
    <col min="10762" max="10762" width="23.28515625" customWidth="1"/>
    <col min="10764" max="10764" width="8.5703125" customWidth="1"/>
    <col min="11010" max="11010" width="41.7109375" customWidth="1"/>
    <col min="11011" max="11011" width="9.5703125" customWidth="1"/>
    <col min="11012" max="11012" width="10.85546875" bestFit="1" customWidth="1"/>
    <col min="11013" max="11013" width="11" bestFit="1" customWidth="1"/>
    <col min="11014" max="11014" width="12.28515625" bestFit="1" customWidth="1"/>
    <col min="11015" max="11015" width="20.140625" bestFit="1" customWidth="1"/>
    <col min="11016" max="11016" width="15.28515625" bestFit="1" customWidth="1"/>
    <col min="11017" max="11017" width="12.42578125" bestFit="1" customWidth="1"/>
    <col min="11018" max="11018" width="23.28515625" customWidth="1"/>
    <col min="11020" max="11020" width="8.5703125" customWidth="1"/>
    <col min="11266" max="11266" width="41.7109375" customWidth="1"/>
    <col min="11267" max="11267" width="9.5703125" customWidth="1"/>
    <col min="11268" max="11268" width="10.85546875" bestFit="1" customWidth="1"/>
    <col min="11269" max="11269" width="11" bestFit="1" customWidth="1"/>
    <col min="11270" max="11270" width="12.28515625" bestFit="1" customWidth="1"/>
    <col min="11271" max="11271" width="20.140625" bestFit="1" customWidth="1"/>
    <col min="11272" max="11272" width="15.28515625" bestFit="1" customWidth="1"/>
    <col min="11273" max="11273" width="12.42578125" bestFit="1" customWidth="1"/>
    <col min="11274" max="11274" width="23.28515625" customWidth="1"/>
    <col min="11276" max="11276" width="8.5703125" customWidth="1"/>
    <col min="11522" max="11522" width="41.7109375" customWidth="1"/>
    <col min="11523" max="11523" width="9.5703125" customWidth="1"/>
    <col min="11524" max="11524" width="10.85546875" bestFit="1" customWidth="1"/>
    <col min="11525" max="11525" width="11" bestFit="1" customWidth="1"/>
    <col min="11526" max="11526" width="12.28515625" bestFit="1" customWidth="1"/>
    <col min="11527" max="11527" width="20.140625" bestFit="1" customWidth="1"/>
    <col min="11528" max="11528" width="15.28515625" bestFit="1" customWidth="1"/>
    <col min="11529" max="11529" width="12.42578125" bestFit="1" customWidth="1"/>
    <col min="11530" max="11530" width="23.28515625" customWidth="1"/>
    <col min="11532" max="11532" width="8.5703125" customWidth="1"/>
    <col min="11778" max="11778" width="41.7109375" customWidth="1"/>
    <col min="11779" max="11779" width="9.5703125" customWidth="1"/>
    <col min="11780" max="11780" width="10.85546875" bestFit="1" customWidth="1"/>
    <col min="11781" max="11781" width="11" bestFit="1" customWidth="1"/>
    <col min="11782" max="11782" width="12.28515625" bestFit="1" customWidth="1"/>
    <col min="11783" max="11783" width="20.140625" bestFit="1" customWidth="1"/>
    <col min="11784" max="11784" width="15.28515625" bestFit="1" customWidth="1"/>
    <col min="11785" max="11785" width="12.42578125" bestFit="1" customWidth="1"/>
    <col min="11786" max="11786" width="23.28515625" customWidth="1"/>
    <col min="11788" max="11788" width="8.5703125" customWidth="1"/>
    <col min="12034" max="12034" width="41.7109375" customWidth="1"/>
    <col min="12035" max="12035" width="9.5703125" customWidth="1"/>
    <col min="12036" max="12036" width="10.85546875" bestFit="1" customWidth="1"/>
    <col min="12037" max="12037" width="11" bestFit="1" customWidth="1"/>
    <col min="12038" max="12038" width="12.28515625" bestFit="1" customWidth="1"/>
    <col min="12039" max="12039" width="20.140625" bestFit="1" customWidth="1"/>
    <col min="12040" max="12040" width="15.28515625" bestFit="1" customWidth="1"/>
    <col min="12041" max="12041" width="12.42578125" bestFit="1" customWidth="1"/>
    <col min="12042" max="12042" width="23.28515625" customWidth="1"/>
    <col min="12044" max="12044" width="8.5703125" customWidth="1"/>
    <col min="12290" max="12290" width="41.7109375" customWidth="1"/>
    <col min="12291" max="12291" width="9.5703125" customWidth="1"/>
    <col min="12292" max="12292" width="10.85546875" bestFit="1" customWidth="1"/>
    <col min="12293" max="12293" width="11" bestFit="1" customWidth="1"/>
    <col min="12294" max="12294" width="12.28515625" bestFit="1" customWidth="1"/>
    <col min="12295" max="12295" width="20.140625" bestFit="1" customWidth="1"/>
    <col min="12296" max="12296" width="15.28515625" bestFit="1" customWidth="1"/>
    <col min="12297" max="12297" width="12.42578125" bestFit="1" customWidth="1"/>
    <col min="12298" max="12298" width="23.28515625" customWidth="1"/>
    <col min="12300" max="12300" width="8.5703125" customWidth="1"/>
    <col min="12546" max="12546" width="41.7109375" customWidth="1"/>
    <col min="12547" max="12547" width="9.5703125" customWidth="1"/>
    <col min="12548" max="12548" width="10.85546875" bestFit="1" customWidth="1"/>
    <col min="12549" max="12549" width="11" bestFit="1" customWidth="1"/>
    <col min="12550" max="12550" width="12.28515625" bestFit="1" customWidth="1"/>
    <col min="12551" max="12551" width="20.140625" bestFit="1" customWidth="1"/>
    <col min="12552" max="12552" width="15.28515625" bestFit="1" customWidth="1"/>
    <col min="12553" max="12553" width="12.42578125" bestFit="1" customWidth="1"/>
    <col min="12554" max="12554" width="23.28515625" customWidth="1"/>
    <col min="12556" max="12556" width="8.5703125" customWidth="1"/>
    <col min="12802" max="12802" width="41.7109375" customWidth="1"/>
    <col min="12803" max="12803" width="9.5703125" customWidth="1"/>
    <col min="12804" max="12804" width="10.85546875" bestFit="1" customWidth="1"/>
    <col min="12805" max="12805" width="11" bestFit="1" customWidth="1"/>
    <col min="12806" max="12806" width="12.28515625" bestFit="1" customWidth="1"/>
    <col min="12807" max="12807" width="20.140625" bestFit="1" customWidth="1"/>
    <col min="12808" max="12808" width="15.28515625" bestFit="1" customWidth="1"/>
    <col min="12809" max="12809" width="12.42578125" bestFit="1" customWidth="1"/>
    <col min="12810" max="12810" width="23.28515625" customWidth="1"/>
    <col min="12812" max="12812" width="8.5703125" customWidth="1"/>
    <col min="13058" max="13058" width="41.7109375" customWidth="1"/>
    <col min="13059" max="13059" width="9.5703125" customWidth="1"/>
    <col min="13060" max="13060" width="10.85546875" bestFit="1" customWidth="1"/>
    <col min="13061" max="13061" width="11" bestFit="1" customWidth="1"/>
    <col min="13062" max="13062" width="12.28515625" bestFit="1" customWidth="1"/>
    <col min="13063" max="13063" width="20.140625" bestFit="1" customWidth="1"/>
    <col min="13064" max="13064" width="15.28515625" bestFit="1" customWidth="1"/>
    <col min="13065" max="13065" width="12.42578125" bestFit="1" customWidth="1"/>
    <col min="13066" max="13066" width="23.28515625" customWidth="1"/>
    <col min="13068" max="13068" width="8.5703125" customWidth="1"/>
    <col min="13314" max="13314" width="41.7109375" customWidth="1"/>
    <col min="13315" max="13315" width="9.5703125" customWidth="1"/>
    <col min="13316" max="13316" width="10.85546875" bestFit="1" customWidth="1"/>
    <col min="13317" max="13317" width="11" bestFit="1" customWidth="1"/>
    <col min="13318" max="13318" width="12.28515625" bestFit="1" customWidth="1"/>
    <col min="13319" max="13319" width="20.140625" bestFit="1" customWidth="1"/>
    <col min="13320" max="13320" width="15.28515625" bestFit="1" customWidth="1"/>
    <col min="13321" max="13321" width="12.42578125" bestFit="1" customWidth="1"/>
    <col min="13322" max="13322" width="23.28515625" customWidth="1"/>
    <col min="13324" max="13324" width="8.5703125" customWidth="1"/>
    <col min="13570" max="13570" width="41.7109375" customWidth="1"/>
    <col min="13571" max="13571" width="9.5703125" customWidth="1"/>
    <col min="13572" max="13572" width="10.85546875" bestFit="1" customWidth="1"/>
    <col min="13573" max="13573" width="11" bestFit="1" customWidth="1"/>
    <col min="13574" max="13574" width="12.28515625" bestFit="1" customWidth="1"/>
    <col min="13575" max="13575" width="20.140625" bestFit="1" customWidth="1"/>
    <col min="13576" max="13576" width="15.28515625" bestFit="1" customWidth="1"/>
    <col min="13577" max="13577" width="12.42578125" bestFit="1" customWidth="1"/>
    <col min="13578" max="13578" width="23.28515625" customWidth="1"/>
    <col min="13580" max="13580" width="8.5703125" customWidth="1"/>
    <col min="13826" max="13826" width="41.7109375" customWidth="1"/>
    <col min="13827" max="13827" width="9.5703125" customWidth="1"/>
    <col min="13828" max="13828" width="10.85546875" bestFit="1" customWidth="1"/>
    <col min="13829" max="13829" width="11" bestFit="1" customWidth="1"/>
    <col min="13830" max="13830" width="12.28515625" bestFit="1" customWidth="1"/>
    <col min="13831" max="13831" width="20.140625" bestFit="1" customWidth="1"/>
    <col min="13832" max="13832" width="15.28515625" bestFit="1" customWidth="1"/>
    <col min="13833" max="13833" width="12.42578125" bestFit="1" customWidth="1"/>
    <col min="13834" max="13834" width="23.28515625" customWidth="1"/>
    <col min="13836" max="13836" width="8.5703125" customWidth="1"/>
    <col min="14082" max="14082" width="41.7109375" customWidth="1"/>
    <col min="14083" max="14083" width="9.5703125" customWidth="1"/>
    <col min="14084" max="14084" width="10.85546875" bestFit="1" customWidth="1"/>
    <col min="14085" max="14085" width="11" bestFit="1" customWidth="1"/>
    <col min="14086" max="14086" width="12.28515625" bestFit="1" customWidth="1"/>
    <col min="14087" max="14087" width="20.140625" bestFit="1" customWidth="1"/>
    <col min="14088" max="14088" width="15.28515625" bestFit="1" customWidth="1"/>
    <col min="14089" max="14089" width="12.42578125" bestFit="1" customWidth="1"/>
    <col min="14090" max="14090" width="23.28515625" customWidth="1"/>
    <col min="14092" max="14092" width="8.5703125" customWidth="1"/>
    <col min="14338" max="14338" width="41.7109375" customWidth="1"/>
    <col min="14339" max="14339" width="9.5703125" customWidth="1"/>
    <col min="14340" max="14340" width="10.85546875" bestFit="1" customWidth="1"/>
    <col min="14341" max="14341" width="11" bestFit="1" customWidth="1"/>
    <col min="14342" max="14342" width="12.28515625" bestFit="1" customWidth="1"/>
    <col min="14343" max="14343" width="20.140625" bestFit="1" customWidth="1"/>
    <col min="14344" max="14344" width="15.28515625" bestFit="1" customWidth="1"/>
    <col min="14345" max="14345" width="12.42578125" bestFit="1" customWidth="1"/>
    <col min="14346" max="14346" width="23.28515625" customWidth="1"/>
    <col min="14348" max="14348" width="8.5703125" customWidth="1"/>
    <col min="14594" max="14594" width="41.7109375" customWidth="1"/>
    <col min="14595" max="14595" width="9.5703125" customWidth="1"/>
    <col min="14596" max="14596" width="10.85546875" bestFit="1" customWidth="1"/>
    <col min="14597" max="14597" width="11" bestFit="1" customWidth="1"/>
    <col min="14598" max="14598" width="12.28515625" bestFit="1" customWidth="1"/>
    <col min="14599" max="14599" width="20.140625" bestFit="1" customWidth="1"/>
    <col min="14600" max="14600" width="15.28515625" bestFit="1" customWidth="1"/>
    <col min="14601" max="14601" width="12.42578125" bestFit="1" customWidth="1"/>
    <col min="14602" max="14602" width="23.28515625" customWidth="1"/>
    <col min="14604" max="14604" width="8.5703125" customWidth="1"/>
    <col min="14850" max="14850" width="41.7109375" customWidth="1"/>
    <col min="14851" max="14851" width="9.5703125" customWidth="1"/>
    <col min="14852" max="14852" width="10.85546875" bestFit="1" customWidth="1"/>
    <col min="14853" max="14853" width="11" bestFit="1" customWidth="1"/>
    <col min="14854" max="14854" width="12.28515625" bestFit="1" customWidth="1"/>
    <col min="14855" max="14855" width="20.140625" bestFit="1" customWidth="1"/>
    <col min="14856" max="14856" width="15.28515625" bestFit="1" customWidth="1"/>
    <col min="14857" max="14857" width="12.42578125" bestFit="1" customWidth="1"/>
    <col min="14858" max="14858" width="23.28515625" customWidth="1"/>
    <col min="14860" max="14860" width="8.5703125" customWidth="1"/>
    <col min="15106" max="15106" width="41.7109375" customWidth="1"/>
    <col min="15107" max="15107" width="9.5703125" customWidth="1"/>
    <col min="15108" max="15108" width="10.85546875" bestFit="1" customWidth="1"/>
    <col min="15109" max="15109" width="11" bestFit="1" customWidth="1"/>
    <col min="15110" max="15110" width="12.28515625" bestFit="1" customWidth="1"/>
    <col min="15111" max="15111" width="20.140625" bestFit="1" customWidth="1"/>
    <col min="15112" max="15112" width="15.28515625" bestFit="1" customWidth="1"/>
    <col min="15113" max="15113" width="12.42578125" bestFit="1" customWidth="1"/>
    <col min="15114" max="15114" width="23.28515625" customWidth="1"/>
    <col min="15116" max="15116" width="8.5703125" customWidth="1"/>
    <col min="15362" max="15362" width="41.7109375" customWidth="1"/>
    <col min="15363" max="15363" width="9.5703125" customWidth="1"/>
    <col min="15364" max="15364" width="10.85546875" bestFit="1" customWidth="1"/>
    <col min="15365" max="15365" width="11" bestFit="1" customWidth="1"/>
    <col min="15366" max="15366" width="12.28515625" bestFit="1" customWidth="1"/>
    <col min="15367" max="15367" width="20.140625" bestFit="1" customWidth="1"/>
    <col min="15368" max="15368" width="15.28515625" bestFit="1" customWidth="1"/>
    <col min="15369" max="15369" width="12.42578125" bestFit="1" customWidth="1"/>
    <col min="15370" max="15370" width="23.28515625" customWidth="1"/>
    <col min="15372" max="15372" width="8.5703125" customWidth="1"/>
    <col min="15618" max="15618" width="41.7109375" customWidth="1"/>
    <col min="15619" max="15619" width="9.5703125" customWidth="1"/>
    <col min="15620" max="15620" width="10.85546875" bestFit="1" customWidth="1"/>
    <col min="15621" max="15621" width="11" bestFit="1" customWidth="1"/>
    <col min="15622" max="15622" width="12.28515625" bestFit="1" customWidth="1"/>
    <col min="15623" max="15623" width="20.140625" bestFit="1" customWidth="1"/>
    <col min="15624" max="15624" width="15.28515625" bestFit="1" customWidth="1"/>
    <col min="15625" max="15625" width="12.42578125" bestFit="1" customWidth="1"/>
    <col min="15626" max="15626" width="23.28515625" customWidth="1"/>
    <col min="15628" max="15628" width="8.5703125" customWidth="1"/>
    <col min="15874" max="15874" width="41.7109375" customWidth="1"/>
    <col min="15875" max="15875" width="9.5703125" customWidth="1"/>
    <col min="15876" max="15876" width="10.85546875" bestFit="1" customWidth="1"/>
    <col min="15877" max="15877" width="11" bestFit="1" customWidth="1"/>
    <col min="15878" max="15878" width="12.28515625" bestFit="1" customWidth="1"/>
    <col min="15879" max="15879" width="20.140625" bestFit="1" customWidth="1"/>
    <col min="15880" max="15880" width="15.28515625" bestFit="1" customWidth="1"/>
    <col min="15881" max="15881" width="12.42578125" bestFit="1" customWidth="1"/>
    <col min="15882" max="15882" width="23.28515625" customWidth="1"/>
    <col min="15884" max="15884" width="8.5703125" customWidth="1"/>
    <col min="16130" max="16130" width="41.7109375" customWidth="1"/>
    <col min="16131" max="16131" width="9.5703125" customWidth="1"/>
    <col min="16132" max="16132" width="10.85546875" bestFit="1" customWidth="1"/>
    <col min="16133" max="16133" width="11" bestFit="1" customWidth="1"/>
    <col min="16134" max="16134" width="12.28515625" bestFit="1" customWidth="1"/>
    <col min="16135" max="16135" width="20.140625" bestFit="1" customWidth="1"/>
    <col min="16136" max="16136" width="15.28515625" bestFit="1" customWidth="1"/>
    <col min="16137" max="16137" width="12.42578125" bestFit="1" customWidth="1"/>
    <col min="16138" max="16138" width="23.28515625" customWidth="1"/>
    <col min="16140" max="16140" width="8.5703125" customWidth="1"/>
  </cols>
  <sheetData>
    <row r="1" spans="1:12">
      <c r="A1" s="847" t="s">
        <v>779</v>
      </c>
      <c r="I1" s="781" t="s">
        <v>1502</v>
      </c>
      <c r="J1" s="781"/>
    </row>
    <row r="2" spans="1:12">
      <c r="A2" s="847" t="s">
        <v>383</v>
      </c>
      <c r="I2" s="781" t="str">
        <f ca="1">MID(CELL("filename",$A$1),FIND("]",CELL("filename",$A$1))+1,LEN(CELL("filename",$A$1))-FIND("]",CELL("filename",$A$1)))</f>
        <v>Schedule 16</v>
      </c>
      <c r="J2" s="781"/>
    </row>
    <row r="3" spans="1:12">
      <c r="A3" s="795" t="s">
        <v>1560</v>
      </c>
      <c r="B3" s="790"/>
      <c r="C3" s="790"/>
      <c r="D3" s="790"/>
      <c r="E3" s="790"/>
      <c r="F3" s="790"/>
      <c r="G3" s="790"/>
      <c r="H3" s="790"/>
      <c r="I3" s="790"/>
    </row>
    <row r="4" spans="1:12">
      <c r="A4" s="796" t="s">
        <v>1506</v>
      </c>
      <c r="B4" s="1011"/>
      <c r="C4" s="1011"/>
      <c r="D4" s="1012"/>
      <c r="E4" s="1012"/>
      <c r="F4" s="1013"/>
      <c r="G4" s="1012"/>
      <c r="H4" s="1011"/>
      <c r="I4" s="1012"/>
    </row>
    <row r="5" spans="1:12">
      <c r="A5" s="1012"/>
      <c r="B5" s="790"/>
      <c r="C5" s="790"/>
      <c r="D5" s="790"/>
      <c r="E5" s="790"/>
      <c r="F5" s="790"/>
      <c r="G5" s="790"/>
      <c r="H5" s="790"/>
      <c r="I5" s="790"/>
    </row>
    <row r="6" spans="1:12" ht="63.75">
      <c r="A6" s="1014" t="s">
        <v>1385</v>
      </c>
      <c r="B6" s="1014" t="s">
        <v>1460</v>
      </c>
      <c r="C6" s="1015"/>
      <c r="D6" s="1014" t="s">
        <v>1461</v>
      </c>
      <c r="E6" s="1014" t="s">
        <v>1507</v>
      </c>
      <c r="F6" s="1016" t="s">
        <v>1508</v>
      </c>
      <c r="G6" s="791" t="s">
        <v>1464</v>
      </c>
      <c r="H6" s="1016" t="s">
        <v>1465</v>
      </c>
      <c r="I6" s="792" t="s">
        <v>1466</v>
      </c>
    </row>
    <row r="7" spans="1:12">
      <c r="A7" s="1017"/>
      <c r="B7" s="1018" t="s">
        <v>1467</v>
      </c>
      <c r="C7" s="1018" t="s">
        <v>1468</v>
      </c>
      <c r="D7" s="1018" t="s">
        <v>1469</v>
      </c>
      <c r="E7" s="1018" t="s">
        <v>1470</v>
      </c>
      <c r="F7" s="1018" t="s">
        <v>1471</v>
      </c>
      <c r="G7" s="1018" t="s">
        <v>1472</v>
      </c>
      <c r="H7" s="1018" t="s">
        <v>1473</v>
      </c>
      <c r="I7" s="1018" t="s">
        <v>1474</v>
      </c>
      <c r="J7" s="986"/>
    </row>
    <row r="8" spans="1:12">
      <c r="A8" s="1017"/>
      <c r="B8" s="1018"/>
      <c r="C8" s="1018"/>
      <c r="D8" s="1018"/>
      <c r="E8" s="1018"/>
      <c r="F8" s="1018"/>
      <c r="G8" s="1018"/>
      <c r="H8" s="1018"/>
      <c r="I8" s="1018"/>
      <c r="J8" s="983"/>
    </row>
    <row r="9" spans="1:12">
      <c r="A9" s="1019">
        <v>1</v>
      </c>
      <c r="B9" s="1020" t="s">
        <v>435</v>
      </c>
      <c r="C9" s="1021"/>
      <c r="D9" s="1022">
        <v>1.1955172700077142E-2</v>
      </c>
      <c r="E9" s="1023">
        <f>'WP_Installed Cost'!H9</f>
        <v>0</v>
      </c>
      <c r="F9" s="1023"/>
      <c r="G9" s="1023">
        <v>0</v>
      </c>
      <c r="H9" s="1024">
        <f>D9*'WP_Reactive Cost'!G9</f>
        <v>0</v>
      </c>
      <c r="I9" s="1025"/>
      <c r="J9" s="105"/>
    </row>
    <row r="10" spans="1:12">
      <c r="A10" s="1019">
        <f>+A9+1</f>
        <v>2</v>
      </c>
      <c r="B10" s="1020" t="s">
        <v>436</v>
      </c>
      <c r="C10" s="1021"/>
      <c r="D10" s="1022">
        <v>2.8383173819435829E-2</v>
      </c>
      <c r="E10" s="1023">
        <f>'WP_Installed Cost'!H10</f>
        <v>1482.6383999999998</v>
      </c>
      <c r="F10" s="1023">
        <f>'WP_O&amp;M Cost'!L10/'WP_O&amp;M Cost'!C10/1000</f>
        <v>12.809056476616282</v>
      </c>
      <c r="G10" s="1023">
        <f>E10*(WP_FCR!$F$28-WP_FCR!$F$8)</f>
        <v>167.17886702826317</v>
      </c>
      <c r="H10" s="1024">
        <f>D10*'WP_Reactive Cost'!G10</f>
        <v>7.1748947950863354E-2</v>
      </c>
      <c r="I10" s="1025">
        <f t="shared" ref="I10:I30" si="0">+ROUND((G10+F10-H10)*D10,2)</f>
        <v>5.1100000000000003</v>
      </c>
      <c r="J10" s="105"/>
      <c r="K10" s="1202"/>
      <c r="L10" s="1203"/>
    </row>
    <row r="11" spans="1:12">
      <c r="A11" s="1019">
        <f t="shared" ref="A11:A48" si="1">+A10+1</f>
        <v>3</v>
      </c>
      <c r="B11" s="1020" t="s">
        <v>437</v>
      </c>
      <c r="C11" s="1021"/>
      <c r="D11" s="1022">
        <v>2.9525833646238616E-2</v>
      </c>
      <c r="E11" s="1023">
        <f>'WP_Installed Cost'!H11</f>
        <v>959.88279999999997</v>
      </c>
      <c r="F11" s="1023">
        <f>'WP_O&amp;M Cost'!L11/'WP_O&amp;M Cost'!C11/1000</f>
        <v>33.707635973891811</v>
      </c>
      <c r="G11" s="1023">
        <f>E11*(WP_FCR!$F$28-WP_FCR!$F$8)</f>
        <v>108.23415809540407</v>
      </c>
      <c r="H11" s="1024">
        <f>D11*'WP_Reactive Cost'!G11</f>
        <v>7.4637442414533059E-2</v>
      </c>
      <c r="I11" s="1025">
        <f t="shared" si="0"/>
        <v>4.1900000000000004</v>
      </c>
      <c r="J11" s="984"/>
      <c r="K11" s="1202"/>
      <c r="L11" s="1203"/>
    </row>
    <row r="12" spans="1:12">
      <c r="A12" s="1019">
        <f t="shared" si="1"/>
        <v>4</v>
      </c>
      <c r="B12" s="1020" t="s">
        <v>438</v>
      </c>
      <c r="C12" s="1021"/>
      <c r="D12" s="1022">
        <v>0</v>
      </c>
      <c r="E12" s="1023">
        <f>'WP_Installed Cost'!H12</f>
        <v>1129.453</v>
      </c>
      <c r="F12" s="1023">
        <f>'WP_O&amp;M Cost'!L12/'WP_O&amp;M Cost'!C12/1000</f>
        <v>2.120854077150621</v>
      </c>
      <c r="G12" s="1023">
        <f>E12*(WP_FCR!$F$28-WP_FCR!$F$8)</f>
        <v>127.35450053207373</v>
      </c>
      <c r="H12" s="1024">
        <f>D12*'WP_Reactive Cost'!G12</f>
        <v>0</v>
      </c>
      <c r="I12" s="1025">
        <f t="shared" si="0"/>
        <v>0</v>
      </c>
      <c r="J12" s="402"/>
      <c r="K12" s="1202"/>
      <c r="L12" s="1203"/>
    </row>
    <row r="13" spans="1:12">
      <c r="A13" s="1019">
        <f t="shared" si="1"/>
        <v>5</v>
      </c>
      <c r="B13" s="1020" t="s">
        <v>446</v>
      </c>
      <c r="C13" s="1021"/>
      <c r="D13" s="1022">
        <v>5.9501257919995455E-3</v>
      </c>
      <c r="E13" s="1023">
        <f>'WP_Installed Cost'!H13</f>
        <v>725.93730000000005</v>
      </c>
      <c r="F13" s="1023">
        <f>'WP_O&amp;M Cost'!L13/'WP_O&amp;M Cost'!C13/1000</f>
        <v>11.694485184877536</v>
      </c>
      <c r="G13" s="1023">
        <f>E13*(WP_FCR!$F$28-WP_FCR!$F$8)</f>
        <v>81.855006148199323</v>
      </c>
      <c r="H13" s="1024">
        <f>D13*'WP_Reactive Cost'!G13</f>
        <v>1.5041139108232071E-2</v>
      </c>
      <c r="I13" s="1025">
        <f t="shared" si="0"/>
        <v>0.56000000000000005</v>
      </c>
      <c r="J13" s="402"/>
      <c r="K13" s="1202"/>
      <c r="L13" s="1203"/>
    </row>
    <row r="14" spans="1:12">
      <c r="A14" s="1019">
        <f t="shared" si="1"/>
        <v>6</v>
      </c>
      <c r="B14" s="1020" t="s">
        <v>447</v>
      </c>
      <c r="C14" s="1021"/>
      <c r="D14" s="1022">
        <v>1.3885070757199669E-2</v>
      </c>
      <c r="E14" s="1023">
        <f>'WP_Installed Cost'!H14</f>
        <v>1734.7127</v>
      </c>
      <c r="F14" s="1023">
        <f>'WP_O&amp;M Cost'!L14/'WP_O&amp;M Cost'!C14/1000</f>
        <v>10.888191456717875</v>
      </c>
      <c r="G14" s="1023">
        <f>E14*(WP_FCR!$F$28-WP_FCR!$F$8)</f>
        <v>195.60218041401021</v>
      </c>
      <c r="H14" s="1024">
        <f>D14*'WP_Reactive Cost'!G14</f>
        <v>3.5099641265987774E-2</v>
      </c>
      <c r="I14" s="1025">
        <f t="shared" si="0"/>
        <v>2.87</v>
      </c>
      <c r="J14" s="402"/>
      <c r="K14" s="1202"/>
      <c r="L14" s="1203"/>
    </row>
    <row r="15" spans="1:12">
      <c r="A15" s="1019">
        <f t="shared" si="1"/>
        <v>7</v>
      </c>
      <c r="B15" s="1020" t="s">
        <v>640</v>
      </c>
      <c r="C15" s="1021"/>
      <c r="D15" s="1022">
        <v>9.9614168666103259E-3</v>
      </c>
      <c r="E15" s="1023">
        <f>'WP_Installed Cost'!H15</f>
        <v>738.28089999999997</v>
      </c>
      <c r="F15" s="1023">
        <f>'WP_O&amp;M Cost'!L15/'WP_O&amp;M Cost'!C15/1000</f>
        <v>8.1907062745358861</v>
      </c>
      <c r="G15" s="1023">
        <f>E15*(WP_FCR!$F$28-WP_FCR!$F$8)</f>
        <v>83.246841853419198</v>
      </c>
      <c r="H15" s="1024">
        <f>D15*'WP_Reactive Cost'!G15</f>
        <v>2.5181157851693801E-2</v>
      </c>
      <c r="I15" s="1025">
        <f t="shared" si="0"/>
        <v>0.91</v>
      </c>
      <c r="J15" s="402"/>
      <c r="K15" s="1202"/>
      <c r="L15" s="1203"/>
    </row>
    <row r="16" spans="1:12">
      <c r="A16" s="1019">
        <f t="shared" si="1"/>
        <v>8</v>
      </c>
      <c r="B16" s="1020" t="s">
        <v>448</v>
      </c>
      <c r="C16" s="1021"/>
      <c r="D16" s="1022">
        <v>0</v>
      </c>
      <c r="E16" s="1023">
        <f>'WP_Installed Cost'!H16</f>
        <v>0</v>
      </c>
      <c r="F16" s="1023"/>
      <c r="G16" s="1023">
        <f>E16*(WP_FCR!$F$28-WP_FCR!$F$8)</f>
        <v>0</v>
      </c>
      <c r="H16" s="1024">
        <f>D16*'WP_Reactive Cost'!G16</f>
        <v>0</v>
      </c>
      <c r="I16" s="1025">
        <f t="shared" si="0"/>
        <v>0</v>
      </c>
      <c r="J16" s="402"/>
      <c r="K16" s="1202"/>
      <c r="L16" s="1203"/>
    </row>
    <row r="17" spans="1:12">
      <c r="A17" s="1019">
        <f t="shared" si="1"/>
        <v>9</v>
      </c>
      <c r="B17" s="1020" t="s">
        <v>449</v>
      </c>
      <c r="C17" s="1021"/>
      <c r="D17" s="1022">
        <v>8.7475751447231714E-3</v>
      </c>
      <c r="E17" s="1023">
        <f>'WP_Installed Cost'!H17</f>
        <v>181.22290000000001</v>
      </c>
      <c r="F17" s="1023">
        <f>'WP_O&amp;M Cost'!L17/'WP_O&amp;M Cost'!C17/1000</f>
        <v>1.8871235368157113</v>
      </c>
      <c r="G17" s="1023">
        <f>E17*(WP_FCR!$F$28-WP_FCR!$F$8)</f>
        <v>20.43427386042088</v>
      </c>
      <c r="H17" s="1024">
        <f>D17*'WP_Reactive Cost'!G17</f>
        <v>2.2112724875229757E-2</v>
      </c>
      <c r="I17" s="1025">
        <f t="shared" si="0"/>
        <v>0.2</v>
      </c>
      <c r="J17" s="402"/>
      <c r="K17" s="1202"/>
      <c r="L17" s="1203"/>
    </row>
    <row r="18" spans="1:12">
      <c r="A18" s="1019">
        <f t="shared" si="1"/>
        <v>10</v>
      </c>
      <c r="B18" s="1020" t="s">
        <v>450</v>
      </c>
      <c r="C18" s="1021"/>
      <c r="D18" s="1022">
        <v>2.4912201419450605E-2</v>
      </c>
      <c r="E18" s="1023">
        <f>'WP_Installed Cost'!H18</f>
        <v>136.6079</v>
      </c>
      <c r="F18" s="1023">
        <f>'WP_O&amp;M Cost'!L18/'WP_O&amp;M Cost'!C18/1000</f>
        <v>0.519172024458322</v>
      </c>
      <c r="G18" s="1023">
        <f>E18*(WP_FCR!$F$28-WP_FCR!$F$8)</f>
        <v>15.40358994419022</v>
      </c>
      <c r="H18" s="1024">
        <f>D18*'WP_Reactive Cost'!G18</f>
        <v>6.2974784087099445E-2</v>
      </c>
      <c r="I18" s="1025">
        <f t="shared" si="0"/>
        <v>0.4</v>
      </c>
      <c r="J18" s="402"/>
      <c r="K18" s="1202"/>
      <c r="L18" s="1203"/>
    </row>
    <row r="19" spans="1:12">
      <c r="A19" s="1019">
        <f t="shared" si="1"/>
        <v>11</v>
      </c>
      <c r="B19" s="1020" t="s">
        <v>451</v>
      </c>
      <c r="C19" s="1021"/>
      <c r="D19" s="1022">
        <v>6.8114984515471539E-3</v>
      </c>
      <c r="E19" s="1023">
        <f>'WP_Installed Cost'!H19</f>
        <v>130.0265</v>
      </c>
      <c r="F19" s="1023">
        <f>'WP_O&amp;M Cost'!L19/'WP_O&amp;M Cost'!C19/1000</f>
        <v>0.27259827804332193</v>
      </c>
      <c r="G19" s="1023">
        <f>E19*(WP_FCR!$F$28-WP_FCR!$F$8)</f>
        <v>14.661486545640841</v>
      </c>
      <c r="H19" s="1024">
        <f>D19*'WP_Reactive Cost'!G19</f>
        <v>1.721857643463345E-2</v>
      </c>
      <c r="I19" s="1025">
        <f t="shared" si="0"/>
        <v>0.1</v>
      </c>
      <c r="J19" s="402"/>
      <c r="K19" s="1202"/>
      <c r="L19" s="1203"/>
    </row>
    <row r="20" spans="1:12">
      <c r="A20" s="1019">
        <f t="shared" si="1"/>
        <v>12</v>
      </c>
      <c r="B20" s="1020" t="s">
        <v>452</v>
      </c>
      <c r="C20" s="1021"/>
      <c r="D20" s="1022">
        <v>1.1866813276474989E-2</v>
      </c>
      <c r="E20" s="1023">
        <f>'WP_Installed Cost'!H20</f>
        <v>162.6302</v>
      </c>
      <c r="F20" s="1023">
        <f>'WP_O&amp;M Cost'!L20/'WP_O&amp;M Cost'!C20/1000</f>
        <v>9.7334750864230628</v>
      </c>
      <c r="G20" s="1023">
        <f>E20*(WP_FCR!$F$28-WP_FCR!$F$8)</f>
        <v>18.337804133887161</v>
      </c>
      <c r="H20" s="1024">
        <f>D20*'WP_Reactive Cost'!G20</f>
        <v>2.999775055224398E-2</v>
      </c>
      <c r="I20" s="1025">
        <f t="shared" si="0"/>
        <v>0.33</v>
      </c>
      <c r="J20" s="402"/>
      <c r="K20" s="1202"/>
      <c r="L20" s="1203"/>
    </row>
    <row r="21" spans="1:12">
      <c r="A21" s="1019">
        <f t="shared" si="1"/>
        <v>13</v>
      </c>
      <c r="B21" s="1020" t="s">
        <v>641</v>
      </c>
      <c r="C21" s="1021"/>
      <c r="D21" s="1022">
        <v>7.2973685860219253E-2</v>
      </c>
      <c r="E21" s="1023">
        <f>'WP_Installed Cost'!H21</f>
        <v>498.30380000000002</v>
      </c>
      <c r="F21" s="1023">
        <f>'WP_O&amp;M Cost'!L21/'WP_O&amp;M Cost'!C21/1000</f>
        <v>12.491753022955072</v>
      </c>
      <c r="G21" s="1023">
        <f>E21*(WP_FCR!$F$28-WP_FCR!$F$8)</f>
        <v>56.187580680412879</v>
      </c>
      <c r="H21" s="1024">
        <f>D21*'WP_Reactive Cost'!G21</f>
        <v>0.18446792532349698</v>
      </c>
      <c r="I21" s="1025">
        <f t="shared" si="0"/>
        <v>5</v>
      </c>
      <c r="J21" s="402"/>
      <c r="K21" s="1202"/>
      <c r="L21" s="1203"/>
    </row>
    <row r="22" spans="1:12">
      <c r="A22" s="1019">
        <f t="shared" si="1"/>
        <v>14</v>
      </c>
      <c r="B22" s="1020" t="s">
        <v>747</v>
      </c>
      <c r="C22" s="1021"/>
      <c r="D22" s="1022">
        <v>0.13258542722243716</v>
      </c>
      <c r="E22" s="1023">
        <f>'WP_Installed Cost'!H22</f>
        <v>590.58019999999999</v>
      </c>
      <c r="F22" s="1023">
        <f>'WP_O&amp;M Cost'!L22/'WP_O&amp;M Cost'!C22/1000</f>
        <v>0.95340480429245678</v>
      </c>
      <c r="G22" s="1023">
        <f>E22*(WP_FCR!$F$28-WP_FCR!$F$8)</f>
        <v>66.592453510798777</v>
      </c>
      <c r="H22" s="1024">
        <f>D22*'WP_Reactive Cost'!G22</f>
        <v>0.33515860408505616</v>
      </c>
      <c r="I22" s="1025">
        <f t="shared" si="0"/>
        <v>8.91</v>
      </c>
      <c r="J22" s="402"/>
      <c r="K22" s="1202"/>
      <c r="L22" s="1203"/>
    </row>
    <row r="23" spans="1:12">
      <c r="A23" s="1019">
        <f t="shared" si="1"/>
        <v>15</v>
      </c>
      <c r="B23" s="1020" t="s">
        <v>1207</v>
      </c>
      <c r="C23" s="1021"/>
      <c r="D23" s="1022">
        <v>0.11208326461704594</v>
      </c>
      <c r="E23" s="1023">
        <f>'WP_Installed Cost'!H23</f>
        <v>549.0521</v>
      </c>
      <c r="F23" s="1023">
        <f>'WP_O&amp;M Cost'!L23/'WP_O&amp;M Cost'!C23/1000</f>
        <v>1.6785911573783252</v>
      </c>
      <c r="G23" s="1023">
        <f>E23*(WP_FCR!$F$28-WP_FCR!$F$8)</f>
        <v>61.9098412785536</v>
      </c>
      <c r="H23" s="1024">
        <f>D23*'WP_Reactive Cost'!G23</f>
        <v>0.28333182082915909</v>
      </c>
      <c r="I23" s="1025">
        <f t="shared" si="0"/>
        <v>7.1</v>
      </c>
      <c r="J23" s="402"/>
      <c r="K23" s="1202"/>
      <c r="L23" s="1203"/>
    </row>
    <row r="24" spans="1:12">
      <c r="A24" s="1019">
        <f t="shared" si="1"/>
        <v>16</v>
      </c>
      <c r="B24" s="1020" t="s">
        <v>748</v>
      </c>
      <c r="C24" s="1021"/>
      <c r="D24" s="1022">
        <v>8.0625902142340139E-2</v>
      </c>
      <c r="E24" s="1023">
        <f>'WP_Installed Cost'!H24</f>
        <v>589.06669999999997</v>
      </c>
      <c r="F24" s="1023">
        <f>'WP_O&amp;M Cost'!L24/'WP_O&amp;M Cost'!C24/1000</f>
        <v>11.259787728622243</v>
      </c>
      <c r="G24" s="1023">
        <f>E24*(WP_FCR!$F$28-WP_FCR!$F$8)</f>
        <v>66.421794761337495</v>
      </c>
      <c r="H24" s="1024">
        <v>0.20835039901397875</v>
      </c>
      <c r="I24" s="1025">
        <f t="shared" si="0"/>
        <v>6.25</v>
      </c>
      <c r="J24" s="402"/>
      <c r="K24" s="1202"/>
      <c r="L24" s="1203"/>
    </row>
    <row r="25" spans="1:12">
      <c r="A25" s="1019">
        <f t="shared" si="1"/>
        <v>17</v>
      </c>
      <c r="B25" s="1020" t="s">
        <v>453</v>
      </c>
      <c r="C25" s="1021"/>
      <c r="D25" s="1022">
        <v>6.1908009459377522E-2</v>
      </c>
      <c r="E25" s="1023">
        <f>'WP_Installed Cost'!H25</f>
        <v>202.75559999999999</v>
      </c>
      <c r="F25" s="1023">
        <f>'WP_O&amp;M Cost'!L25/'WP_O&amp;M Cost'!C25/1000</f>
        <v>16.485339985677339</v>
      </c>
      <c r="G25" s="1023">
        <f>E25*(WP_FCR!$F$28-WP_FCR!$F$8)</f>
        <v>22.862251167672252</v>
      </c>
      <c r="H25" s="1024">
        <v>0.15998033051773927</v>
      </c>
      <c r="I25" s="1025">
        <f t="shared" si="0"/>
        <v>2.4300000000000002</v>
      </c>
      <c r="J25" s="402"/>
      <c r="K25" s="1202"/>
      <c r="L25" s="1203"/>
    </row>
    <row r="26" spans="1:12">
      <c r="A26" s="1019">
        <f t="shared" si="1"/>
        <v>18</v>
      </c>
      <c r="B26" s="1020" t="s">
        <v>1476</v>
      </c>
      <c r="C26" s="1021"/>
      <c r="D26" s="1022">
        <v>4.0217201267452811E-2</v>
      </c>
      <c r="E26" s="1023">
        <f>'WP_Installed Cost'!H26</f>
        <v>0</v>
      </c>
      <c r="F26" s="1023"/>
      <c r="G26" s="1023">
        <f>E26</f>
        <v>0</v>
      </c>
      <c r="H26" s="1024">
        <v>0.21</v>
      </c>
      <c r="I26" s="1025">
        <f t="shared" si="0"/>
        <v>-0.01</v>
      </c>
      <c r="J26" s="464"/>
      <c r="K26" s="1202"/>
      <c r="L26" s="1203"/>
    </row>
    <row r="27" spans="1:12">
      <c r="A27" s="1019">
        <f t="shared" si="1"/>
        <v>19</v>
      </c>
      <c r="B27" s="1020" t="s">
        <v>1477</v>
      </c>
      <c r="C27" s="1021"/>
      <c r="D27" s="1022">
        <v>6.5032070134604547E-2</v>
      </c>
      <c r="E27" s="1023">
        <f>'WP_Installed Cost'!H27</f>
        <v>118.2500383729854</v>
      </c>
      <c r="F27" s="1023">
        <f>'WP_O&amp;M Cost'!L27/'WP_O&amp;M Cost'!C27/1000</f>
        <v>0</v>
      </c>
      <c r="G27" s="1023">
        <f>E27</f>
        <v>118.2500383729854</v>
      </c>
      <c r="H27" s="1024">
        <v>0.21</v>
      </c>
      <c r="I27" s="1025">
        <f t="shared" si="0"/>
        <v>7.68</v>
      </c>
      <c r="J27" s="402"/>
      <c r="K27" s="1202"/>
      <c r="L27" s="1203"/>
    </row>
    <row r="28" spans="1:12">
      <c r="A28" s="1019">
        <f t="shared" si="1"/>
        <v>20</v>
      </c>
      <c r="B28" s="1020" t="s">
        <v>1478</v>
      </c>
      <c r="C28" s="1021"/>
      <c r="D28" s="1022">
        <v>0.12227533811227842</v>
      </c>
      <c r="E28" s="1023">
        <f>'WP_Installed Cost'!H28</f>
        <v>64.317027343749999</v>
      </c>
      <c r="F28" s="1023">
        <f>'WP_O&amp;M Cost'!L28/'WP_O&amp;M Cost'!C28/1000</f>
        <v>0</v>
      </c>
      <c r="G28" s="1023">
        <f>E28</f>
        <v>64.317027343749999</v>
      </c>
      <c r="H28" s="1024">
        <v>0.4</v>
      </c>
      <c r="I28" s="1025">
        <f>+ROUND((G28+F28-H28)*D28,2)+0.01</f>
        <v>7.83</v>
      </c>
      <c r="J28" s="402"/>
      <c r="K28" s="1202"/>
      <c r="L28" s="1203"/>
    </row>
    <row r="29" spans="1:12">
      <c r="A29" s="1019">
        <f t="shared" si="1"/>
        <v>21</v>
      </c>
      <c r="B29" s="1020" t="s">
        <v>1479</v>
      </c>
      <c r="C29" s="1021"/>
      <c r="D29" s="1022">
        <v>5.15547843562323E-2</v>
      </c>
      <c r="E29" s="1023">
        <f>'WP_Installed Cost'!H29</f>
        <v>101.64932888888889</v>
      </c>
      <c r="F29" s="1023">
        <f>'WP_O&amp;M Cost'!L29/'WP_O&amp;M Cost'!C29/1000</f>
        <v>0</v>
      </c>
      <c r="G29" s="1023">
        <f>E29</f>
        <v>101.64932888888889</v>
      </c>
      <c r="H29" s="1024">
        <v>0.17</v>
      </c>
      <c r="I29" s="1025">
        <f>+ROUND((G29+F29-H29)*D29,2)+0.01</f>
        <v>5.24</v>
      </c>
      <c r="J29" s="402"/>
      <c r="K29" s="1202"/>
      <c r="L29" s="1203"/>
    </row>
    <row r="30" spans="1:12">
      <c r="A30" s="1019">
        <f t="shared" si="1"/>
        <v>22</v>
      </c>
      <c r="B30" s="1020" t="s">
        <v>1480</v>
      </c>
      <c r="C30" s="1021"/>
      <c r="D30" s="1022">
        <v>0.10836950857007675</v>
      </c>
      <c r="E30" s="1023">
        <f>'WP_Installed Cost'!H30</f>
        <v>75.181598566308239</v>
      </c>
      <c r="F30" s="1023">
        <f>'WP_O&amp;M Cost'!L30/'WP_O&amp;M Cost'!C30/1000</f>
        <v>0</v>
      </c>
      <c r="G30" s="1023">
        <f>E30</f>
        <v>75.181598566308239</v>
      </c>
      <c r="H30" s="1024">
        <v>0.35</v>
      </c>
      <c r="I30" s="1025">
        <f t="shared" si="0"/>
        <v>8.11</v>
      </c>
      <c r="J30" s="402"/>
      <c r="K30" s="1202"/>
      <c r="L30" s="1203"/>
    </row>
    <row r="31" spans="1:12">
      <c r="A31" s="1019">
        <f t="shared" si="1"/>
        <v>23</v>
      </c>
      <c r="B31" s="1012"/>
      <c r="C31" s="1012"/>
      <c r="D31" s="1012"/>
      <c r="E31" s="1012" t="s">
        <v>1475</v>
      </c>
      <c r="F31" s="1012"/>
      <c r="G31" s="1012"/>
      <c r="H31" s="1012"/>
      <c r="I31" s="1012"/>
      <c r="J31" s="402"/>
    </row>
    <row r="32" spans="1:12">
      <c r="A32" s="1019">
        <f t="shared" si="1"/>
        <v>24</v>
      </c>
      <c r="B32" s="1012"/>
      <c r="C32" s="1012"/>
      <c r="D32" s="1012"/>
      <c r="E32" s="1012" t="s">
        <v>1475</v>
      </c>
      <c r="F32" s="1012"/>
      <c r="G32" s="1012"/>
      <c r="H32" s="1012"/>
      <c r="I32" s="1012"/>
      <c r="J32" s="402"/>
    </row>
    <row r="33" spans="1:10">
      <c r="A33" s="1019">
        <f t="shared" si="1"/>
        <v>25</v>
      </c>
      <c r="B33" s="1012"/>
      <c r="C33" s="1012"/>
      <c r="D33" s="1132">
        <v>1</v>
      </c>
      <c r="E33" s="1012" t="s">
        <v>1475</v>
      </c>
      <c r="F33" s="1012"/>
      <c r="G33" s="1011"/>
      <c r="H33" s="1026"/>
      <c r="I33" s="1027">
        <f>ROUND(SUM(I9:I30),2)</f>
        <v>73.209999999999994</v>
      </c>
      <c r="J33" s="402"/>
    </row>
    <row r="34" spans="1:10">
      <c r="A34" s="1019">
        <f t="shared" si="1"/>
        <v>26</v>
      </c>
      <c r="B34" s="1012"/>
      <c r="C34" s="1012"/>
      <c r="D34" s="1012"/>
      <c r="E34" s="1012" t="s">
        <v>1475</v>
      </c>
      <c r="F34" s="1012"/>
      <c r="G34" s="1011"/>
      <c r="H34" s="1028"/>
      <c r="I34" s="1029">
        <v>0</v>
      </c>
      <c r="J34" s="402"/>
    </row>
    <row r="35" spans="1:10">
      <c r="A35" s="1019">
        <f t="shared" si="1"/>
        <v>27</v>
      </c>
      <c r="B35" s="1012"/>
      <c r="C35" s="1012"/>
      <c r="D35" s="1012"/>
      <c r="E35" s="1012" t="s">
        <v>1475</v>
      </c>
      <c r="F35" s="1012"/>
      <c r="G35" s="1011"/>
      <c r="H35" s="1030"/>
      <c r="I35" s="794">
        <f>+I33*1000</f>
        <v>73210</v>
      </c>
      <c r="J35" s="402"/>
    </row>
    <row r="36" spans="1:10">
      <c r="A36" s="1019">
        <f t="shared" si="1"/>
        <v>28</v>
      </c>
      <c r="B36" s="793"/>
      <c r="C36" s="793"/>
      <c r="D36" s="793"/>
      <c r="E36" s="793" t="s">
        <v>1475</v>
      </c>
      <c r="F36" s="793"/>
      <c r="G36" s="793"/>
      <c r="H36" s="793"/>
      <c r="I36" s="797"/>
      <c r="J36" s="402"/>
    </row>
    <row r="37" spans="1:10">
      <c r="A37" s="1019">
        <f t="shared" si="1"/>
        <v>29</v>
      </c>
      <c r="B37" s="1012" t="s">
        <v>1485</v>
      </c>
      <c r="C37" s="1012">
        <v>411</v>
      </c>
      <c r="D37" s="790"/>
      <c r="E37" s="790" t="s">
        <v>1475</v>
      </c>
      <c r="F37" s="790"/>
      <c r="G37" s="790"/>
      <c r="H37" s="790"/>
      <c r="I37" s="790"/>
      <c r="J37" s="402"/>
    </row>
    <row r="38" spans="1:10">
      <c r="A38" s="1019">
        <f t="shared" si="1"/>
        <v>30</v>
      </c>
      <c r="B38" s="1012" t="s">
        <v>1781</v>
      </c>
      <c r="C38" s="1032">
        <v>2465</v>
      </c>
      <c r="D38" s="793"/>
      <c r="E38" s="793" t="s">
        <v>1475</v>
      </c>
      <c r="F38" s="793"/>
      <c r="G38" s="793"/>
      <c r="H38" s="793"/>
      <c r="I38" s="793"/>
      <c r="J38" s="402"/>
    </row>
    <row r="39" spans="1:10">
      <c r="A39" s="1019">
        <f t="shared" si="1"/>
        <v>31</v>
      </c>
      <c r="B39" s="1012" t="s">
        <v>1509</v>
      </c>
      <c r="C39" s="1033">
        <f>+C37/C38</f>
        <v>0.16673427991886411</v>
      </c>
      <c r="D39" s="790"/>
      <c r="E39" s="790" t="s">
        <v>1475</v>
      </c>
      <c r="F39" s="790"/>
      <c r="G39" s="790"/>
      <c r="H39" s="790"/>
      <c r="I39" s="790"/>
      <c r="J39" s="402"/>
    </row>
    <row r="40" spans="1:10">
      <c r="A40" s="1019">
        <f t="shared" si="1"/>
        <v>32</v>
      </c>
      <c r="B40" s="1012" t="s">
        <v>1487</v>
      </c>
      <c r="C40" s="1034">
        <f>I33</f>
        <v>73.209999999999994</v>
      </c>
      <c r="D40" s="790"/>
      <c r="E40" s="790" t="s">
        <v>1475</v>
      </c>
      <c r="F40" s="790"/>
      <c r="G40" s="790"/>
      <c r="H40" s="790"/>
      <c r="I40" s="790"/>
      <c r="J40" s="402"/>
    </row>
    <row r="41" spans="1:10">
      <c r="A41" s="1019">
        <f t="shared" si="1"/>
        <v>33</v>
      </c>
      <c r="B41" s="1012" t="s">
        <v>1488</v>
      </c>
      <c r="C41" s="1035">
        <f>+C40/12</f>
        <v>6.1008333333333331</v>
      </c>
      <c r="D41" s="790"/>
      <c r="E41" s="790" t="s">
        <v>1475</v>
      </c>
      <c r="F41" s="790"/>
      <c r="G41" s="790"/>
      <c r="H41" s="790"/>
      <c r="I41" s="790"/>
      <c r="J41" s="402"/>
    </row>
    <row r="42" spans="1:10">
      <c r="A42" s="1019">
        <f t="shared" si="1"/>
        <v>34</v>
      </c>
      <c r="B42" s="1012" t="s">
        <v>1489</v>
      </c>
      <c r="C42" s="1035">
        <f>+C40/52</f>
        <v>1.4078846153846152</v>
      </c>
      <c r="D42" s="790"/>
      <c r="E42" s="790" t="s">
        <v>1475</v>
      </c>
      <c r="F42" s="790"/>
      <c r="G42" s="790"/>
      <c r="H42" s="790"/>
      <c r="I42" s="790"/>
      <c r="J42" s="402"/>
    </row>
    <row r="43" spans="1:10">
      <c r="A43" s="1019">
        <f t="shared" si="1"/>
        <v>35</v>
      </c>
      <c r="B43" s="1012" t="s">
        <v>1490</v>
      </c>
      <c r="C43" s="1035">
        <f>+C42/6*1000</f>
        <v>234.64743589743586</v>
      </c>
      <c r="D43" s="790"/>
      <c r="E43" s="790"/>
      <c r="F43" s="790"/>
      <c r="G43" s="790"/>
      <c r="H43" s="790"/>
      <c r="I43" s="790"/>
      <c r="J43" s="402"/>
    </row>
    <row r="44" spans="1:10">
      <c r="A44" s="1019">
        <f t="shared" si="1"/>
        <v>36</v>
      </c>
      <c r="B44" s="1012" t="s">
        <v>1491</v>
      </c>
      <c r="C44" s="1035">
        <f>+C42/7*1000</f>
        <v>201.12637362637358</v>
      </c>
      <c r="D44" s="790"/>
      <c r="E44" s="790"/>
      <c r="F44" s="790"/>
      <c r="G44" s="790"/>
      <c r="H44" s="790"/>
      <c r="I44" s="790"/>
      <c r="J44" s="402"/>
    </row>
    <row r="45" spans="1:10">
      <c r="A45" s="1019">
        <f t="shared" si="1"/>
        <v>37</v>
      </c>
      <c r="B45" s="1012" t="s">
        <v>1492</v>
      </c>
      <c r="C45" s="1035">
        <f>+C43/16</f>
        <v>14.665464743589741</v>
      </c>
      <c r="D45" s="790"/>
      <c r="E45" s="790"/>
      <c r="F45" s="790"/>
      <c r="G45" s="790"/>
      <c r="H45" s="790"/>
      <c r="I45" s="790"/>
      <c r="J45" s="402"/>
    </row>
    <row r="46" spans="1:10">
      <c r="A46" s="1019">
        <f t="shared" si="1"/>
        <v>38</v>
      </c>
      <c r="B46" s="1012" t="s">
        <v>1493</v>
      </c>
      <c r="C46" s="1035">
        <f>+C44/24</f>
        <v>8.3802655677655657</v>
      </c>
      <c r="D46" s="790"/>
      <c r="E46" s="790"/>
      <c r="F46" s="790"/>
      <c r="G46" s="790"/>
      <c r="H46" s="790"/>
      <c r="I46" s="790"/>
    </row>
    <row r="47" spans="1:10">
      <c r="A47" s="1019">
        <f t="shared" si="1"/>
        <v>39</v>
      </c>
      <c r="B47" s="1012" t="s">
        <v>1494</v>
      </c>
      <c r="C47" s="1035">
        <f>+C41</f>
        <v>6.1008333333333331</v>
      </c>
      <c r="D47" s="790"/>
      <c r="E47" s="790"/>
      <c r="F47" s="790"/>
      <c r="G47" s="790"/>
      <c r="H47" s="790"/>
      <c r="I47" s="790"/>
      <c r="J47" s="985"/>
    </row>
    <row r="48" spans="1:10">
      <c r="A48" s="1019">
        <f t="shared" si="1"/>
        <v>40</v>
      </c>
      <c r="B48" s="1012" t="s">
        <v>1495</v>
      </c>
      <c r="C48" s="1035">
        <f>+C41</f>
        <v>6.1008333333333331</v>
      </c>
      <c r="D48" s="790"/>
      <c r="E48" s="790"/>
      <c r="F48" s="790"/>
      <c r="G48" s="790"/>
      <c r="H48" s="790"/>
      <c r="I48" s="790"/>
    </row>
    <row r="49" spans="1:10">
      <c r="A49" s="1019"/>
      <c r="B49" s="790"/>
      <c r="C49" s="790"/>
      <c r="D49" s="790"/>
      <c r="E49" s="790"/>
      <c r="F49" s="790"/>
      <c r="G49" s="790"/>
      <c r="H49" s="790"/>
      <c r="I49" s="790"/>
      <c r="J49" s="985"/>
    </row>
    <row r="50" spans="1:10">
      <c r="A50" s="1012"/>
      <c r="B50" s="790"/>
      <c r="C50" s="790"/>
      <c r="D50" s="790"/>
      <c r="E50" s="790"/>
      <c r="F50" s="790"/>
      <c r="G50" s="790"/>
      <c r="H50" s="790"/>
      <c r="I50" s="790"/>
    </row>
    <row r="51" spans="1:10">
      <c r="A51" s="1011"/>
      <c r="B51" s="1012" t="s">
        <v>876</v>
      </c>
      <c r="C51" s="790"/>
      <c r="D51" s="790"/>
      <c r="E51" s="790"/>
      <c r="F51" s="790"/>
      <c r="G51" s="790"/>
      <c r="H51" s="790"/>
      <c r="I51" s="790"/>
      <c r="J51" s="985"/>
    </row>
    <row r="52" spans="1:10">
      <c r="A52" s="1011"/>
      <c r="B52" s="1036" t="s">
        <v>1496</v>
      </c>
      <c r="C52" s="790"/>
      <c r="D52" s="790"/>
      <c r="E52" s="790"/>
      <c r="F52" s="790"/>
      <c r="G52" s="790"/>
      <c r="H52" s="790"/>
      <c r="I52" s="790"/>
    </row>
    <row r="53" spans="1:10">
      <c r="A53" s="1011"/>
      <c r="B53" s="1037" t="s">
        <v>1497</v>
      </c>
      <c r="C53" s="790"/>
      <c r="D53" s="790"/>
      <c r="E53" s="790"/>
      <c r="F53" s="790"/>
      <c r="G53" s="790"/>
      <c r="H53" s="790"/>
      <c r="I53" s="790"/>
    </row>
    <row r="54" spans="1:10">
      <c r="A54" s="1011"/>
      <c r="B54" s="1038" t="s">
        <v>1498</v>
      </c>
      <c r="C54" s="793" t="s">
        <v>1782</v>
      </c>
      <c r="D54" s="793"/>
      <c r="E54" s="793"/>
      <c r="F54" s="793"/>
      <c r="G54" s="793"/>
      <c r="H54" s="790"/>
      <c r="I54" s="790"/>
    </row>
    <row r="55" spans="1:10">
      <c r="A55" s="1012"/>
      <c r="B55" s="1038" t="s">
        <v>1499</v>
      </c>
      <c r="C55" s="790"/>
      <c r="D55" s="790"/>
      <c r="E55" s="790"/>
      <c r="F55" s="790"/>
      <c r="G55" s="790"/>
      <c r="H55" s="790"/>
      <c r="I55" s="790"/>
    </row>
    <row r="56" spans="1:10">
      <c r="A56" s="1012"/>
      <c r="B56" s="1038" t="s">
        <v>1500</v>
      </c>
      <c r="C56" s="793"/>
      <c r="D56" s="793"/>
      <c r="E56" s="793"/>
      <c r="F56" s="793"/>
      <c r="G56" s="793"/>
      <c r="H56" s="790"/>
      <c r="I56" s="790"/>
    </row>
  </sheetData>
  <printOptions horizontalCentered="1"/>
  <pageMargins left="0.75" right="0.75" top="1" bottom="1" header="0.5" footer="0.5"/>
  <pageSetup scale="63" orientation="portrait" r:id="rId1"/>
  <headerFooter alignWithMargins="0">
    <oddHeader>&amp;RPage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J39"/>
  <sheetViews>
    <sheetView workbookViewId="0">
      <selection activeCell="I11" sqref="I11"/>
    </sheetView>
  </sheetViews>
  <sheetFormatPr defaultRowHeight="12.75"/>
  <cols>
    <col min="2" max="2" width="50.7109375" customWidth="1"/>
    <col min="3" max="3" width="11.85546875" bestFit="1" customWidth="1"/>
    <col min="4" max="4" width="13.5703125" bestFit="1" customWidth="1"/>
    <col min="5" max="5" width="8.28515625" bestFit="1" customWidth="1"/>
    <col min="6" max="7" width="10.7109375" bestFit="1" customWidth="1"/>
    <col min="8" max="8" width="12" bestFit="1" customWidth="1"/>
    <col min="9" max="9" width="17.5703125" bestFit="1" customWidth="1"/>
    <col min="10" max="10" width="23.28515625" customWidth="1"/>
    <col min="12" max="12" width="8.5703125" customWidth="1"/>
    <col min="258" max="258" width="50.7109375" customWidth="1"/>
    <col min="259" max="259" width="11.85546875" bestFit="1" customWidth="1"/>
    <col min="260" max="260" width="13.5703125" bestFit="1" customWidth="1"/>
    <col min="261" max="261" width="8.28515625" bestFit="1" customWidth="1"/>
    <col min="262" max="263" width="10.7109375" bestFit="1" customWidth="1"/>
    <col min="264" max="264" width="12" bestFit="1" customWidth="1"/>
    <col min="265" max="265" width="17.5703125" bestFit="1" customWidth="1"/>
    <col min="266" max="266" width="23.28515625" customWidth="1"/>
    <col min="268" max="268" width="8.5703125" customWidth="1"/>
    <col min="514" max="514" width="50.7109375" customWidth="1"/>
    <col min="515" max="515" width="11.85546875" bestFit="1" customWidth="1"/>
    <col min="516" max="516" width="13.5703125" bestFit="1" customWidth="1"/>
    <col min="517" max="517" width="8.28515625" bestFit="1" customWidth="1"/>
    <col min="518" max="519" width="10.7109375" bestFit="1" customWidth="1"/>
    <col min="520" max="520" width="12" bestFit="1" customWidth="1"/>
    <col min="521" max="521" width="17.5703125" bestFit="1" customWidth="1"/>
    <col min="522" max="522" width="23.28515625" customWidth="1"/>
    <col min="524" max="524" width="8.5703125" customWidth="1"/>
    <col min="770" max="770" width="50.7109375" customWidth="1"/>
    <col min="771" max="771" width="11.85546875" bestFit="1" customWidth="1"/>
    <col min="772" max="772" width="13.5703125" bestFit="1" customWidth="1"/>
    <col min="773" max="773" width="8.28515625" bestFit="1" customWidth="1"/>
    <col min="774" max="775" width="10.7109375" bestFit="1" customWidth="1"/>
    <col min="776" max="776" width="12" bestFit="1" customWidth="1"/>
    <col min="777" max="777" width="17.5703125" bestFit="1" customWidth="1"/>
    <col min="778" max="778" width="23.28515625" customWidth="1"/>
    <col min="780" max="780" width="8.5703125" customWidth="1"/>
    <col min="1026" max="1026" width="50.7109375" customWidth="1"/>
    <col min="1027" max="1027" width="11.85546875" bestFit="1" customWidth="1"/>
    <col min="1028" max="1028" width="13.5703125" bestFit="1" customWidth="1"/>
    <col min="1029" max="1029" width="8.28515625" bestFit="1" customWidth="1"/>
    <col min="1030" max="1031" width="10.7109375" bestFit="1" customWidth="1"/>
    <col min="1032" max="1032" width="12" bestFit="1" customWidth="1"/>
    <col min="1033" max="1033" width="17.5703125" bestFit="1" customWidth="1"/>
    <col min="1034" max="1034" width="23.28515625" customWidth="1"/>
    <col min="1036" max="1036" width="8.5703125" customWidth="1"/>
    <col min="1282" max="1282" width="50.7109375" customWidth="1"/>
    <col min="1283" max="1283" width="11.85546875" bestFit="1" customWidth="1"/>
    <col min="1284" max="1284" width="13.5703125" bestFit="1" customWidth="1"/>
    <col min="1285" max="1285" width="8.28515625" bestFit="1" customWidth="1"/>
    <col min="1286" max="1287" width="10.7109375" bestFit="1" customWidth="1"/>
    <col min="1288" max="1288" width="12" bestFit="1" customWidth="1"/>
    <col min="1289" max="1289" width="17.5703125" bestFit="1" customWidth="1"/>
    <col min="1290" max="1290" width="23.28515625" customWidth="1"/>
    <col min="1292" max="1292" width="8.5703125" customWidth="1"/>
    <col min="1538" max="1538" width="50.7109375" customWidth="1"/>
    <col min="1539" max="1539" width="11.85546875" bestFit="1" customWidth="1"/>
    <col min="1540" max="1540" width="13.5703125" bestFit="1" customWidth="1"/>
    <col min="1541" max="1541" width="8.28515625" bestFit="1" customWidth="1"/>
    <col min="1542" max="1543" width="10.7109375" bestFit="1" customWidth="1"/>
    <col min="1544" max="1544" width="12" bestFit="1" customWidth="1"/>
    <col min="1545" max="1545" width="17.5703125" bestFit="1" customWidth="1"/>
    <col min="1546" max="1546" width="23.28515625" customWidth="1"/>
    <col min="1548" max="1548" width="8.5703125" customWidth="1"/>
    <col min="1794" max="1794" width="50.7109375" customWidth="1"/>
    <col min="1795" max="1795" width="11.85546875" bestFit="1" customWidth="1"/>
    <col min="1796" max="1796" width="13.5703125" bestFit="1" customWidth="1"/>
    <col min="1797" max="1797" width="8.28515625" bestFit="1" customWidth="1"/>
    <col min="1798" max="1799" width="10.7109375" bestFit="1" customWidth="1"/>
    <col min="1800" max="1800" width="12" bestFit="1" customWidth="1"/>
    <col min="1801" max="1801" width="17.5703125" bestFit="1" customWidth="1"/>
    <col min="1802" max="1802" width="23.28515625" customWidth="1"/>
    <col min="1804" max="1804" width="8.5703125" customWidth="1"/>
    <col min="2050" max="2050" width="50.7109375" customWidth="1"/>
    <col min="2051" max="2051" width="11.85546875" bestFit="1" customWidth="1"/>
    <col min="2052" max="2052" width="13.5703125" bestFit="1" customWidth="1"/>
    <col min="2053" max="2053" width="8.28515625" bestFit="1" customWidth="1"/>
    <col min="2054" max="2055" width="10.7109375" bestFit="1" customWidth="1"/>
    <col min="2056" max="2056" width="12" bestFit="1" customWidth="1"/>
    <col min="2057" max="2057" width="17.5703125" bestFit="1" customWidth="1"/>
    <col min="2058" max="2058" width="23.28515625" customWidth="1"/>
    <col min="2060" max="2060" width="8.5703125" customWidth="1"/>
    <col min="2306" max="2306" width="50.7109375" customWidth="1"/>
    <col min="2307" max="2307" width="11.85546875" bestFit="1" customWidth="1"/>
    <col min="2308" max="2308" width="13.5703125" bestFit="1" customWidth="1"/>
    <col min="2309" max="2309" width="8.28515625" bestFit="1" customWidth="1"/>
    <col min="2310" max="2311" width="10.7109375" bestFit="1" customWidth="1"/>
    <col min="2312" max="2312" width="12" bestFit="1" customWidth="1"/>
    <col min="2313" max="2313" width="17.5703125" bestFit="1" customWidth="1"/>
    <col min="2314" max="2314" width="23.28515625" customWidth="1"/>
    <col min="2316" max="2316" width="8.5703125" customWidth="1"/>
    <col min="2562" max="2562" width="50.7109375" customWidth="1"/>
    <col min="2563" max="2563" width="11.85546875" bestFit="1" customWidth="1"/>
    <col min="2564" max="2564" width="13.5703125" bestFit="1" customWidth="1"/>
    <col min="2565" max="2565" width="8.28515625" bestFit="1" customWidth="1"/>
    <col min="2566" max="2567" width="10.7109375" bestFit="1" customWidth="1"/>
    <col min="2568" max="2568" width="12" bestFit="1" customWidth="1"/>
    <col min="2569" max="2569" width="17.5703125" bestFit="1" customWidth="1"/>
    <col min="2570" max="2570" width="23.28515625" customWidth="1"/>
    <col min="2572" max="2572" width="8.5703125" customWidth="1"/>
    <col min="2818" max="2818" width="50.7109375" customWidth="1"/>
    <col min="2819" max="2819" width="11.85546875" bestFit="1" customWidth="1"/>
    <col min="2820" max="2820" width="13.5703125" bestFit="1" customWidth="1"/>
    <col min="2821" max="2821" width="8.28515625" bestFit="1" customWidth="1"/>
    <col min="2822" max="2823" width="10.7109375" bestFit="1" customWidth="1"/>
    <col min="2824" max="2824" width="12" bestFit="1" customWidth="1"/>
    <col min="2825" max="2825" width="17.5703125" bestFit="1" customWidth="1"/>
    <col min="2826" max="2826" width="23.28515625" customWidth="1"/>
    <col min="2828" max="2828" width="8.5703125" customWidth="1"/>
    <col min="3074" max="3074" width="50.7109375" customWidth="1"/>
    <col min="3075" max="3075" width="11.85546875" bestFit="1" customWidth="1"/>
    <col min="3076" max="3076" width="13.5703125" bestFit="1" customWidth="1"/>
    <col min="3077" max="3077" width="8.28515625" bestFit="1" customWidth="1"/>
    <col min="3078" max="3079" width="10.7109375" bestFit="1" customWidth="1"/>
    <col min="3080" max="3080" width="12" bestFit="1" customWidth="1"/>
    <col min="3081" max="3081" width="17.5703125" bestFit="1" customWidth="1"/>
    <col min="3082" max="3082" width="23.28515625" customWidth="1"/>
    <col min="3084" max="3084" width="8.5703125" customWidth="1"/>
    <col min="3330" max="3330" width="50.7109375" customWidth="1"/>
    <col min="3331" max="3331" width="11.85546875" bestFit="1" customWidth="1"/>
    <col min="3332" max="3332" width="13.5703125" bestFit="1" customWidth="1"/>
    <col min="3333" max="3333" width="8.28515625" bestFit="1" customWidth="1"/>
    <col min="3334" max="3335" width="10.7109375" bestFit="1" customWidth="1"/>
    <col min="3336" max="3336" width="12" bestFit="1" customWidth="1"/>
    <col min="3337" max="3337" width="17.5703125" bestFit="1" customWidth="1"/>
    <col min="3338" max="3338" width="23.28515625" customWidth="1"/>
    <col min="3340" max="3340" width="8.5703125" customWidth="1"/>
    <col min="3586" max="3586" width="50.7109375" customWidth="1"/>
    <col min="3587" max="3587" width="11.85546875" bestFit="1" customWidth="1"/>
    <col min="3588" max="3588" width="13.5703125" bestFit="1" customWidth="1"/>
    <col min="3589" max="3589" width="8.28515625" bestFit="1" customWidth="1"/>
    <col min="3590" max="3591" width="10.7109375" bestFit="1" customWidth="1"/>
    <col min="3592" max="3592" width="12" bestFit="1" customWidth="1"/>
    <col min="3593" max="3593" width="17.5703125" bestFit="1" customWidth="1"/>
    <col min="3594" max="3594" width="23.28515625" customWidth="1"/>
    <col min="3596" max="3596" width="8.5703125" customWidth="1"/>
    <col min="3842" max="3842" width="50.7109375" customWidth="1"/>
    <col min="3843" max="3843" width="11.85546875" bestFit="1" customWidth="1"/>
    <col min="3844" max="3844" width="13.5703125" bestFit="1" customWidth="1"/>
    <col min="3845" max="3845" width="8.28515625" bestFit="1" customWidth="1"/>
    <col min="3846" max="3847" width="10.7109375" bestFit="1" customWidth="1"/>
    <col min="3848" max="3848" width="12" bestFit="1" customWidth="1"/>
    <col min="3849" max="3849" width="17.5703125" bestFit="1" customWidth="1"/>
    <col min="3850" max="3850" width="23.28515625" customWidth="1"/>
    <col min="3852" max="3852" width="8.5703125" customWidth="1"/>
    <col min="4098" max="4098" width="50.7109375" customWidth="1"/>
    <col min="4099" max="4099" width="11.85546875" bestFit="1" customWidth="1"/>
    <col min="4100" max="4100" width="13.5703125" bestFit="1" customWidth="1"/>
    <col min="4101" max="4101" width="8.28515625" bestFit="1" customWidth="1"/>
    <col min="4102" max="4103" width="10.7109375" bestFit="1" customWidth="1"/>
    <col min="4104" max="4104" width="12" bestFit="1" customWidth="1"/>
    <col min="4105" max="4105" width="17.5703125" bestFit="1" customWidth="1"/>
    <col min="4106" max="4106" width="23.28515625" customWidth="1"/>
    <col min="4108" max="4108" width="8.5703125" customWidth="1"/>
    <col min="4354" max="4354" width="50.7109375" customWidth="1"/>
    <col min="4355" max="4355" width="11.85546875" bestFit="1" customWidth="1"/>
    <col min="4356" max="4356" width="13.5703125" bestFit="1" customWidth="1"/>
    <col min="4357" max="4357" width="8.28515625" bestFit="1" customWidth="1"/>
    <col min="4358" max="4359" width="10.7109375" bestFit="1" customWidth="1"/>
    <col min="4360" max="4360" width="12" bestFit="1" customWidth="1"/>
    <col min="4361" max="4361" width="17.5703125" bestFit="1" customWidth="1"/>
    <col min="4362" max="4362" width="23.28515625" customWidth="1"/>
    <col min="4364" max="4364" width="8.5703125" customWidth="1"/>
    <col min="4610" max="4610" width="50.7109375" customWidth="1"/>
    <col min="4611" max="4611" width="11.85546875" bestFit="1" customWidth="1"/>
    <col min="4612" max="4612" width="13.5703125" bestFit="1" customWidth="1"/>
    <col min="4613" max="4613" width="8.28515625" bestFit="1" customWidth="1"/>
    <col min="4614" max="4615" width="10.7109375" bestFit="1" customWidth="1"/>
    <col min="4616" max="4616" width="12" bestFit="1" customWidth="1"/>
    <col min="4617" max="4617" width="17.5703125" bestFit="1" customWidth="1"/>
    <col min="4618" max="4618" width="23.28515625" customWidth="1"/>
    <col min="4620" max="4620" width="8.5703125" customWidth="1"/>
    <col min="4866" max="4866" width="50.7109375" customWidth="1"/>
    <col min="4867" max="4867" width="11.85546875" bestFit="1" customWidth="1"/>
    <col min="4868" max="4868" width="13.5703125" bestFit="1" customWidth="1"/>
    <col min="4869" max="4869" width="8.28515625" bestFit="1" customWidth="1"/>
    <col min="4870" max="4871" width="10.7109375" bestFit="1" customWidth="1"/>
    <col min="4872" max="4872" width="12" bestFit="1" customWidth="1"/>
    <col min="4873" max="4873" width="17.5703125" bestFit="1" customWidth="1"/>
    <col min="4874" max="4874" width="23.28515625" customWidth="1"/>
    <col min="4876" max="4876" width="8.5703125" customWidth="1"/>
    <col min="5122" max="5122" width="50.7109375" customWidth="1"/>
    <col min="5123" max="5123" width="11.85546875" bestFit="1" customWidth="1"/>
    <col min="5124" max="5124" width="13.5703125" bestFit="1" customWidth="1"/>
    <col min="5125" max="5125" width="8.28515625" bestFit="1" customWidth="1"/>
    <col min="5126" max="5127" width="10.7109375" bestFit="1" customWidth="1"/>
    <col min="5128" max="5128" width="12" bestFit="1" customWidth="1"/>
    <col min="5129" max="5129" width="17.5703125" bestFit="1" customWidth="1"/>
    <col min="5130" max="5130" width="23.28515625" customWidth="1"/>
    <col min="5132" max="5132" width="8.5703125" customWidth="1"/>
    <col min="5378" max="5378" width="50.7109375" customWidth="1"/>
    <col min="5379" max="5379" width="11.85546875" bestFit="1" customWidth="1"/>
    <col min="5380" max="5380" width="13.5703125" bestFit="1" customWidth="1"/>
    <col min="5381" max="5381" width="8.28515625" bestFit="1" customWidth="1"/>
    <col min="5382" max="5383" width="10.7109375" bestFit="1" customWidth="1"/>
    <col min="5384" max="5384" width="12" bestFit="1" customWidth="1"/>
    <col min="5385" max="5385" width="17.5703125" bestFit="1" customWidth="1"/>
    <col min="5386" max="5386" width="23.28515625" customWidth="1"/>
    <col min="5388" max="5388" width="8.5703125" customWidth="1"/>
    <col min="5634" max="5634" width="50.7109375" customWidth="1"/>
    <col min="5635" max="5635" width="11.85546875" bestFit="1" customWidth="1"/>
    <col min="5636" max="5636" width="13.5703125" bestFit="1" customWidth="1"/>
    <col min="5637" max="5637" width="8.28515625" bestFit="1" customWidth="1"/>
    <col min="5638" max="5639" width="10.7109375" bestFit="1" customWidth="1"/>
    <col min="5640" max="5640" width="12" bestFit="1" customWidth="1"/>
    <col min="5641" max="5641" width="17.5703125" bestFit="1" customWidth="1"/>
    <col min="5642" max="5642" width="23.28515625" customWidth="1"/>
    <col min="5644" max="5644" width="8.5703125" customWidth="1"/>
    <col min="5890" max="5890" width="50.7109375" customWidth="1"/>
    <col min="5891" max="5891" width="11.85546875" bestFit="1" customWidth="1"/>
    <col min="5892" max="5892" width="13.5703125" bestFit="1" customWidth="1"/>
    <col min="5893" max="5893" width="8.28515625" bestFit="1" customWidth="1"/>
    <col min="5894" max="5895" width="10.7109375" bestFit="1" customWidth="1"/>
    <col min="5896" max="5896" width="12" bestFit="1" customWidth="1"/>
    <col min="5897" max="5897" width="17.5703125" bestFit="1" customWidth="1"/>
    <col min="5898" max="5898" width="23.28515625" customWidth="1"/>
    <col min="5900" max="5900" width="8.5703125" customWidth="1"/>
    <col min="6146" max="6146" width="50.7109375" customWidth="1"/>
    <col min="6147" max="6147" width="11.85546875" bestFit="1" customWidth="1"/>
    <col min="6148" max="6148" width="13.5703125" bestFit="1" customWidth="1"/>
    <col min="6149" max="6149" width="8.28515625" bestFit="1" customWidth="1"/>
    <col min="6150" max="6151" width="10.7109375" bestFit="1" customWidth="1"/>
    <col min="6152" max="6152" width="12" bestFit="1" customWidth="1"/>
    <col min="6153" max="6153" width="17.5703125" bestFit="1" customWidth="1"/>
    <col min="6154" max="6154" width="23.28515625" customWidth="1"/>
    <col min="6156" max="6156" width="8.5703125" customWidth="1"/>
    <col min="6402" max="6402" width="50.7109375" customWidth="1"/>
    <col min="6403" max="6403" width="11.85546875" bestFit="1" customWidth="1"/>
    <col min="6404" max="6404" width="13.5703125" bestFit="1" customWidth="1"/>
    <col min="6405" max="6405" width="8.28515625" bestFit="1" customWidth="1"/>
    <col min="6406" max="6407" width="10.7109375" bestFit="1" customWidth="1"/>
    <col min="6408" max="6408" width="12" bestFit="1" customWidth="1"/>
    <col min="6409" max="6409" width="17.5703125" bestFit="1" customWidth="1"/>
    <col min="6410" max="6410" width="23.28515625" customWidth="1"/>
    <col min="6412" max="6412" width="8.5703125" customWidth="1"/>
    <col min="6658" max="6658" width="50.7109375" customWidth="1"/>
    <col min="6659" max="6659" width="11.85546875" bestFit="1" customWidth="1"/>
    <col min="6660" max="6660" width="13.5703125" bestFit="1" customWidth="1"/>
    <col min="6661" max="6661" width="8.28515625" bestFit="1" customWidth="1"/>
    <col min="6662" max="6663" width="10.7109375" bestFit="1" customWidth="1"/>
    <col min="6664" max="6664" width="12" bestFit="1" customWidth="1"/>
    <col min="6665" max="6665" width="17.5703125" bestFit="1" customWidth="1"/>
    <col min="6666" max="6666" width="23.28515625" customWidth="1"/>
    <col min="6668" max="6668" width="8.5703125" customWidth="1"/>
    <col min="6914" max="6914" width="50.7109375" customWidth="1"/>
    <col min="6915" max="6915" width="11.85546875" bestFit="1" customWidth="1"/>
    <col min="6916" max="6916" width="13.5703125" bestFit="1" customWidth="1"/>
    <col min="6917" max="6917" width="8.28515625" bestFit="1" customWidth="1"/>
    <col min="6918" max="6919" width="10.7109375" bestFit="1" customWidth="1"/>
    <col min="6920" max="6920" width="12" bestFit="1" customWidth="1"/>
    <col min="6921" max="6921" width="17.5703125" bestFit="1" customWidth="1"/>
    <col min="6922" max="6922" width="23.28515625" customWidth="1"/>
    <col min="6924" max="6924" width="8.5703125" customWidth="1"/>
    <col min="7170" max="7170" width="50.7109375" customWidth="1"/>
    <col min="7171" max="7171" width="11.85546875" bestFit="1" customWidth="1"/>
    <col min="7172" max="7172" width="13.5703125" bestFit="1" customWidth="1"/>
    <col min="7173" max="7173" width="8.28515625" bestFit="1" customWidth="1"/>
    <col min="7174" max="7175" width="10.7109375" bestFit="1" customWidth="1"/>
    <col min="7176" max="7176" width="12" bestFit="1" customWidth="1"/>
    <col min="7177" max="7177" width="17.5703125" bestFit="1" customWidth="1"/>
    <col min="7178" max="7178" width="23.28515625" customWidth="1"/>
    <col min="7180" max="7180" width="8.5703125" customWidth="1"/>
    <col min="7426" max="7426" width="50.7109375" customWidth="1"/>
    <col min="7427" max="7427" width="11.85546875" bestFit="1" customWidth="1"/>
    <col min="7428" max="7428" width="13.5703125" bestFit="1" customWidth="1"/>
    <col min="7429" max="7429" width="8.28515625" bestFit="1" customWidth="1"/>
    <col min="7430" max="7431" width="10.7109375" bestFit="1" customWidth="1"/>
    <col min="7432" max="7432" width="12" bestFit="1" customWidth="1"/>
    <col min="7433" max="7433" width="17.5703125" bestFit="1" customWidth="1"/>
    <col min="7434" max="7434" width="23.28515625" customWidth="1"/>
    <col min="7436" max="7436" width="8.5703125" customWidth="1"/>
    <col min="7682" max="7682" width="50.7109375" customWidth="1"/>
    <col min="7683" max="7683" width="11.85546875" bestFit="1" customWidth="1"/>
    <col min="7684" max="7684" width="13.5703125" bestFit="1" customWidth="1"/>
    <col min="7685" max="7685" width="8.28515625" bestFit="1" customWidth="1"/>
    <col min="7686" max="7687" width="10.7109375" bestFit="1" customWidth="1"/>
    <col min="7688" max="7688" width="12" bestFit="1" customWidth="1"/>
    <col min="7689" max="7689" width="17.5703125" bestFit="1" customWidth="1"/>
    <col min="7690" max="7690" width="23.28515625" customWidth="1"/>
    <col min="7692" max="7692" width="8.5703125" customWidth="1"/>
    <col min="7938" max="7938" width="50.7109375" customWidth="1"/>
    <col min="7939" max="7939" width="11.85546875" bestFit="1" customWidth="1"/>
    <col min="7940" max="7940" width="13.5703125" bestFit="1" customWidth="1"/>
    <col min="7941" max="7941" width="8.28515625" bestFit="1" customWidth="1"/>
    <col min="7942" max="7943" width="10.7109375" bestFit="1" customWidth="1"/>
    <col min="7944" max="7944" width="12" bestFit="1" customWidth="1"/>
    <col min="7945" max="7945" width="17.5703125" bestFit="1" customWidth="1"/>
    <col min="7946" max="7946" width="23.28515625" customWidth="1"/>
    <col min="7948" max="7948" width="8.5703125" customWidth="1"/>
    <col min="8194" max="8194" width="50.7109375" customWidth="1"/>
    <col min="8195" max="8195" width="11.85546875" bestFit="1" customWidth="1"/>
    <col min="8196" max="8196" width="13.5703125" bestFit="1" customWidth="1"/>
    <col min="8197" max="8197" width="8.28515625" bestFit="1" customWidth="1"/>
    <col min="8198" max="8199" width="10.7109375" bestFit="1" customWidth="1"/>
    <col min="8200" max="8200" width="12" bestFit="1" customWidth="1"/>
    <col min="8201" max="8201" width="17.5703125" bestFit="1" customWidth="1"/>
    <col min="8202" max="8202" width="23.28515625" customWidth="1"/>
    <col min="8204" max="8204" width="8.5703125" customWidth="1"/>
    <col min="8450" max="8450" width="50.7109375" customWidth="1"/>
    <col min="8451" max="8451" width="11.85546875" bestFit="1" customWidth="1"/>
    <col min="8452" max="8452" width="13.5703125" bestFit="1" customWidth="1"/>
    <col min="8453" max="8453" width="8.28515625" bestFit="1" customWidth="1"/>
    <col min="8454" max="8455" width="10.7109375" bestFit="1" customWidth="1"/>
    <col min="8456" max="8456" width="12" bestFit="1" customWidth="1"/>
    <col min="8457" max="8457" width="17.5703125" bestFit="1" customWidth="1"/>
    <col min="8458" max="8458" width="23.28515625" customWidth="1"/>
    <col min="8460" max="8460" width="8.5703125" customWidth="1"/>
    <col min="8706" max="8706" width="50.7109375" customWidth="1"/>
    <col min="8707" max="8707" width="11.85546875" bestFit="1" customWidth="1"/>
    <col min="8708" max="8708" width="13.5703125" bestFit="1" customWidth="1"/>
    <col min="8709" max="8709" width="8.28515625" bestFit="1" customWidth="1"/>
    <col min="8710" max="8711" width="10.7109375" bestFit="1" customWidth="1"/>
    <col min="8712" max="8712" width="12" bestFit="1" customWidth="1"/>
    <col min="8713" max="8713" width="17.5703125" bestFit="1" customWidth="1"/>
    <col min="8714" max="8714" width="23.28515625" customWidth="1"/>
    <col min="8716" max="8716" width="8.5703125" customWidth="1"/>
    <col min="8962" max="8962" width="50.7109375" customWidth="1"/>
    <col min="8963" max="8963" width="11.85546875" bestFit="1" customWidth="1"/>
    <col min="8964" max="8964" width="13.5703125" bestFit="1" customWidth="1"/>
    <col min="8965" max="8965" width="8.28515625" bestFit="1" customWidth="1"/>
    <col min="8966" max="8967" width="10.7109375" bestFit="1" customWidth="1"/>
    <col min="8968" max="8968" width="12" bestFit="1" customWidth="1"/>
    <col min="8969" max="8969" width="17.5703125" bestFit="1" customWidth="1"/>
    <col min="8970" max="8970" width="23.28515625" customWidth="1"/>
    <col min="8972" max="8972" width="8.5703125" customWidth="1"/>
    <col min="9218" max="9218" width="50.7109375" customWidth="1"/>
    <col min="9219" max="9219" width="11.85546875" bestFit="1" customWidth="1"/>
    <col min="9220" max="9220" width="13.5703125" bestFit="1" customWidth="1"/>
    <col min="9221" max="9221" width="8.28515625" bestFit="1" customWidth="1"/>
    <col min="9222" max="9223" width="10.7109375" bestFit="1" customWidth="1"/>
    <col min="9224" max="9224" width="12" bestFit="1" customWidth="1"/>
    <col min="9225" max="9225" width="17.5703125" bestFit="1" customWidth="1"/>
    <col min="9226" max="9226" width="23.28515625" customWidth="1"/>
    <col min="9228" max="9228" width="8.5703125" customWidth="1"/>
    <col min="9474" max="9474" width="50.7109375" customWidth="1"/>
    <col min="9475" max="9475" width="11.85546875" bestFit="1" customWidth="1"/>
    <col min="9476" max="9476" width="13.5703125" bestFit="1" customWidth="1"/>
    <col min="9477" max="9477" width="8.28515625" bestFit="1" customWidth="1"/>
    <col min="9478" max="9479" width="10.7109375" bestFit="1" customWidth="1"/>
    <col min="9480" max="9480" width="12" bestFit="1" customWidth="1"/>
    <col min="9481" max="9481" width="17.5703125" bestFit="1" customWidth="1"/>
    <col min="9482" max="9482" width="23.28515625" customWidth="1"/>
    <col min="9484" max="9484" width="8.5703125" customWidth="1"/>
    <col min="9730" max="9730" width="50.7109375" customWidth="1"/>
    <col min="9731" max="9731" width="11.85546875" bestFit="1" customWidth="1"/>
    <col min="9732" max="9732" width="13.5703125" bestFit="1" customWidth="1"/>
    <col min="9733" max="9733" width="8.28515625" bestFit="1" customWidth="1"/>
    <col min="9734" max="9735" width="10.7109375" bestFit="1" customWidth="1"/>
    <col min="9736" max="9736" width="12" bestFit="1" customWidth="1"/>
    <col min="9737" max="9737" width="17.5703125" bestFit="1" customWidth="1"/>
    <col min="9738" max="9738" width="23.28515625" customWidth="1"/>
    <col min="9740" max="9740" width="8.5703125" customWidth="1"/>
    <col min="9986" max="9986" width="50.7109375" customWidth="1"/>
    <col min="9987" max="9987" width="11.85546875" bestFit="1" customWidth="1"/>
    <col min="9988" max="9988" width="13.5703125" bestFit="1" customWidth="1"/>
    <col min="9989" max="9989" width="8.28515625" bestFit="1" customWidth="1"/>
    <col min="9990" max="9991" width="10.7109375" bestFit="1" customWidth="1"/>
    <col min="9992" max="9992" width="12" bestFit="1" customWidth="1"/>
    <col min="9993" max="9993" width="17.5703125" bestFit="1" customWidth="1"/>
    <col min="9994" max="9994" width="23.28515625" customWidth="1"/>
    <col min="9996" max="9996" width="8.5703125" customWidth="1"/>
    <col min="10242" max="10242" width="50.7109375" customWidth="1"/>
    <col min="10243" max="10243" width="11.85546875" bestFit="1" customWidth="1"/>
    <col min="10244" max="10244" width="13.5703125" bestFit="1" customWidth="1"/>
    <col min="10245" max="10245" width="8.28515625" bestFit="1" customWidth="1"/>
    <col min="10246" max="10247" width="10.7109375" bestFit="1" customWidth="1"/>
    <col min="10248" max="10248" width="12" bestFit="1" customWidth="1"/>
    <col min="10249" max="10249" width="17.5703125" bestFit="1" customWidth="1"/>
    <col min="10250" max="10250" width="23.28515625" customWidth="1"/>
    <col min="10252" max="10252" width="8.5703125" customWidth="1"/>
    <col min="10498" max="10498" width="50.7109375" customWidth="1"/>
    <col min="10499" max="10499" width="11.85546875" bestFit="1" customWidth="1"/>
    <col min="10500" max="10500" width="13.5703125" bestFit="1" customWidth="1"/>
    <col min="10501" max="10501" width="8.28515625" bestFit="1" customWidth="1"/>
    <col min="10502" max="10503" width="10.7109375" bestFit="1" customWidth="1"/>
    <col min="10504" max="10504" width="12" bestFit="1" customWidth="1"/>
    <col min="10505" max="10505" width="17.5703125" bestFit="1" customWidth="1"/>
    <col min="10506" max="10506" width="23.28515625" customWidth="1"/>
    <col min="10508" max="10508" width="8.5703125" customWidth="1"/>
    <col min="10754" max="10754" width="50.7109375" customWidth="1"/>
    <col min="10755" max="10755" width="11.85546875" bestFit="1" customWidth="1"/>
    <col min="10756" max="10756" width="13.5703125" bestFit="1" customWidth="1"/>
    <col min="10757" max="10757" width="8.28515625" bestFit="1" customWidth="1"/>
    <col min="10758" max="10759" width="10.7109375" bestFit="1" customWidth="1"/>
    <col min="10760" max="10760" width="12" bestFit="1" customWidth="1"/>
    <col min="10761" max="10761" width="17.5703125" bestFit="1" customWidth="1"/>
    <col min="10762" max="10762" width="23.28515625" customWidth="1"/>
    <col min="10764" max="10764" width="8.5703125" customWidth="1"/>
    <col min="11010" max="11010" width="50.7109375" customWidth="1"/>
    <col min="11011" max="11011" width="11.85546875" bestFit="1" customWidth="1"/>
    <col min="11012" max="11012" width="13.5703125" bestFit="1" customWidth="1"/>
    <col min="11013" max="11013" width="8.28515625" bestFit="1" customWidth="1"/>
    <col min="11014" max="11015" width="10.7109375" bestFit="1" customWidth="1"/>
    <col min="11016" max="11016" width="12" bestFit="1" customWidth="1"/>
    <col min="11017" max="11017" width="17.5703125" bestFit="1" customWidth="1"/>
    <col min="11018" max="11018" width="23.28515625" customWidth="1"/>
    <col min="11020" max="11020" width="8.5703125" customWidth="1"/>
    <col min="11266" max="11266" width="50.7109375" customWidth="1"/>
    <col min="11267" max="11267" width="11.85546875" bestFit="1" customWidth="1"/>
    <col min="11268" max="11268" width="13.5703125" bestFit="1" customWidth="1"/>
    <col min="11269" max="11269" width="8.28515625" bestFit="1" customWidth="1"/>
    <col min="11270" max="11271" width="10.7109375" bestFit="1" customWidth="1"/>
    <col min="11272" max="11272" width="12" bestFit="1" customWidth="1"/>
    <col min="11273" max="11273" width="17.5703125" bestFit="1" customWidth="1"/>
    <col min="11274" max="11274" width="23.28515625" customWidth="1"/>
    <col min="11276" max="11276" width="8.5703125" customWidth="1"/>
    <col min="11522" max="11522" width="50.7109375" customWidth="1"/>
    <col min="11523" max="11523" width="11.85546875" bestFit="1" customWidth="1"/>
    <col min="11524" max="11524" width="13.5703125" bestFit="1" customWidth="1"/>
    <col min="11525" max="11525" width="8.28515625" bestFit="1" customWidth="1"/>
    <col min="11526" max="11527" width="10.7109375" bestFit="1" customWidth="1"/>
    <col min="11528" max="11528" width="12" bestFit="1" customWidth="1"/>
    <col min="11529" max="11529" width="17.5703125" bestFit="1" customWidth="1"/>
    <col min="11530" max="11530" width="23.28515625" customWidth="1"/>
    <col min="11532" max="11532" width="8.5703125" customWidth="1"/>
    <col min="11778" max="11778" width="50.7109375" customWidth="1"/>
    <col min="11779" max="11779" width="11.85546875" bestFit="1" customWidth="1"/>
    <col min="11780" max="11780" width="13.5703125" bestFit="1" customWidth="1"/>
    <col min="11781" max="11781" width="8.28515625" bestFit="1" customWidth="1"/>
    <col min="11782" max="11783" width="10.7109375" bestFit="1" customWidth="1"/>
    <col min="11784" max="11784" width="12" bestFit="1" customWidth="1"/>
    <col min="11785" max="11785" width="17.5703125" bestFit="1" customWidth="1"/>
    <col min="11786" max="11786" width="23.28515625" customWidth="1"/>
    <col min="11788" max="11788" width="8.5703125" customWidth="1"/>
    <col min="12034" max="12034" width="50.7109375" customWidth="1"/>
    <col min="12035" max="12035" width="11.85546875" bestFit="1" customWidth="1"/>
    <col min="12036" max="12036" width="13.5703125" bestFit="1" customWidth="1"/>
    <col min="12037" max="12037" width="8.28515625" bestFit="1" customWidth="1"/>
    <col min="12038" max="12039" width="10.7109375" bestFit="1" customWidth="1"/>
    <col min="12040" max="12040" width="12" bestFit="1" customWidth="1"/>
    <col min="12041" max="12041" width="17.5703125" bestFit="1" customWidth="1"/>
    <col min="12042" max="12042" width="23.28515625" customWidth="1"/>
    <col min="12044" max="12044" width="8.5703125" customWidth="1"/>
    <col min="12290" max="12290" width="50.7109375" customWidth="1"/>
    <col min="12291" max="12291" width="11.85546875" bestFit="1" customWidth="1"/>
    <col min="12292" max="12292" width="13.5703125" bestFit="1" customWidth="1"/>
    <col min="12293" max="12293" width="8.28515625" bestFit="1" customWidth="1"/>
    <col min="12294" max="12295" width="10.7109375" bestFit="1" customWidth="1"/>
    <col min="12296" max="12296" width="12" bestFit="1" customWidth="1"/>
    <col min="12297" max="12297" width="17.5703125" bestFit="1" customWidth="1"/>
    <col min="12298" max="12298" width="23.28515625" customWidth="1"/>
    <col min="12300" max="12300" width="8.5703125" customWidth="1"/>
    <col min="12546" max="12546" width="50.7109375" customWidth="1"/>
    <col min="12547" max="12547" width="11.85546875" bestFit="1" customWidth="1"/>
    <col min="12548" max="12548" width="13.5703125" bestFit="1" customWidth="1"/>
    <col min="12549" max="12549" width="8.28515625" bestFit="1" customWidth="1"/>
    <col min="12550" max="12551" width="10.7109375" bestFit="1" customWidth="1"/>
    <col min="12552" max="12552" width="12" bestFit="1" customWidth="1"/>
    <col min="12553" max="12553" width="17.5703125" bestFit="1" customWidth="1"/>
    <col min="12554" max="12554" width="23.28515625" customWidth="1"/>
    <col min="12556" max="12556" width="8.5703125" customWidth="1"/>
    <col min="12802" max="12802" width="50.7109375" customWidth="1"/>
    <col min="12803" max="12803" width="11.85546875" bestFit="1" customWidth="1"/>
    <col min="12804" max="12804" width="13.5703125" bestFit="1" customWidth="1"/>
    <col min="12805" max="12805" width="8.28515625" bestFit="1" customWidth="1"/>
    <col min="12806" max="12807" width="10.7109375" bestFit="1" customWidth="1"/>
    <col min="12808" max="12808" width="12" bestFit="1" customWidth="1"/>
    <col min="12809" max="12809" width="17.5703125" bestFit="1" customWidth="1"/>
    <col min="12810" max="12810" width="23.28515625" customWidth="1"/>
    <col min="12812" max="12812" width="8.5703125" customWidth="1"/>
    <col min="13058" max="13058" width="50.7109375" customWidth="1"/>
    <col min="13059" max="13059" width="11.85546875" bestFit="1" customWidth="1"/>
    <col min="13060" max="13060" width="13.5703125" bestFit="1" customWidth="1"/>
    <col min="13061" max="13061" width="8.28515625" bestFit="1" customWidth="1"/>
    <col min="13062" max="13063" width="10.7109375" bestFit="1" customWidth="1"/>
    <col min="13064" max="13064" width="12" bestFit="1" customWidth="1"/>
    <col min="13065" max="13065" width="17.5703125" bestFit="1" customWidth="1"/>
    <col min="13066" max="13066" width="23.28515625" customWidth="1"/>
    <col min="13068" max="13068" width="8.5703125" customWidth="1"/>
    <col min="13314" max="13314" width="50.7109375" customWidth="1"/>
    <col min="13315" max="13315" width="11.85546875" bestFit="1" customWidth="1"/>
    <col min="13316" max="13316" width="13.5703125" bestFit="1" customWidth="1"/>
    <col min="13317" max="13317" width="8.28515625" bestFit="1" customWidth="1"/>
    <col min="13318" max="13319" width="10.7109375" bestFit="1" customWidth="1"/>
    <col min="13320" max="13320" width="12" bestFit="1" customWidth="1"/>
    <col min="13321" max="13321" width="17.5703125" bestFit="1" customWidth="1"/>
    <col min="13322" max="13322" width="23.28515625" customWidth="1"/>
    <col min="13324" max="13324" width="8.5703125" customWidth="1"/>
    <col min="13570" max="13570" width="50.7109375" customWidth="1"/>
    <col min="13571" max="13571" width="11.85546875" bestFit="1" customWidth="1"/>
    <col min="13572" max="13572" width="13.5703125" bestFit="1" customWidth="1"/>
    <col min="13573" max="13573" width="8.28515625" bestFit="1" customWidth="1"/>
    <col min="13574" max="13575" width="10.7109375" bestFit="1" customWidth="1"/>
    <col min="13576" max="13576" width="12" bestFit="1" customWidth="1"/>
    <col min="13577" max="13577" width="17.5703125" bestFit="1" customWidth="1"/>
    <col min="13578" max="13578" width="23.28515625" customWidth="1"/>
    <col min="13580" max="13580" width="8.5703125" customWidth="1"/>
    <col min="13826" max="13826" width="50.7109375" customWidth="1"/>
    <col min="13827" max="13827" width="11.85546875" bestFit="1" customWidth="1"/>
    <col min="13828" max="13828" width="13.5703125" bestFit="1" customWidth="1"/>
    <col min="13829" max="13829" width="8.28515625" bestFit="1" customWidth="1"/>
    <col min="13830" max="13831" width="10.7109375" bestFit="1" customWidth="1"/>
    <col min="13832" max="13832" width="12" bestFit="1" customWidth="1"/>
    <col min="13833" max="13833" width="17.5703125" bestFit="1" customWidth="1"/>
    <col min="13834" max="13834" width="23.28515625" customWidth="1"/>
    <col min="13836" max="13836" width="8.5703125" customWidth="1"/>
    <col min="14082" max="14082" width="50.7109375" customWidth="1"/>
    <col min="14083" max="14083" width="11.85546875" bestFit="1" customWidth="1"/>
    <col min="14084" max="14084" width="13.5703125" bestFit="1" customWidth="1"/>
    <col min="14085" max="14085" width="8.28515625" bestFit="1" customWidth="1"/>
    <col min="14086" max="14087" width="10.7109375" bestFit="1" customWidth="1"/>
    <col min="14088" max="14088" width="12" bestFit="1" customWidth="1"/>
    <col min="14089" max="14089" width="17.5703125" bestFit="1" customWidth="1"/>
    <col min="14090" max="14090" width="23.28515625" customWidth="1"/>
    <col min="14092" max="14092" width="8.5703125" customWidth="1"/>
    <col min="14338" max="14338" width="50.7109375" customWidth="1"/>
    <col min="14339" max="14339" width="11.85546875" bestFit="1" customWidth="1"/>
    <col min="14340" max="14340" width="13.5703125" bestFit="1" customWidth="1"/>
    <col min="14341" max="14341" width="8.28515625" bestFit="1" customWidth="1"/>
    <col min="14342" max="14343" width="10.7109375" bestFit="1" customWidth="1"/>
    <col min="14344" max="14344" width="12" bestFit="1" customWidth="1"/>
    <col min="14345" max="14345" width="17.5703125" bestFit="1" customWidth="1"/>
    <col min="14346" max="14346" width="23.28515625" customWidth="1"/>
    <col min="14348" max="14348" width="8.5703125" customWidth="1"/>
    <col min="14594" max="14594" width="50.7109375" customWidth="1"/>
    <col min="14595" max="14595" width="11.85546875" bestFit="1" customWidth="1"/>
    <col min="14596" max="14596" width="13.5703125" bestFit="1" customWidth="1"/>
    <col min="14597" max="14597" width="8.28515625" bestFit="1" customWidth="1"/>
    <col min="14598" max="14599" width="10.7109375" bestFit="1" customWidth="1"/>
    <col min="14600" max="14600" width="12" bestFit="1" customWidth="1"/>
    <col min="14601" max="14601" width="17.5703125" bestFit="1" customWidth="1"/>
    <col min="14602" max="14602" width="23.28515625" customWidth="1"/>
    <col min="14604" max="14604" width="8.5703125" customWidth="1"/>
    <col min="14850" max="14850" width="50.7109375" customWidth="1"/>
    <col min="14851" max="14851" width="11.85546875" bestFit="1" customWidth="1"/>
    <col min="14852" max="14852" width="13.5703125" bestFit="1" customWidth="1"/>
    <col min="14853" max="14853" width="8.28515625" bestFit="1" customWidth="1"/>
    <col min="14854" max="14855" width="10.7109375" bestFit="1" customWidth="1"/>
    <col min="14856" max="14856" width="12" bestFit="1" customWidth="1"/>
    <col min="14857" max="14857" width="17.5703125" bestFit="1" customWidth="1"/>
    <col min="14858" max="14858" width="23.28515625" customWidth="1"/>
    <col min="14860" max="14860" width="8.5703125" customWidth="1"/>
    <col min="15106" max="15106" width="50.7109375" customWidth="1"/>
    <col min="15107" max="15107" width="11.85546875" bestFit="1" customWidth="1"/>
    <col min="15108" max="15108" width="13.5703125" bestFit="1" customWidth="1"/>
    <col min="15109" max="15109" width="8.28515625" bestFit="1" customWidth="1"/>
    <col min="15110" max="15111" width="10.7109375" bestFit="1" customWidth="1"/>
    <col min="15112" max="15112" width="12" bestFit="1" customWidth="1"/>
    <col min="15113" max="15113" width="17.5703125" bestFit="1" customWidth="1"/>
    <col min="15114" max="15114" width="23.28515625" customWidth="1"/>
    <col min="15116" max="15116" width="8.5703125" customWidth="1"/>
    <col min="15362" max="15362" width="50.7109375" customWidth="1"/>
    <col min="15363" max="15363" width="11.85546875" bestFit="1" customWidth="1"/>
    <col min="15364" max="15364" width="13.5703125" bestFit="1" customWidth="1"/>
    <col min="15365" max="15365" width="8.28515625" bestFit="1" customWidth="1"/>
    <col min="15366" max="15367" width="10.7109375" bestFit="1" customWidth="1"/>
    <col min="15368" max="15368" width="12" bestFit="1" customWidth="1"/>
    <col min="15369" max="15369" width="17.5703125" bestFit="1" customWidth="1"/>
    <col min="15370" max="15370" width="23.28515625" customWidth="1"/>
    <col min="15372" max="15372" width="8.5703125" customWidth="1"/>
    <col min="15618" max="15618" width="50.7109375" customWidth="1"/>
    <col min="15619" max="15619" width="11.85546875" bestFit="1" customWidth="1"/>
    <col min="15620" max="15620" width="13.5703125" bestFit="1" customWidth="1"/>
    <col min="15621" max="15621" width="8.28515625" bestFit="1" customWidth="1"/>
    <col min="15622" max="15623" width="10.7109375" bestFit="1" customWidth="1"/>
    <col min="15624" max="15624" width="12" bestFit="1" customWidth="1"/>
    <col min="15625" max="15625" width="17.5703125" bestFit="1" customWidth="1"/>
    <col min="15626" max="15626" width="23.28515625" customWidth="1"/>
    <col min="15628" max="15628" width="8.5703125" customWidth="1"/>
    <col min="15874" max="15874" width="50.7109375" customWidth="1"/>
    <col min="15875" max="15875" width="11.85546875" bestFit="1" customWidth="1"/>
    <col min="15876" max="15876" width="13.5703125" bestFit="1" customWidth="1"/>
    <col min="15877" max="15877" width="8.28515625" bestFit="1" customWidth="1"/>
    <col min="15878" max="15879" width="10.7109375" bestFit="1" customWidth="1"/>
    <col min="15880" max="15880" width="12" bestFit="1" customWidth="1"/>
    <col min="15881" max="15881" width="17.5703125" bestFit="1" customWidth="1"/>
    <col min="15882" max="15882" width="23.28515625" customWidth="1"/>
    <col min="15884" max="15884" width="8.5703125" customWidth="1"/>
    <col min="16130" max="16130" width="50.7109375" customWidth="1"/>
    <col min="16131" max="16131" width="11.85546875" bestFit="1" customWidth="1"/>
    <col min="16132" max="16132" width="13.5703125" bestFit="1" customWidth="1"/>
    <col min="16133" max="16133" width="8.28515625" bestFit="1" customWidth="1"/>
    <col min="16134" max="16135" width="10.7109375" bestFit="1" customWidth="1"/>
    <col min="16136" max="16136" width="12" bestFit="1" customWidth="1"/>
    <col min="16137" max="16137" width="17.5703125" bestFit="1" customWidth="1"/>
    <col min="16138" max="16138" width="23.28515625" customWidth="1"/>
    <col min="16140" max="16140" width="8.5703125" customWidth="1"/>
  </cols>
  <sheetData>
    <row r="1" spans="1:10">
      <c r="A1" s="847" t="s">
        <v>779</v>
      </c>
      <c r="I1" s="781" t="s">
        <v>1503</v>
      </c>
      <c r="J1" s="781"/>
    </row>
    <row r="2" spans="1:10">
      <c r="A2" s="847" t="s">
        <v>383</v>
      </c>
      <c r="I2" s="781" t="str">
        <f ca="1">MID(CELL("filename",$A$1),FIND("]",CELL("filename",$A$1))+1,LEN(CELL("filename",$A$1))-FIND("]",CELL("filename",$A$1)))</f>
        <v>WP_Installed Cost</v>
      </c>
      <c r="J2" s="781"/>
    </row>
    <row r="3" spans="1:10" ht="15">
      <c r="A3" s="799" t="s">
        <v>1510</v>
      </c>
      <c r="B3" s="1133"/>
      <c r="C3" s="1133"/>
      <c r="D3" s="1133"/>
      <c r="E3" s="1133"/>
      <c r="F3" s="1133"/>
      <c r="G3" s="1133"/>
      <c r="H3" s="1133"/>
      <c r="I3" s="1133"/>
    </row>
    <row r="4" spans="1:10">
      <c r="A4" s="798" t="s">
        <v>1582</v>
      </c>
      <c r="B4" s="1011"/>
      <c r="C4" s="1011"/>
      <c r="D4" s="1012"/>
      <c r="E4" s="1012"/>
      <c r="F4" s="1013"/>
      <c r="G4" s="1012"/>
      <c r="H4" s="1011"/>
      <c r="I4" s="1012"/>
    </row>
    <row r="5" spans="1:10" ht="15">
      <c r="A5" s="1133"/>
      <c r="B5" s="1133"/>
      <c r="C5" s="801"/>
      <c r="D5" s="801"/>
      <c r="E5" s="801"/>
      <c r="F5" s="801"/>
      <c r="G5" s="801"/>
      <c r="H5" s="801"/>
      <c r="I5" s="1133"/>
    </row>
    <row r="6" spans="1:10" ht="51">
      <c r="A6" s="1014" t="s">
        <v>1385</v>
      </c>
      <c r="B6" s="1014" t="s">
        <v>466</v>
      </c>
      <c r="C6" s="792" t="s">
        <v>1511</v>
      </c>
      <c r="D6" s="792" t="s">
        <v>1512</v>
      </c>
      <c r="E6" s="792" t="s">
        <v>1513</v>
      </c>
      <c r="F6" s="792" t="s">
        <v>1514</v>
      </c>
      <c r="G6" s="1014" t="s">
        <v>1515</v>
      </c>
      <c r="H6" s="792" t="s">
        <v>1516</v>
      </c>
      <c r="I6" s="792" t="s">
        <v>1517</v>
      </c>
    </row>
    <row r="7" spans="1:10">
      <c r="A7" s="1017"/>
      <c r="B7" s="1018" t="s">
        <v>1467</v>
      </c>
      <c r="C7" s="1018" t="s">
        <v>1468</v>
      </c>
      <c r="D7" s="1018" t="s">
        <v>1469</v>
      </c>
      <c r="E7" s="1018" t="s">
        <v>1470</v>
      </c>
      <c r="F7" s="1018" t="s">
        <v>1471</v>
      </c>
      <c r="G7" s="1018" t="s">
        <v>1472</v>
      </c>
      <c r="H7" s="1018" t="s">
        <v>1473</v>
      </c>
      <c r="I7" s="1018" t="s">
        <v>1474</v>
      </c>
      <c r="J7" s="986"/>
    </row>
    <row r="8" spans="1:10" ht="15">
      <c r="A8" s="1133"/>
      <c r="B8" s="1133"/>
      <c r="C8" s="1133"/>
      <c r="D8" s="1133"/>
      <c r="E8" s="1133"/>
      <c r="F8" s="1133"/>
      <c r="G8" s="1133"/>
      <c r="H8" s="1133"/>
      <c r="I8" s="1133"/>
      <c r="J8" s="983"/>
    </row>
    <row r="9" spans="1:10" ht="15">
      <c r="A9" s="1019">
        <v>1</v>
      </c>
      <c r="B9" s="1020" t="s">
        <v>435</v>
      </c>
      <c r="C9" s="1134">
        <v>5</v>
      </c>
      <c r="D9" s="1134">
        <v>0</v>
      </c>
      <c r="E9" s="1135"/>
      <c r="F9" s="1134">
        <v>0</v>
      </c>
      <c r="G9" s="1136">
        <f>+F9</f>
        <v>0</v>
      </c>
      <c r="H9" s="1137">
        <v>0</v>
      </c>
      <c r="I9" s="1138"/>
      <c r="J9" s="105"/>
    </row>
    <row r="10" spans="1:10" ht="15">
      <c r="A10" s="1019">
        <v>2</v>
      </c>
      <c r="B10" s="1020" t="s">
        <v>436</v>
      </c>
      <c r="C10" s="1134">
        <v>203306481</v>
      </c>
      <c r="D10" s="1134">
        <v>4662883000</v>
      </c>
      <c r="E10" s="1175">
        <f t="shared" ref="E10:E30" si="0">IF(D10=0,0,C10/D10)</f>
        <v>4.3601025588675506E-2</v>
      </c>
      <c r="F10" s="1134">
        <v>625.6</v>
      </c>
      <c r="G10" s="1136">
        <f>+G9+F10</f>
        <v>625.6</v>
      </c>
      <c r="H10" s="1137">
        <v>1482.6383999999998</v>
      </c>
      <c r="I10" s="1138">
        <f t="shared" ref="I10:I30" si="1">D10/F10/8760/1000</f>
        <v>0.8508513105957094</v>
      </c>
      <c r="J10" s="105"/>
    </row>
    <row r="11" spans="1:10" ht="15">
      <c r="A11" s="1019">
        <v>3</v>
      </c>
      <c r="B11" s="1020" t="s">
        <v>437</v>
      </c>
      <c r="C11" s="1134">
        <v>59498904</v>
      </c>
      <c r="D11" s="1134">
        <v>7182730000</v>
      </c>
      <c r="E11" s="1175">
        <f t="shared" si="0"/>
        <v>8.2836058156160672E-3</v>
      </c>
      <c r="F11" s="1134">
        <v>100.8</v>
      </c>
      <c r="G11" s="1136">
        <f t="shared" ref="G11:G30" si="2">+G10+F11</f>
        <v>726.4</v>
      </c>
      <c r="H11" s="1137">
        <v>959.88279999999997</v>
      </c>
      <c r="I11" s="1138">
        <f t="shared" si="1"/>
        <v>8.1343883634123362</v>
      </c>
      <c r="J11" s="984"/>
    </row>
    <row r="12" spans="1:10" ht="15">
      <c r="A12" s="1019">
        <v>4</v>
      </c>
      <c r="B12" s="1020" t="s">
        <v>438</v>
      </c>
      <c r="C12" s="1134">
        <v>10021363</v>
      </c>
      <c r="D12" s="1134">
        <v>435951000</v>
      </c>
      <c r="E12" s="1175">
        <f t="shared" si="0"/>
        <v>2.2987360964879081E-2</v>
      </c>
      <c r="F12" s="1134">
        <v>26.64</v>
      </c>
      <c r="G12" s="1136">
        <f t="shared" si="2"/>
        <v>753.04</v>
      </c>
      <c r="H12" s="1137">
        <v>1129.453</v>
      </c>
      <c r="I12" s="1138">
        <f t="shared" si="1"/>
        <v>1.8680966925829938</v>
      </c>
      <c r="J12" s="402"/>
    </row>
    <row r="13" spans="1:10" ht="15">
      <c r="A13" s="1019">
        <v>5</v>
      </c>
      <c r="B13" s="1020" t="s">
        <v>446</v>
      </c>
      <c r="C13" s="1134">
        <v>32695776</v>
      </c>
      <c r="D13" s="1134">
        <v>1209023000</v>
      </c>
      <c r="E13" s="1175">
        <f t="shared" si="0"/>
        <v>2.7043138137157027E-2</v>
      </c>
      <c r="F13" s="1134">
        <v>1635.3</v>
      </c>
      <c r="G13" s="1136">
        <f t="shared" si="2"/>
        <v>2388.34</v>
      </c>
      <c r="H13" s="1137">
        <v>725.93730000000005</v>
      </c>
      <c r="I13" s="1138">
        <f t="shared" si="1"/>
        <v>8.4398168043119448E-2</v>
      </c>
      <c r="J13" s="402"/>
    </row>
    <row r="14" spans="1:10" ht="15">
      <c r="A14" s="1019">
        <v>6</v>
      </c>
      <c r="B14" s="1020" t="s">
        <v>447</v>
      </c>
      <c r="C14" s="1134">
        <v>41086480</v>
      </c>
      <c r="D14" s="1134">
        <v>2723272000</v>
      </c>
      <c r="E14" s="1175">
        <f t="shared" si="0"/>
        <v>1.5087174545913885E-2</v>
      </c>
      <c r="F14" s="1134">
        <v>86.9</v>
      </c>
      <c r="G14" s="1136">
        <f t="shared" si="2"/>
        <v>2475.2400000000002</v>
      </c>
      <c r="H14" s="1137">
        <v>1734.7127</v>
      </c>
      <c r="I14" s="1138">
        <f t="shared" si="1"/>
        <v>3.5773969975461219</v>
      </c>
      <c r="J14" s="402"/>
    </row>
    <row r="15" spans="1:10" ht="15">
      <c r="A15" s="1019">
        <v>7</v>
      </c>
      <c r="B15" s="1020" t="s">
        <v>640</v>
      </c>
      <c r="C15" s="1134">
        <v>32977955</v>
      </c>
      <c r="D15" s="1134">
        <v>1011389000</v>
      </c>
      <c r="E15" s="1175">
        <f t="shared" si="0"/>
        <v>3.2606598450250102E-2</v>
      </c>
      <c r="F15" s="1134">
        <v>59.3</v>
      </c>
      <c r="G15" s="1136">
        <f t="shared" si="2"/>
        <v>2534.5400000000004</v>
      </c>
      <c r="H15" s="1137">
        <v>738.28089999999997</v>
      </c>
      <c r="I15" s="1138">
        <f t="shared" si="1"/>
        <v>1.9469707469950026</v>
      </c>
      <c r="J15" s="402"/>
    </row>
    <row r="16" spans="1:10" ht="15">
      <c r="A16" s="1019">
        <v>8</v>
      </c>
      <c r="B16" s="1020" t="s">
        <v>448</v>
      </c>
      <c r="C16" s="1134">
        <v>4147</v>
      </c>
      <c r="D16" s="1134">
        <v>0</v>
      </c>
      <c r="E16" s="1175">
        <f>IF(D16=0,0,C16/D16)</f>
        <v>0</v>
      </c>
      <c r="F16" s="1134">
        <v>867.85</v>
      </c>
      <c r="G16" s="1136">
        <f t="shared" si="2"/>
        <v>3402.3900000000003</v>
      </c>
      <c r="H16" s="1137">
        <v>0</v>
      </c>
      <c r="I16" s="1138">
        <f t="shared" si="1"/>
        <v>0</v>
      </c>
      <c r="J16" s="402"/>
    </row>
    <row r="17" spans="1:10" ht="15">
      <c r="A17" s="1019">
        <v>9</v>
      </c>
      <c r="B17" s="1012" t="s">
        <v>449</v>
      </c>
      <c r="C17" s="1134">
        <v>353838</v>
      </c>
      <c r="D17" s="1134">
        <v>4251000</v>
      </c>
      <c r="E17" s="1175">
        <f t="shared" si="0"/>
        <v>8.3236414961185598E-2</v>
      </c>
      <c r="F17" s="1134">
        <v>280.5</v>
      </c>
      <c r="G17" s="1136">
        <f t="shared" si="2"/>
        <v>3682.8900000000003</v>
      </c>
      <c r="H17" s="1137">
        <v>181.22290000000001</v>
      </c>
      <c r="I17" s="1138">
        <f t="shared" si="1"/>
        <v>1.7300319878885552E-3</v>
      </c>
      <c r="J17" s="402"/>
    </row>
    <row r="18" spans="1:10" ht="15">
      <c r="A18" s="1019">
        <v>10</v>
      </c>
      <c r="B18" s="1012" t="s">
        <v>450</v>
      </c>
      <c r="C18" s="1134">
        <v>166600</v>
      </c>
      <c r="D18" s="1134">
        <v>2258000</v>
      </c>
      <c r="E18" s="1175">
        <f t="shared" si="0"/>
        <v>7.3782108060230292E-2</v>
      </c>
      <c r="F18" s="1134">
        <v>465.39</v>
      </c>
      <c r="G18" s="1136">
        <f t="shared" si="2"/>
        <v>4148.2800000000007</v>
      </c>
      <c r="H18" s="1137">
        <v>136.6079</v>
      </c>
      <c r="I18" s="1138">
        <f t="shared" si="1"/>
        <v>5.5386354901829765E-4</v>
      </c>
      <c r="J18" s="402"/>
    </row>
    <row r="19" spans="1:10" ht="15">
      <c r="A19" s="1019">
        <v>11</v>
      </c>
      <c r="B19" s="1012" t="s">
        <v>451</v>
      </c>
      <c r="C19" s="1134">
        <v>-33424</v>
      </c>
      <c r="D19" s="1134">
        <v>350000</v>
      </c>
      <c r="E19" s="1175">
        <f t="shared" si="0"/>
        <v>-9.5497142857142864E-2</v>
      </c>
      <c r="F19" s="1134">
        <v>552.33000000000004</v>
      </c>
      <c r="G19" s="1136">
        <f t="shared" si="2"/>
        <v>4700.6100000000006</v>
      </c>
      <c r="H19" s="1137">
        <v>130.0265</v>
      </c>
      <c r="I19" s="1138">
        <f t="shared" si="1"/>
        <v>7.233780149465604E-5</v>
      </c>
      <c r="J19" s="402"/>
    </row>
    <row r="20" spans="1:10" ht="15">
      <c r="A20" s="1019">
        <v>12</v>
      </c>
      <c r="B20" s="1012" t="s">
        <v>452</v>
      </c>
      <c r="C20" s="1134">
        <v>77992</v>
      </c>
      <c r="D20" s="1134">
        <v>1284800</v>
      </c>
      <c r="E20" s="1175">
        <f t="shared" si="0"/>
        <v>6.0703611457036115E-2</v>
      </c>
      <c r="F20" s="1134">
        <v>397.8</v>
      </c>
      <c r="G20" s="1136">
        <f t="shared" si="2"/>
        <v>5098.4100000000008</v>
      </c>
      <c r="H20" s="1137">
        <v>162.6302</v>
      </c>
      <c r="I20" s="1138">
        <f t="shared" si="1"/>
        <v>3.6869448634154519E-4</v>
      </c>
      <c r="J20" s="402"/>
    </row>
    <row r="21" spans="1:10" ht="15">
      <c r="A21" s="1019">
        <v>13</v>
      </c>
      <c r="B21" s="1012" t="s">
        <v>641</v>
      </c>
      <c r="C21" s="1134">
        <v>78962391</v>
      </c>
      <c r="D21" s="1134">
        <v>2691746000</v>
      </c>
      <c r="E21" s="1175">
        <f t="shared" si="0"/>
        <v>2.9335008206569268E-2</v>
      </c>
      <c r="F21" s="1134">
        <v>685.1</v>
      </c>
      <c r="G21" s="1136">
        <f t="shared" si="2"/>
        <v>5783.5100000000011</v>
      </c>
      <c r="H21" s="1137">
        <v>498.30380000000002</v>
      </c>
      <c r="I21" s="1138">
        <f t="shared" si="1"/>
        <v>0.44851399888960652</v>
      </c>
      <c r="J21" s="402"/>
    </row>
    <row r="22" spans="1:10" ht="15">
      <c r="A22" s="1019">
        <v>14</v>
      </c>
      <c r="B22" s="1012" t="s">
        <v>747</v>
      </c>
      <c r="C22" s="1134">
        <v>0</v>
      </c>
      <c r="D22" s="1134">
        <v>142499000</v>
      </c>
      <c r="E22" s="1175">
        <f t="shared" si="0"/>
        <v>0</v>
      </c>
      <c r="F22" s="1134">
        <v>505.8</v>
      </c>
      <c r="G22" s="1136">
        <f t="shared" si="2"/>
        <v>6289.3100000000013</v>
      </c>
      <c r="H22" s="1137">
        <v>590.58019999999999</v>
      </c>
      <c r="I22" s="1138">
        <f t="shared" si="1"/>
        <v>3.2160951230565622E-2</v>
      </c>
      <c r="J22" s="402"/>
    </row>
    <row r="23" spans="1:10" ht="15">
      <c r="A23" s="1019">
        <v>15</v>
      </c>
      <c r="B23" s="1012" t="s">
        <v>1207</v>
      </c>
      <c r="C23" s="1134">
        <v>7648633</v>
      </c>
      <c r="D23" s="1134">
        <v>187760000</v>
      </c>
      <c r="E23" s="1175">
        <f t="shared" si="0"/>
        <v>4.0736221772475503E-2</v>
      </c>
      <c r="F23" s="1134">
        <v>191.68</v>
      </c>
      <c r="G23" s="1136">
        <f t="shared" si="2"/>
        <v>6480.9900000000016</v>
      </c>
      <c r="H23" s="1137">
        <v>549.0521</v>
      </c>
      <c r="I23" s="1138">
        <f t="shared" si="1"/>
        <v>0.11182069049633712</v>
      </c>
      <c r="J23" s="402"/>
    </row>
    <row r="24" spans="1:10" ht="15">
      <c r="A24" s="1019">
        <v>16</v>
      </c>
      <c r="B24" s="1012" t="s">
        <v>748</v>
      </c>
      <c r="C24" s="1134">
        <v>50397654</v>
      </c>
      <c r="D24" s="1134">
        <v>1829931000</v>
      </c>
      <c r="E24" s="1175">
        <f t="shared" si="0"/>
        <v>2.7540740060690815E-2</v>
      </c>
      <c r="F24" s="1134">
        <v>0</v>
      </c>
      <c r="G24" s="1136">
        <f t="shared" si="2"/>
        <v>6480.9900000000016</v>
      </c>
      <c r="H24" s="1137">
        <v>589.06669999999997</v>
      </c>
      <c r="I24" s="1138" t="e">
        <f t="shared" si="1"/>
        <v>#DIV/0!</v>
      </c>
      <c r="J24" s="402"/>
    </row>
    <row r="25" spans="1:10" ht="15">
      <c r="A25" s="1019">
        <v>17</v>
      </c>
      <c r="B25" s="1012" t="s">
        <v>453</v>
      </c>
      <c r="C25" s="1134">
        <v>3703607</v>
      </c>
      <c r="D25" s="1134">
        <v>304167000</v>
      </c>
      <c r="E25" s="1175">
        <f t="shared" si="0"/>
        <v>1.2176228847968385E-2</v>
      </c>
      <c r="F25" s="1134">
        <v>0.3</v>
      </c>
      <c r="G25" s="1136">
        <f>+G24+F25</f>
        <v>6481.2900000000018</v>
      </c>
      <c r="H25" s="1137">
        <v>202.75559999999999</v>
      </c>
      <c r="I25" s="1138">
        <f t="shared" si="1"/>
        <v>115.74086757990868</v>
      </c>
      <c r="J25" s="402"/>
    </row>
    <row r="26" spans="1:10" ht="15">
      <c r="A26" s="1019">
        <v>18</v>
      </c>
      <c r="B26" s="1012" t="s">
        <v>1476</v>
      </c>
      <c r="C26" s="1134">
        <v>0</v>
      </c>
      <c r="D26" s="1134">
        <v>0</v>
      </c>
      <c r="E26" s="1175">
        <f t="shared" si="0"/>
        <v>0</v>
      </c>
      <c r="F26" s="1134">
        <v>74.8</v>
      </c>
      <c r="G26" s="1136">
        <f t="shared" si="2"/>
        <v>6556.090000000002</v>
      </c>
      <c r="H26" s="1137">
        <v>0</v>
      </c>
      <c r="I26" s="1138">
        <f t="shared" si="1"/>
        <v>0</v>
      </c>
      <c r="J26" s="402"/>
    </row>
    <row r="27" spans="1:10" ht="15">
      <c r="A27" s="1019">
        <v>19</v>
      </c>
      <c r="B27" s="1012" t="s">
        <v>1477</v>
      </c>
      <c r="C27" s="1134">
        <v>1103753</v>
      </c>
      <c r="D27" s="1134">
        <v>20436000</v>
      </c>
      <c r="E27" s="1175">
        <f t="shared" si="0"/>
        <v>5.4010227050303387E-2</v>
      </c>
      <c r="F27" s="1134">
        <v>130.30000000000001</v>
      </c>
      <c r="G27" s="1136">
        <f t="shared" si="2"/>
        <v>6686.3900000000021</v>
      </c>
      <c r="H27" s="1137">
        <v>118.2500383729854</v>
      </c>
      <c r="I27" s="1138">
        <f t="shared" si="1"/>
        <v>1.7903888812960605E-2</v>
      </c>
      <c r="J27" s="402"/>
    </row>
    <row r="28" spans="1:10" ht="15">
      <c r="A28" s="1019">
        <v>20</v>
      </c>
      <c r="B28" s="1012" t="s">
        <v>1478</v>
      </c>
      <c r="C28" s="1134">
        <v>5395001</v>
      </c>
      <c r="D28" s="1134">
        <v>77213000</v>
      </c>
      <c r="E28" s="1175">
        <f t="shared" si="0"/>
        <v>6.9871666688251982E-2</v>
      </c>
      <c r="F28" s="1134">
        <v>256</v>
      </c>
      <c r="G28" s="1136">
        <f t="shared" si="2"/>
        <v>6942.3900000000021</v>
      </c>
      <c r="H28" s="1137">
        <v>64.317027343749999</v>
      </c>
      <c r="I28" s="1138">
        <f t="shared" si="1"/>
        <v>3.4430739868721458E-2</v>
      </c>
      <c r="J28" s="402"/>
    </row>
    <row r="29" spans="1:10" ht="15">
      <c r="A29" s="1019">
        <v>21</v>
      </c>
      <c r="B29" s="1012" t="s">
        <v>1479</v>
      </c>
      <c r="C29" s="1134">
        <v>2910294</v>
      </c>
      <c r="D29" s="1134">
        <v>23086000</v>
      </c>
      <c r="E29" s="1175">
        <f t="shared" si="0"/>
        <v>0.12606315515897079</v>
      </c>
      <c r="F29" s="1134">
        <v>225</v>
      </c>
      <c r="G29" s="1136">
        <f t="shared" si="2"/>
        <v>7167.3900000000021</v>
      </c>
      <c r="H29" s="1137">
        <v>101.64932888888889</v>
      </c>
      <c r="I29" s="1138">
        <f t="shared" si="1"/>
        <v>1.1712836123795027E-2</v>
      </c>
      <c r="J29" s="402"/>
    </row>
    <row r="30" spans="1:10" ht="15">
      <c r="A30" s="1019">
        <v>22</v>
      </c>
      <c r="B30" s="1012" t="s">
        <v>1480</v>
      </c>
      <c r="C30" s="1134">
        <v>3648239</v>
      </c>
      <c r="D30" s="1134">
        <v>57474000</v>
      </c>
      <c r="E30" s="1175">
        <f t="shared" si="0"/>
        <v>6.3476337126352783E-2</v>
      </c>
      <c r="F30" s="1134">
        <v>279</v>
      </c>
      <c r="G30" s="1136">
        <f t="shared" si="2"/>
        <v>7446.3900000000021</v>
      </c>
      <c r="H30" s="1137">
        <v>75.181598566308239</v>
      </c>
      <c r="I30" s="1138">
        <f t="shared" si="1"/>
        <v>2.3515981735159817E-2</v>
      </c>
      <c r="J30" s="402"/>
    </row>
    <row r="31" spans="1:10">
      <c r="A31" s="1012"/>
      <c r="B31" s="802"/>
      <c r="C31" s="1012"/>
      <c r="D31" s="1012"/>
      <c r="E31" s="1012"/>
      <c r="F31" s="1012"/>
      <c r="G31" s="1012"/>
      <c r="H31" s="1012"/>
      <c r="I31" s="1012"/>
      <c r="J31" s="402"/>
    </row>
    <row r="32" spans="1:10">
      <c r="A32" s="1012"/>
      <c r="B32" s="1012" t="s">
        <v>876</v>
      </c>
      <c r="C32" s="1012"/>
      <c r="D32" s="1012"/>
      <c r="E32" s="1012"/>
      <c r="F32" s="1012"/>
      <c r="G32" s="1012"/>
      <c r="H32" s="1012"/>
      <c r="I32" s="1012"/>
      <c r="J32" s="402"/>
    </row>
    <row r="33" spans="1:10">
      <c r="A33" s="801"/>
      <c r="B33" s="1139" t="s">
        <v>1518</v>
      </c>
      <c r="C33" s="801"/>
      <c r="D33" s="801"/>
      <c r="E33" s="801"/>
      <c r="F33" s="801"/>
      <c r="G33" s="801"/>
      <c r="H33" s="801"/>
      <c r="I33" s="801"/>
      <c r="J33" s="402"/>
    </row>
    <row r="34" spans="1:10">
      <c r="A34" s="801"/>
      <c r="B34" s="804" t="s">
        <v>1519</v>
      </c>
      <c r="C34" s="801"/>
      <c r="D34" s="801"/>
      <c r="E34" s="801"/>
      <c r="F34" s="801"/>
      <c r="G34" s="801"/>
      <c r="H34" s="801"/>
      <c r="I34" s="801"/>
      <c r="J34" s="402"/>
    </row>
    <row r="35" spans="1:10" ht="15">
      <c r="A35" s="1133"/>
      <c r="B35" s="803" t="s">
        <v>1520</v>
      </c>
      <c r="C35" s="1133"/>
      <c r="D35" s="1133"/>
      <c r="E35" s="1133"/>
      <c r="F35" s="1133"/>
      <c r="G35" s="1133"/>
      <c r="H35" s="1133"/>
      <c r="I35" s="1133"/>
      <c r="J35" s="402"/>
    </row>
    <row r="36" spans="1:10" ht="15">
      <c r="A36" s="1133"/>
      <c r="B36" s="1038" t="s">
        <v>1521</v>
      </c>
      <c r="C36" s="1133"/>
      <c r="D36" s="1133"/>
      <c r="E36" s="1133"/>
      <c r="F36" s="1133"/>
      <c r="G36" s="1133"/>
      <c r="H36" s="800"/>
      <c r="I36" s="1133"/>
      <c r="J36" s="402"/>
    </row>
    <row r="37" spans="1:10" ht="15">
      <c r="A37" s="1133"/>
      <c r="B37" s="1012" t="s">
        <v>1522</v>
      </c>
      <c r="C37" s="1133"/>
      <c r="D37" s="1133"/>
      <c r="E37" s="1133"/>
      <c r="F37" s="1133"/>
      <c r="G37" s="1133"/>
      <c r="H37" s="800"/>
      <c r="I37" s="1133"/>
      <c r="J37" s="402"/>
    </row>
    <row r="38" spans="1:10" ht="15">
      <c r="A38" s="1133"/>
      <c r="B38" s="803" t="s">
        <v>1523</v>
      </c>
      <c r="C38" s="1133"/>
      <c r="D38" s="1133"/>
      <c r="E38" s="1133"/>
      <c r="F38" s="1133"/>
      <c r="G38" s="1133"/>
      <c r="H38" s="1133"/>
      <c r="I38" s="1133"/>
      <c r="J38" s="402"/>
    </row>
    <row r="39" spans="1:10" ht="15">
      <c r="A39" s="1133"/>
      <c r="B39" s="803" t="s">
        <v>1524</v>
      </c>
      <c r="C39" s="1133"/>
      <c r="D39" s="1133"/>
      <c r="E39" s="1133"/>
      <c r="F39" s="1133"/>
      <c r="G39" s="1133"/>
      <c r="H39" s="800"/>
      <c r="I39" s="1133"/>
      <c r="J39" s="402"/>
    </row>
  </sheetData>
  <printOptions horizontalCentered="1"/>
  <pageMargins left="0.75" right="0.75" top="1" bottom="1" header="0.5" footer="0.5"/>
  <pageSetup scale="60" orientation="portrait" r:id="rId1"/>
  <headerFooter alignWithMargins="0">
    <oddHeader>&amp;RPage &amp;P of &amp;N</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M43"/>
  <sheetViews>
    <sheetView workbookViewId="0">
      <selection activeCell="M11" sqref="M11"/>
    </sheetView>
  </sheetViews>
  <sheetFormatPr defaultRowHeight="12.75"/>
  <cols>
    <col min="2" max="2" width="42" customWidth="1"/>
    <col min="3" max="3" width="10.7109375" bestFit="1" customWidth="1"/>
    <col min="4" max="4" width="15.140625" bestFit="1" customWidth="1"/>
    <col min="5" max="5" width="13.5703125" bestFit="1" customWidth="1"/>
    <col min="6" max="6" width="10.7109375" bestFit="1" customWidth="1"/>
    <col min="7" max="7" width="9.7109375" bestFit="1" customWidth="1"/>
    <col min="8" max="8" width="12" bestFit="1" customWidth="1"/>
    <col min="9" max="9" width="9.7109375" bestFit="1" customWidth="1"/>
    <col min="10" max="10" width="14.28515625" bestFit="1" customWidth="1"/>
    <col min="11" max="11" width="14.28515625" customWidth="1"/>
    <col min="12" max="12" width="10.7109375" bestFit="1" customWidth="1"/>
    <col min="258" max="258" width="42" customWidth="1"/>
    <col min="259" max="259" width="10.7109375" bestFit="1" customWidth="1"/>
    <col min="260" max="260" width="15.140625" bestFit="1" customWidth="1"/>
    <col min="261" max="261" width="13.5703125" bestFit="1" customWidth="1"/>
    <col min="262" max="262" width="10.7109375" bestFit="1" customWidth="1"/>
    <col min="263" max="263" width="9.7109375" bestFit="1" customWidth="1"/>
    <col min="264" max="264" width="12" bestFit="1" customWidth="1"/>
    <col min="265" max="265" width="9.7109375" bestFit="1" customWidth="1"/>
    <col min="266" max="266" width="14.28515625" bestFit="1" customWidth="1"/>
    <col min="267" max="267" width="14.28515625" customWidth="1"/>
    <col min="268" max="268" width="10.7109375" bestFit="1" customWidth="1"/>
    <col min="514" max="514" width="42" customWidth="1"/>
    <col min="515" max="515" width="10.7109375" bestFit="1" customWidth="1"/>
    <col min="516" max="516" width="15.140625" bestFit="1" customWidth="1"/>
    <col min="517" max="517" width="13.5703125" bestFit="1" customWidth="1"/>
    <col min="518" max="518" width="10.7109375" bestFit="1" customWidth="1"/>
    <col min="519" max="519" width="9.7109375" bestFit="1" customWidth="1"/>
    <col min="520" max="520" width="12" bestFit="1" customWidth="1"/>
    <col min="521" max="521" width="9.7109375" bestFit="1" customWidth="1"/>
    <col min="522" max="522" width="14.28515625" bestFit="1" customWidth="1"/>
    <col min="523" max="523" width="14.28515625" customWidth="1"/>
    <col min="524" max="524" width="10.7109375" bestFit="1" customWidth="1"/>
    <col min="770" max="770" width="42" customWidth="1"/>
    <col min="771" max="771" width="10.7109375" bestFit="1" customWidth="1"/>
    <col min="772" max="772" width="15.140625" bestFit="1" customWidth="1"/>
    <col min="773" max="773" width="13.5703125" bestFit="1" customWidth="1"/>
    <col min="774" max="774" width="10.7109375" bestFit="1" customWidth="1"/>
    <col min="775" max="775" width="9.7109375" bestFit="1" customWidth="1"/>
    <col min="776" max="776" width="12" bestFit="1" customWidth="1"/>
    <col min="777" max="777" width="9.7109375" bestFit="1" customWidth="1"/>
    <col min="778" max="778" width="14.28515625" bestFit="1" customWidth="1"/>
    <col min="779" max="779" width="14.28515625" customWidth="1"/>
    <col min="780" max="780" width="10.7109375" bestFit="1" customWidth="1"/>
    <col min="1026" max="1026" width="42" customWidth="1"/>
    <col min="1027" max="1027" width="10.7109375" bestFit="1" customWidth="1"/>
    <col min="1028" max="1028" width="15.140625" bestFit="1" customWidth="1"/>
    <col min="1029" max="1029" width="13.5703125" bestFit="1" customWidth="1"/>
    <col min="1030" max="1030" width="10.7109375" bestFit="1" customWidth="1"/>
    <col min="1031" max="1031" width="9.7109375" bestFit="1" customWidth="1"/>
    <col min="1032" max="1032" width="12" bestFit="1" customWidth="1"/>
    <col min="1033" max="1033" width="9.7109375" bestFit="1" customWidth="1"/>
    <col min="1034" max="1034" width="14.28515625" bestFit="1" customWidth="1"/>
    <col min="1035" max="1035" width="14.28515625" customWidth="1"/>
    <col min="1036" max="1036" width="10.7109375" bestFit="1" customWidth="1"/>
    <col min="1282" max="1282" width="42" customWidth="1"/>
    <col min="1283" max="1283" width="10.7109375" bestFit="1" customWidth="1"/>
    <col min="1284" max="1284" width="15.140625" bestFit="1" customWidth="1"/>
    <col min="1285" max="1285" width="13.5703125" bestFit="1" customWidth="1"/>
    <col min="1286" max="1286" width="10.7109375" bestFit="1" customWidth="1"/>
    <col min="1287" max="1287" width="9.7109375" bestFit="1" customWidth="1"/>
    <col min="1288" max="1288" width="12" bestFit="1" customWidth="1"/>
    <col min="1289" max="1289" width="9.7109375" bestFit="1" customWidth="1"/>
    <col min="1290" max="1290" width="14.28515625" bestFit="1" customWidth="1"/>
    <col min="1291" max="1291" width="14.28515625" customWidth="1"/>
    <col min="1292" max="1292" width="10.7109375" bestFit="1" customWidth="1"/>
    <col min="1538" max="1538" width="42" customWidth="1"/>
    <col min="1539" max="1539" width="10.7109375" bestFit="1" customWidth="1"/>
    <col min="1540" max="1540" width="15.140625" bestFit="1" customWidth="1"/>
    <col min="1541" max="1541" width="13.5703125" bestFit="1" customWidth="1"/>
    <col min="1542" max="1542" width="10.7109375" bestFit="1" customWidth="1"/>
    <col min="1543" max="1543" width="9.7109375" bestFit="1" customWidth="1"/>
    <col min="1544" max="1544" width="12" bestFit="1" customWidth="1"/>
    <col min="1545" max="1545" width="9.7109375" bestFit="1" customWidth="1"/>
    <col min="1546" max="1546" width="14.28515625" bestFit="1" customWidth="1"/>
    <col min="1547" max="1547" width="14.28515625" customWidth="1"/>
    <col min="1548" max="1548" width="10.7109375" bestFit="1" customWidth="1"/>
    <col min="1794" max="1794" width="42" customWidth="1"/>
    <col min="1795" max="1795" width="10.7109375" bestFit="1" customWidth="1"/>
    <col min="1796" max="1796" width="15.140625" bestFit="1" customWidth="1"/>
    <col min="1797" max="1797" width="13.5703125" bestFit="1" customWidth="1"/>
    <col min="1798" max="1798" width="10.7109375" bestFit="1" customWidth="1"/>
    <col min="1799" max="1799" width="9.7109375" bestFit="1" customWidth="1"/>
    <col min="1800" max="1800" width="12" bestFit="1" customWidth="1"/>
    <col min="1801" max="1801" width="9.7109375" bestFit="1" customWidth="1"/>
    <col min="1802" max="1802" width="14.28515625" bestFit="1" customWidth="1"/>
    <col min="1803" max="1803" width="14.28515625" customWidth="1"/>
    <col min="1804" max="1804" width="10.7109375" bestFit="1" customWidth="1"/>
    <col min="2050" max="2050" width="42" customWidth="1"/>
    <col min="2051" max="2051" width="10.7109375" bestFit="1" customWidth="1"/>
    <col min="2052" max="2052" width="15.140625" bestFit="1" customWidth="1"/>
    <col min="2053" max="2053" width="13.5703125" bestFit="1" customWidth="1"/>
    <col min="2054" max="2054" width="10.7109375" bestFit="1" customWidth="1"/>
    <col min="2055" max="2055" width="9.7109375" bestFit="1" customWidth="1"/>
    <col min="2056" max="2056" width="12" bestFit="1" customWidth="1"/>
    <col min="2057" max="2057" width="9.7109375" bestFit="1" customWidth="1"/>
    <col min="2058" max="2058" width="14.28515625" bestFit="1" customWidth="1"/>
    <col min="2059" max="2059" width="14.28515625" customWidth="1"/>
    <col min="2060" max="2060" width="10.7109375" bestFit="1" customWidth="1"/>
    <col min="2306" max="2306" width="42" customWidth="1"/>
    <col min="2307" max="2307" width="10.7109375" bestFit="1" customWidth="1"/>
    <col min="2308" max="2308" width="15.140625" bestFit="1" customWidth="1"/>
    <col min="2309" max="2309" width="13.5703125" bestFit="1" customWidth="1"/>
    <col min="2310" max="2310" width="10.7109375" bestFit="1" customWidth="1"/>
    <col min="2311" max="2311" width="9.7109375" bestFit="1" customWidth="1"/>
    <col min="2312" max="2312" width="12" bestFit="1" customWidth="1"/>
    <col min="2313" max="2313" width="9.7109375" bestFit="1" customWidth="1"/>
    <col min="2314" max="2314" width="14.28515625" bestFit="1" customWidth="1"/>
    <col min="2315" max="2315" width="14.28515625" customWidth="1"/>
    <col min="2316" max="2316" width="10.7109375" bestFit="1" customWidth="1"/>
    <col min="2562" max="2562" width="42" customWidth="1"/>
    <col min="2563" max="2563" width="10.7109375" bestFit="1" customWidth="1"/>
    <col min="2564" max="2564" width="15.140625" bestFit="1" customWidth="1"/>
    <col min="2565" max="2565" width="13.5703125" bestFit="1" customWidth="1"/>
    <col min="2566" max="2566" width="10.7109375" bestFit="1" customWidth="1"/>
    <col min="2567" max="2567" width="9.7109375" bestFit="1" customWidth="1"/>
    <col min="2568" max="2568" width="12" bestFit="1" customWidth="1"/>
    <col min="2569" max="2569" width="9.7109375" bestFit="1" customWidth="1"/>
    <col min="2570" max="2570" width="14.28515625" bestFit="1" customWidth="1"/>
    <col min="2571" max="2571" width="14.28515625" customWidth="1"/>
    <col min="2572" max="2572" width="10.7109375" bestFit="1" customWidth="1"/>
    <col min="2818" max="2818" width="42" customWidth="1"/>
    <col min="2819" max="2819" width="10.7109375" bestFit="1" customWidth="1"/>
    <col min="2820" max="2820" width="15.140625" bestFit="1" customWidth="1"/>
    <col min="2821" max="2821" width="13.5703125" bestFit="1" customWidth="1"/>
    <col min="2822" max="2822" width="10.7109375" bestFit="1" customWidth="1"/>
    <col min="2823" max="2823" width="9.7109375" bestFit="1" customWidth="1"/>
    <col min="2824" max="2824" width="12" bestFit="1" customWidth="1"/>
    <col min="2825" max="2825" width="9.7109375" bestFit="1" customWidth="1"/>
    <col min="2826" max="2826" width="14.28515625" bestFit="1" customWidth="1"/>
    <col min="2827" max="2827" width="14.28515625" customWidth="1"/>
    <col min="2828" max="2828" width="10.7109375" bestFit="1" customWidth="1"/>
    <col min="3074" max="3074" width="42" customWidth="1"/>
    <col min="3075" max="3075" width="10.7109375" bestFit="1" customWidth="1"/>
    <col min="3076" max="3076" width="15.140625" bestFit="1" customWidth="1"/>
    <col min="3077" max="3077" width="13.5703125" bestFit="1" customWidth="1"/>
    <col min="3078" max="3078" width="10.7109375" bestFit="1" customWidth="1"/>
    <col min="3079" max="3079" width="9.7109375" bestFit="1" customWidth="1"/>
    <col min="3080" max="3080" width="12" bestFit="1" customWidth="1"/>
    <col min="3081" max="3081" width="9.7109375" bestFit="1" customWidth="1"/>
    <col min="3082" max="3082" width="14.28515625" bestFit="1" customWidth="1"/>
    <col min="3083" max="3083" width="14.28515625" customWidth="1"/>
    <col min="3084" max="3084" width="10.7109375" bestFit="1" customWidth="1"/>
    <col min="3330" max="3330" width="42" customWidth="1"/>
    <col min="3331" max="3331" width="10.7109375" bestFit="1" customWidth="1"/>
    <col min="3332" max="3332" width="15.140625" bestFit="1" customWidth="1"/>
    <col min="3333" max="3333" width="13.5703125" bestFit="1" customWidth="1"/>
    <col min="3334" max="3334" width="10.7109375" bestFit="1" customWidth="1"/>
    <col min="3335" max="3335" width="9.7109375" bestFit="1" customWidth="1"/>
    <col min="3336" max="3336" width="12" bestFit="1" customWidth="1"/>
    <col min="3337" max="3337" width="9.7109375" bestFit="1" customWidth="1"/>
    <col min="3338" max="3338" width="14.28515625" bestFit="1" customWidth="1"/>
    <col min="3339" max="3339" width="14.28515625" customWidth="1"/>
    <col min="3340" max="3340" width="10.7109375" bestFit="1" customWidth="1"/>
    <col min="3586" max="3586" width="42" customWidth="1"/>
    <col min="3587" max="3587" width="10.7109375" bestFit="1" customWidth="1"/>
    <col min="3588" max="3588" width="15.140625" bestFit="1" customWidth="1"/>
    <col min="3589" max="3589" width="13.5703125" bestFit="1" customWidth="1"/>
    <col min="3590" max="3590" width="10.7109375" bestFit="1" customWidth="1"/>
    <col min="3591" max="3591" width="9.7109375" bestFit="1" customWidth="1"/>
    <col min="3592" max="3592" width="12" bestFit="1" customWidth="1"/>
    <col min="3593" max="3593" width="9.7109375" bestFit="1" customWidth="1"/>
    <col min="3594" max="3594" width="14.28515625" bestFit="1" customWidth="1"/>
    <col min="3595" max="3595" width="14.28515625" customWidth="1"/>
    <col min="3596" max="3596" width="10.7109375" bestFit="1" customWidth="1"/>
    <col min="3842" max="3842" width="42" customWidth="1"/>
    <col min="3843" max="3843" width="10.7109375" bestFit="1" customWidth="1"/>
    <col min="3844" max="3844" width="15.140625" bestFit="1" customWidth="1"/>
    <col min="3845" max="3845" width="13.5703125" bestFit="1" customWidth="1"/>
    <col min="3846" max="3846" width="10.7109375" bestFit="1" customWidth="1"/>
    <col min="3847" max="3847" width="9.7109375" bestFit="1" customWidth="1"/>
    <col min="3848" max="3848" width="12" bestFit="1" customWidth="1"/>
    <col min="3849" max="3849" width="9.7109375" bestFit="1" customWidth="1"/>
    <col min="3850" max="3850" width="14.28515625" bestFit="1" customWidth="1"/>
    <col min="3851" max="3851" width="14.28515625" customWidth="1"/>
    <col min="3852" max="3852" width="10.7109375" bestFit="1" customWidth="1"/>
    <col min="4098" max="4098" width="42" customWidth="1"/>
    <col min="4099" max="4099" width="10.7109375" bestFit="1" customWidth="1"/>
    <col min="4100" max="4100" width="15.140625" bestFit="1" customWidth="1"/>
    <col min="4101" max="4101" width="13.5703125" bestFit="1" customWidth="1"/>
    <col min="4102" max="4102" width="10.7109375" bestFit="1" customWidth="1"/>
    <col min="4103" max="4103" width="9.7109375" bestFit="1" customWidth="1"/>
    <col min="4104" max="4104" width="12" bestFit="1" customWidth="1"/>
    <col min="4105" max="4105" width="9.7109375" bestFit="1" customWidth="1"/>
    <col min="4106" max="4106" width="14.28515625" bestFit="1" customWidth="1"/>
    <col min="4107" max="4107" width="14.28515625" customWidth="1"/>
    <col min="4108" max="4108" width="10.7109375" bestFit="1" customWidth="1"/>
    <col min="4354" max="4354" width="42" customWidth="1"/>
    <col min="4355" max="4355" width="10.7109375" bestFit="1" customWidth="1"/>
    <col min="4356" max="4356" width="15.140625" bestFit="1" customWidth="1"/>
    <col min="4357" max="4357" width="13.5703125" bestFit="1" customWidth="1"/>
    <col min="4358" max="4358" width="10.7109375" bestFit="1" customWidth="1"/>
    <col min="4359" max="4359" width="9.7109375" bestFit="1" customWidth="1"/>
    <col min="4360" max="4360" width="12" bestFit="1" customWidth="1"/>
    <col min="4361" max="4361" width="9.7109375" bestFit="1" customWidth="1"/>
    <col min="4362" max="4362" width="14.28515625" bestFit="1" customWidth="1"/>
    <col min="4363" max="4363" width="14.28515625" customWidth="1"/>
    <col min="4364" max="4364" width="10.7109375" bestFit="1" customWidth="1"/>
    <col min="4610" max="4610" width="42" customWidth="1"/>
    <col min="4611" max="4611" width="10.7109375" bestFit="1" customWidth="1"/>
    <col min="4612" max="4612" width="15.140625" bestFit="1" customWidth="1"/>
    <col min="4613" max="4613" width="13.5703125" bestFit="1" customWidth="1"/>
    <col min="4614" max="4614" width="10.7109375" bestFit="1" customWidth="1"/>
    <col min="4615" max="4615" width="9.7109375" bestFit="1" customWidth="1"/>
    <col min="4616" max="4616" width="12" bestFit="1" customWidth="1"/>
    <col min="4617" max="4617" width="9.7109375" bestFit="1" customWidth="1"/>
    <col min="4618" max="4618" width="14.28515625" bestFit="1" customWidth="1"/>
    <col min="4619" max="4619" width="14.28515625" customWidth="1"/>
    <col min="4620" max="4620" width="10.7109375" bestFit="1" customWidth="1"/>
    <col min="4866" max="4866" width="42" customWidth="1"/>
    <col min="4867" max="4867" width="10.7109375" bestFit="1" customWidth="1"/>
    <col min="4868" max="4868" width="15.140625" bestFit="1" customWidth="1"/>
    <col min="4869" max="4869" width="13.5703125" bestFit="1" customWidth="1"/>
    <col min="4870" max="4870" width="10.7109375" bestFit="1" customWidth="1"/>
    <col min="4871" max="4871" width="9.7109375" bestFit="1" customWidth="1"/>
    <col min="4872" max="4872" width="12" bestFit="1" customWidth="1"/>
    <col min="4873" max="4873" width="9.7109375" bestFit="1" customWidth="1"/>
    <col min="4874" max="4874" width="14.28515625" bestFit="1" customWidth="1"/>
    <col min="4875" max="4875" width="14.28515625" customWidth="1"/>
    <col min="4876" max="4876" width="10.7109375" bestFit="1" customWidth="1"/>
    <col min="5122" max="5122" width="42" customWidth="1"/>
    <col min="5123" max="5123" width="10.7109375" bestFit="1" customWidth="1"/>
    <col min="5124" max="5124" width="15.140625" bestFit="1" customWidth="1"/>
    <col min="5125" max="5125" width="13.5703125" bestFit="1" customWidth="1"/>
    <col min="5126" max="5126" width="10.7109375" bestFit="1" customWidth="1"/>
    <col min="5127" max="5127" width="9.7109375" bestFit="1" customWidth="1"/>
    <col min="5128" max="5128" width="12" bestFit="1" customWidth="1"/>
    <col min="5129" max="5129" width="9.7109375" bestFit="1" customWidth="1"/>
    <col min="5130" max="5130" width="14.28515625" bestFit="1" customWidth="1"/>
    <col min="5131" max="5131" width="14.28515625" customWidth="1"/>
    <col min="5132" max="5132" width="10.7109375" bestFit="1" customWidth="1"/>
    <col min="5378" max="5378" width="42" customWidth="1"/>
    <col min="5379" max="5379" width="10.7109375" bestFit="1" customWidth="1"/>
    <col min="5380" max="5380" width="15.140625" bestFit="1" customWidth="1"/>
    <col min="5381" max="5381" width="13.5703125" bestFit="1" customWidth="1"/>
    <col min="5382" max="5382" width="10.7109375" bestFit="1" customWidth="1"/>
    <col min="5383" max="5383" width="9.7109375" bestFit="1" customWidth="1"/>
    <col min="5384" max="5384" width="12" bestFit="1" customWidth="1"/>
    <col min="5385" max="5385" width="9.7109375" bestFit="1" customWidth="1"/>
    <col min="5386" max="5386" width="14.28515625" bestFit="1" customWidth="1"/>
    <col min="5387" max="5387" width="14.28515625" customWidth="1"/>
    <col min="5388" max="5388" width="10.7109375" bestFit="1" customWidth="1"/>
    <col min="5634" max="5634" width="42" customWidth="1"/>
    <col min="5635" max="5635" width="10.7109375" bestFit="1" customWidth="1"/>
    <col min="5636" max="5636" width="15.140625" bestFit="1" customWidth="1"/>
    <col min="5637" max="5637" width="13.5703125" bestFit="1" customWidth="1"/>
    <col min="5638" max="5638" width="10.7109375" bestFit="1" customWidth="1"/>
    <col min="5639" max="5639" width="9.7109375" bestFit="1" customWidth="1"/>
    <col min="5640" max="5640" width="12" bestFit="1" customWidth="1"/>
    <col min="5641" max="5641" width="9.7109375" bestFit="1" customWidth="1"/>
    <col min="5642" max="5642" width="14.28515625" bestFit="1" customWidth="1"/>
    <col min="5643" max="5643" width="14.28515625" customWidth="1"/>
    <col min="5644" max="5644" width="10.7109375" bestFit="1" customWidth="1"/>
    <col min="5890" max="5890" width="42" customWidth="1"/>
    <col min="5891" max="5891" width="10.7109375" bestFit="1" customWidth="1"/>
    <col min="5892" max="5892" width="15.140625" bestFit="1" customWidth="1"/>
    <col min="5893" max="5893" width="13.5703125" bestFit="1" customWidth="1"/>
    <col min="5894" max="5894" width="10.7109375" bestFit="1" customWidth="1"/>
    <col min="5895" max="5895" width="9.7109375" bestFit="1" customWidth="1"/>
    <col min="5896" max="5896" width="12" bestFit="1" customWidth="1"/>
    <col min="5897" max="5897" width="9.7109375" bestFit="1" customWidth="1"/>
    <col min="5898" max="5898" width="14.28515625" bestFit="1" customWidth="1"/>
    <col min="5899" max="5899" width="14.28515625" customWidth="1"/>
    <col min="5900" max="5900" width="10.7109375" bestFit="1" customWidth="1"/>
    <col min="6146" max="6146" width="42" customWidth="1"/>
    <col min="6147" max="6147" width="10.7109375" bestFit="1" customWidth="1"/>
    <col min="6148" max="6148" width="15.140625" bestFit="1" customWidth="1"/>
    <col min="6149" max="6149" width="13.5703125" bestFit="1" customWidth="1"/>
    <col min="6150" max="6150" width="10.7109375" bestFit="1" customWidth="1"/>
    <col min="6151" max="6151" width="9.7109375" bestFit="1" customWidth="1"/>
    <col min="6152" max="6152" width="12" bestFit="1" customWidth="1"/>
    <col min="6153" max="6153" width="9.7109375" bestFit="1" customWidth="1"/>
    <col min="6154" max="6154" width="14.28515625" bestFit="1" customWidth="1"/>
    <col min="6155" max="6155" width="14.28515625" customWidth="1"/>
    <col min="6156" max="6156" width="10.7109375" bestFit="1" customWidth="1"/>
    <col min="6402" max="6402" width="42" customWidth="1"/>
    <col min="6403" max="6403" width="10.7109375" bestFit="1" customWidth="1"/>
    <col min="6404" max="6404" width="15.140625" bestFit="1" customWidth="1"/>
    <col min="6405" max="6405" width="13.5703125" bestFit="1" customWidth="1"/>
    <col min="6406" max="6406" width="10.7109375" bestFit="1" customWidth="1"/>
    <col min="6407" max="6407" width="9.7109375" bestFit="1" customWidth="1"/>
    <col min="6408" max="6408" width="12" bestFit="1" customWidth="1"/>
    <col min="6409" max="6409" width="9.7109375" bestFit="1" customWidth="1"/>
    <col min="6410" max="6410" width="14.28515625" bestFit="1" customWidth="1"/>
    <col min="6411" max="6411" width="14.28515625" customWidth="1"/>
    <col min="6412" max="6412" width="10.7109375" bestFit="1" customWidth="1"/>
    <col min="6658" max="6658" width="42" customWidth="1"/>
    <col min="6659" max="6659" width="10.7109375" bestFit="1" customWidth="1"/>
    <col min="6660" max="6660" width="15.140625" bestFit="1" customWidth="1"/>
    <col min="6661" max="6661" width="13.5703125" bestFit="1" customWidth="1"/>
    <col min="6662" max="6662" width="10.7109375" bestFit="1" customWidth="1"/>
    <col min="6663" max="6663" width="9.7109375" bestFit="1" customWidth="1"/>
    <col min="6664" max="6664" width="12" bestFit="1" customWidth="1"/>
    <col min="6665" max="6665" width="9.7109375" bestFit="1" customWidth="1"/>
    <col min="6666" max="6666" width="14.28515625" bestFit="1" customWidth="1"/>
    <col min="6667" max="6667" width="14.28515625" customWidth="1"/>
    <col min="6668" max="6668" width="10.7109375" bestFit="1" customWidth="1"/>
    <col min="6914" max="6914" width="42" customWidth="1"/>
    <col min="6915" max="6915" width="10.7109375" bestFit="1" customWidth="1"/>
    <col min="6916" max="6916" width="15.140625" bestFit="1" customWidth="1"/>
    <col min="6917" max="6917" width="13.5703125" bestFit="1" customWidth="1"/>
    <col min="6918" max="6918" width="10.7109375" bestFit="1" customWidth="1"/>
    <col min="6919" max="6919" width="9.7109375" bestFit="1" customWidth="1"/>
    <col min="6920" max="6920" width="12" bestFit="1" customWidth="1"/>
    <col min="6921" max="6921" width="9.7109375" bestFit="1" customWidth="1"/>
    <col min="6922" max="6922" width="14.28515625" bestFit="1" customWidth="1"/>
    <col min="6923" max="6923" width="14.28515625" customWidth="1"/>
    <col min="6924" max="6924" width="10.7109375" bestFit="1" customWidth="1"/>
    <col min="7170" max="7170" width="42" customWidth="1"/>
    <col min="7171" max="7171" width="10.7109375" bestFit="1" customWidth="1"/>
    <col min="7172" max="7172" width="15.140625" bestFit="1" customWidth="1"/>
    <col min="7173" max="7173" width="13.5703125" bestFit="1" customWidth="1"/>
    <col min="7174" max="7174" width="10.7109375" bestFit="1" customWidth="1"/>
    <col min="7175" max="7175" width="9.7109375" bestFit="1" customWidth="1"/>
    <col min="7176" max="7176" width="12" bestFit="1" customWidth="1"/>
    <col min="7177" max="7177" width="9.7109375" bestFit="1" customWidth="1"/>
    <col min="7178" max="7178" width="14.28515625" bestFit="1" customWidth="1"/>
    <col min="7179" max="7179" width="14.28515625" customWidth="1"/>
    <col min="7180" max="7180" width="10.7109375" bestFit="1" customWidth="1"/>
    <col min="7426" max="7426" width="42" customWidth="1"/>
    <col min="7427" max="7427" width="10.7109375" bestFit="1" customWidth="1"/>
    <col min="7428" max="7428" width="15.140625" bestFit="1" customWidth="1"/>
    <col min="7429" max="7429" width="13.5703125" bestFit="1" customWidth="1"/>
    <col min="7430" max="7430" width="10.7109375" bestFit="1" customWidth="1"/>
    <col min="7431" max="7431" width="9.7109375" bestFit="1" customWidth="1"/>
    <col min="7432" max="7432" width="12" bestFit="1" customWidth="1"/>
    <col min="7433" max="7433" width="9.7109375" bestFit="1" customWidth="1"/>
    <col min="7434" max="7434" width="14.28515625" bestFit="1" customWidth="1"/>
    <col min="7435" max="7435" width="14.28515625" customWidth="1"/>
    <col min="7436" max="7436" width="10.7109375" bestFit="1" customWidth="1"/>
    <col min="7682" max="7682" width="42" customWidth="1"/>
    <col min="7683" max="7683" width="10.7109375" bestFit="1" customWidth="1"/>
    <col min="7684" max="7684" width="15.140625" bestFit="1" customWidth="1"/>
    <col min="7685" max="7685" width="13.5703125" bestFit="1" customWidth="1"/>
    <col min="7686" max="7686" width="10.7109375" bestFit="1" customWidth="1"/>
    <col min="7687" max="7687" width="9.7109375" bestFit="1" customWidth="1"/>
    <col min="7688" max="7688" width="12" bestFit="1" customWidth="1"/>
    <col min="7689" max="7689" width="9.7109375" bestFit="1" customWidth="1"/>
    <col min="7690" max="7690" width="14.28515625" bestFit="1" customWidth="1"/>
    <col min="7691" max="7691" width="14.28515625" customWidth="1"/>
    <col min="7692" max="7692" width="10.7109375" bestFit="1" customWidth="1"/>
    <col min="7938" max="7938" width="42" customWidth="1"/>
    <col min="7939" max="7939" width="10.7109375" bestFit="1" customWidth="1"/>
    <col min="7940" max="7940" width="15.140625" bestFit="1" customWidth="1"/>
    <col min="7941" max="7941" width="13.5703125" bestFit="1" customWidth="1"/>
    <col min="7942" max="7942" width="10.7109375" bestFit="1" customWidth="1"/>
    <col min="7943" max="7943" width="9.7109375" bestFit="1" customWidth="1"/>
    <col min="7944" max="7944" width="12" bestFit="1" customWidth="1"/>
    <col min="7945" max="7945" width="9.7109375" bestFit="1" customWidth="1"/>
    <col min="7946" max="7946" width="14.28515625" bestFit="1" customWidth="1"/>
    <col min="7947" max="7947" width="14.28515625" customWidth="1"/>
    <col min="7948" max="7948" width="10.7109375" bestFit="1" customWidth="1"/>
    <col min="8194" max="8194" width="42" customWidth="1"/>
    <col min="8195" max="8195" width="10.7109375" bestFit="1" customWidth="1"/>
    <col min="8196" max="8196" width="15.140625" bestFit="1" customWidth="1"/>
    <col min="8197" max="8197" width="13.5703125" bestFit="1" customWidth="1"/>
    <col min="8198" max="8198" width="10.7109375" bestFit="1" customWidth="1"/>
    <col min="8199" max="8199" width="9.7109375" bestFit="1" customWidth="1"/>
    <col min="8200" max="8200" width="12" bestFit="1" customWidth="1"/>
    <col min="8201" max="8201" width="9.7109375" bestFit="1" customWidth="1"/>
    <col min="8202" max="8202" width="14.28515625" bestFit="1" customWidth="1"/>
    <col min="8203" max="8203" width="14.28515625" customWidth="1"/>
    <col min="8204" max="8204" width="10.7109375" bestFit="1" customWidth="1"/>
    <col min="8450" max="8450" width="42" customWidth="1"/>
    <col min="8451" max="8451" width="10.7109375" bestFit="1" customWidth="1"/>
    <col min="8452" max="8452" width="15.140625" bestFit="1" customWidth="1"/>
    <col min="8453" max="8453" width="13.5703125" bestFit="1" customWidth="1"/>
    <col min="8454" max="8454" width="10.7109375" bestFit="1" customWidth="1"/>
    <col min="8455" max="8455" width="9.7109375" bestFit="1" customWidth="1"/>
    <col min="8456" max="8456" width="12" bestFit="1" customWidth="1"/>
    <col min="8457" max="8457" width="9.7109375" bestFit="1" customWidth="1"/>
    <col min="8458" max="8458" width="14.28515625" bestFit="1" customWidth="1"/>
    <col min="8459" max="8459" width="14.28515625" customWidth="1"/>
    <col min="8460" max="8460" width="10.7109375" bestFit="1" customWidth="1"/>
    <col min="8706" max="8706" width="42" customWidth="1"/>
    <col min="8707" max="8707" width="10.7109375" bestFit="1" customWidth="1"/>
    <col min="8708" max="8708" width="15.140625" bestFit="1" customWidth="1"/>
    <col min="8709" max="8709" width="13.5703125" bestFit="1" customWidth="1"/>
    <col min="8710" max="8710" width="10.7109375" bestFit="1" customWidth="1"/>
    <col min="8711" max="8711" width="9.7109375" bestFit="1" customWidth="1"/>
    <col min="8712" max="8712" width="12" bestFit="1" customWidth="1"/>
    <col min="8713" max="8713" width="9.7109375" bestFit="1" customWidth="1"/>
    <col min="8714" max="8714" width="14.28515625" bestFit="1" customWidth="1"/>
    <col min="8715" max="8715" width="14.28515625" customWidth="1"/>
    <col min="8716" max="8716" width="10.7109375" bestFit="1" customWidth="1"/>
    <col min="8962" max="8962" width="42" customWidth="1"/>
    <col min="8963" max="8963" width="10.7109375" bestFit="1" customWidth="1"/>
    <col min="8964" max="8964" width="15.140625" bestFit="1" customWidth="1"/>
    <col min="8965" max="8965" width="13.5703125" bestFit="1" customWidth="1"/>
    <col min="8966" max="8966" width="10.7109375" bestFit="1" customWidth="1"/>
    <col min="8967" max="8967" width="9.7109375" bestFit="1" customWidth="1"/>
    <col min="8968" max="8968" width="12" bestFit="1" customWidth="1"/>
    <col min="8969" max="8969" width="9.7109375" bestFit="1" customWidth="1"/>
    <col min="8970" max="8970" width="14.28515625" bestFit="1" customWidth="1"/>
    <col min="8971" max="8971" width="14.28515625" customWidth="1"/>
    <col min="8972" max="8972" width="10.7109375" bestFit="1" customWidth="1"/>
    <col min="9218" max="9218" width="42" customWidth="1"/>
    <col min="9219" max="9219" width="10.7109375" bestFit="1" customWidth="1"/>
    <col min="9220" max="9220" width="15.140625" bestFit="1" customWidth="1"/>
    <col min="9221" max="9221" width="13.5703125" bestFit="1" customWidth="1"/>
    <col min="9222" max="9222" width="10.7109375" bestFit="1" customWidth="1"/>
    <col min="9223" max="9223" width="9.7109375" bestFit="1" customWidth="1"/>
    <col min="9224" max="9224" width="12" bestFit="1" customWidth="1"/>
    <col min="9225" max="9225" width="9.7109375" bestFit="1" customWidth="1"/>
    <col min="9226" max="9226" width="14.28515625" bestFit="1" customWidth="1"/>
    <col min="9227" max="9227" width="14.28515625" customWidth="1"/>
    <col min="9228" max="9228" width="10.7109375" bestFit="1" customWidth="1"/>
    <col min="9474" max="9474" width="42" customWidth="1"/>
    <col min="9475" max="9475" width="10.7109375" bestFit="1" customWidth="1"/>
    <col min="9476" max="9476" width="15.140625" bestFit="1" customWidth="1"/>
    <col min="9477" max="9477" width="13.5703125" bestFit="1" customWidth="1"/>
    <col min="9478" max="9478" width="10.7109375" bestFit="1" customWidth="1"/>
    <col min="9479" max="9479" width="9.7109375" bestFit="1" customWidth="1"/>
    <col min="9480" max="9480" width="12" bestFit="1" customWidth="1"/>
    <col min="9481" max="9481" width="9.7109375" bestFit="1" customWidth="1"/>
    <col min="9482" max="9482" width="14.28515625" bestFit="1" customWidth="1"/>
    <col min="9483" max="9483" width="14.28515625" customWidth="1"/>
    <col min="9484" max="9484" width="10.7109375" bestFit="1" customWidth="1"/>
    <col min="9730" max="9730" width="42" customWidth="1"/>
    <col min="9731" max="9731" width="10.7109375" bestFit="1" customWidth="1"/>
    <col min="9732" max="9732" width="15.140625" bestFit="1" customWidth="1"/>
    <col min="9733" max="9733" width="13.5703125" bestFit="1" customWidth="1"/>
    <col min="9734" max="9734" width="10.7109375" bestFit="1" customWidth="1"/>
    <col min="9735" max="9735" width="9.7109375" bestFit="1" customWidth="1"/>
    <col min="9736" max="9736" width="12" bestFit="1" customWidth="1"/>
    <col min="9737" max="9737" width="9.7109375" bestFit="1" customWidth="1"/>
    <col min="9738" max="9738" width="14.28515625" bestFit="1" customWidth="1"/>
    <col min="9739" max="9739" width="14.28515625" customWidth="1"/>
    <col min="9740" max="9740" width="10.7109375" bestFit="1" customWidth="1"/>
    <col min="9986" max="9986" width="42" customWidth="1"/>
    <col min="9987" max="9987" width="10.7109375" bestFit="1" customWidth="1"/>
    <col min="9988" max="9988" width="15.140625" bestFit="1" customWidth="1"/>
    <col min="9989" max="9989" width="13.5703125" bestFit="1" customWidth="1"/>
    <col min="9990" max="9990" width="10.7109375" bestFit="1" customWidth="1"/>
    <col min="9991" max="9991" width="9.7109375" bestFit="1" customWidth="1"/>
    <col min="9992" max="9992" width="12" bestFit="1" customWidth="1"/>
    <col min="9993" max="9993" width="9.7109375" bestFit="1" customWidth="1"/>
    <col min="9994" max="9994" width="14.28515625" bestFit="1" customWidth="1"/>
    <col min="9995" max="9995" width="14.28515625" customWidth="1"/>
    <col min="9996" max="9996" width="10.7109375" bestFit="1" customWidth="1"/>
    <col min="10242" max="10242" width="42" customWidth="1"/>
    <col min="10243" max="10243" width="10.7109375" bestFit="1" customWidth="1"/>
    <col min="10244" max="10244" width="15.140625" bestFit="1" customWidth="1"/>
    <col min="10245" max="10245" width="13.5703125" bestFit="1" customWidth="1"/>
    <col min="10246" max="10246" width="10.7109375" bestFit="1" customWidth="1"/>
    <col min="10247" max="10247" width="9.7109375" bestFit="1" customWidth="1"/>
    <col min="10248" max="10248" width="12" bestFit="1" customWidth="1"/>
    <col min="10249" max="10249" width="9.7109375" bestFit="1" customWidth="1"/>
    <col min="10250" max="10250" width="14.28515625" bestFit="1" customWidth="1"/>
    <col min="10251" max="10251" width="14.28515625" customWidth="1"/>
    <col min="10252" max="10252" width="10.7109375" bestFit="1" customWidth="1"/>
    <col min="10498" max="10498" width="42" customWidth="1"/>
    <col min="10499" max="10499" width="10.7109375" bestFit="1" customWidth="1"/>
    <col min="10500" max="10500" width="15.140625" bestFit="1" customWidth="1"/>
    <col min="10501" max="10501" width="13.5703125" bestFit="1" customWidth="1"/>
    <col min="10502" max="10502" width="10.7109375" bestFit="1" customWidth="1"/>
    <col min="10503" max="10503" width="9.7109375" bestFit="1" customWidth="1"/>
    <col min="10504" max="10504" width="12" bestFit="1" customWidth="1"/>
    <col min="10505" max="10505" width="9.7109375" bestFit="1" customWidth="1"/>
    <col min="10506" max="10506" width="14.28515625" bestFit="1" customWidth="1"/>
    <col min="10507" max="10507" width="14.28515625" customWidth="1"/>
    <col min="10508" max="10508" width="10.7109375" bestFit="1" customWidth="1"/>
    <col min="10754" max="10754" width="42" customWidth="1"/>
    <col min="10755" max="10755" width="10.7109375" bestFit="1" customWidth="1"/>
    <col min="10756" max="10756" width="15.140625" bestFit="1" customWidth="1"/>
    <col min="10757" max="10757" width="13.5703125" bestFit="1" customWidth="1"/>
    <col min="10758" max="10758" width="10.7109375" bestFit="1" customWidth="1"/>
    <col min="10759" max="10759" width="9.7109375" bestFit="1" customWidth="1"/>
    <col min="10760" max="10760" width="12" bestFit="1" customWidth="1"/>
    <col min="10761" max="10761" width="9.7109375" bestFit="1" customWidth="1"/>
    <col min="10762" max="10762" width="14.28515625" bestFit="1" customWidth="1"/>
    <col min="10763" max="10763" width="14.28515625" customWidth="1"/>
    <col min="10764" max="10764" width="10.7109375" bestFit="1" customWidth="1"/>
    <col min="11010" max="11010" width="42" customWidth="1"/>
    <col min="11011" max="11011" width="10.7109375" bestFit="1" customWidth="1"/>
    <col min="11012" max="11012" width="15.140625" bestFit="1" customWidth="1"/>
    <col min="11013" max="11013" width="13.5703125" bestFit="1" customWidth="1"/>
    <col min="11014" max="11014" width="10.7109375" bestFit="1" customWidth="1"/>
    <col min="11015" max="11015" width="9.7109375" bestFit="1" customWidth="1"/>
    <col min="11016" max="11016" width="12" bestFit="1" customWidth="1"/>
    <col min="11017" max="11017" width="9.7109375" bestFit="1" customWidth="1"/>
    <col min="11018" max="11018" width="14.28515625" bestFit="1" customWidth="1"/>
    <col min="11019" max="11019" width="14.28515625" customWidth="1"/>
    <col min="11020" max="11020" width="10.7109375" bestFit="1" customWidth="1"/>
    <col min="11266" max="11266" width="42" customWidth="1"/>
    <col min="11267" max="11267" width="10.7109375" bestFit="1" customWidth="1"/>
    <col min="11268" max="11268" width="15.140625" bestFit="1" customWidth="1"/>
    <col min="11269" max="11269" width="13.5703125" bestFit="1" customWidth="1"/>
    <col min="11270" max="11270" width="10.7109375" bestFit="1" customWidth="1"/>
    <col min="11271" max="11271" width="9.7109375" bestFit="1" customWidth="1"/>
    <col min="11272" max="11272" width="12" bestFit="1" customWidth="1"/>
    <col min="11273" max="11273" width="9.7109375" bestFit="1" customWidth="1"/>
    <col min="11274" max="11274" width="14.28515625" bestFit="1" customWidth="1"/>
    <col min="11275" max="11275" width="14.28515625" customWidth="1"/>
    <col min="11276" max="11276" width="10.7109375" bestFit="1" customWidth="1"/>
    <col min="11522" max="11522" width="42" customWidth="1"/>
    <col min="11523" max="11523" width="10.7109375" bestFit="1" customWidth="1"/>
    <col min="11524" max="11524" width="15.140625" bestFit="1" customWidth="1"/>
    <col min="11525" max="11525" width="13.5703125" bestFit="1" customWidth="1"/>
    <col min="11526" max="11526" width="10.7109375" bestFit="1" customWidth="1"/>
    <col min="11527" max="11527" width="9.7109375" bestFit="1" customWidth="1"/>
    <col min="11528" max="11528" width="12" bestFit="1" customWidth="1"/>
    <col min="11529" max="11529" width="9.7109375" bestFit="1" customWidth="1"/>
    <col min="11530" max="11530" width="14.28515625" bestFit="1" customWidth="1"/>
    <col min="11531" max="11531" width="14.28515625" customWidth="1"/>
    <col min="11532" max="11532" width="10.7109375" bestFit="1" customWidth="1"/>
    <col min="11778" max="11778" width="42" customWidth="1"/>
    <col min="11779" max="11779" width="10.7109375" bestFit="1" customWidth="1"/>
    <col min="11780" max="11780" width="15.140625" bestFit="1" customWidth="1"/>
    <col min="11781" max="11781" width="13.5703125" bestFit="1" customWidth="1"/>
    <col min="11782" max="11782" width="10.7109375" bestFit="1" customWidth="1"/>
    <col min="11783" max="11783" width="9.7109375" bestFit="1" customWidth="1"/>
    <col min="11784" max="11784" width="12" bestFit="1" customWidth="1"/>
    <col min="11785" max="11785" width="9.7109375" bestFit="1" customWidth="1"/>
    <col min="11786" max="11786" width="14.28515625" bestFit="1" customWidth="1"/>
    <col min="11787" max="11787" width="14.28515625" customWidth="1"/>
    <col min="11788" max="11788" width="10.7109375" bestFit="1" customWidth="1"/>
    <col min="12034" max="12034" width="42" customWidth="1"/>
    <col min="12035" max="12035" width="10.7109375" bestFit="1" customWidth="1"/>
    <col min="12036" max="12036" width="15.140625" bestFit="1" customWidth="1"/>
    <col min="12037" max="12037" width="13.5703125" bestFit="1" customWidth="1"/>
    <col min="12038" max="12038" width="10.7109375" bestFit="1" customWidth="1"/>
    <col min="12039" max="12039" width="9.7109375" bestFit="1" customWidth="1"/>
    <col min="12040" max="12040" width="12" bestFit="1" customWidth="1"/>
    <col min="12041" max="12041" width="9.7109375" bestFit="1" customWidth="1"/>
    <col min="12042" max="12042" width="14.28515625" bestFit="1" customWidth="1"/>
    <col min="12043" max="12043" width="14.28515625" customWidth="1"/>
    <col min="12044" max="12044" width="10.7109375" bestFit="1" customWidth="1"/>
    <col min="12290" max="12290" width="42" customWidth="1"/>
    <col min="12291" max="12291" width="10.7109375" bestFit="1" customWidth="1"/>
    <col min="12292" max="12292" width="15.140625" bestFit="1" customWidth="1"/>
    <col min="12293" max="12293" width="13.5703125" bestFit="1" customWidth="1"/>
    <col min="12294" max="12294" width="10.7109375" bestFit="1" customWidth="1"/>
    <col min="12295" max="12295" width="9.7109375" bestFit="1" customWidth="1"/>
    <col min="12296" max="12296" width="12" bestFit="1" customWidth="1"/>
    <col min="12297" max="12297" width="9.7109375" bestFit="1" customWidth="1"/>
    <col min="12298" max="12298" width="14.28515625" bestFit="1" customWidth="1"/>
    <col min="12299" max="12299" width="14.28515625" customWidth="1"/>
    <col min="12300" max="12300" width="10.7109375" bestFit="1" customWidth="1"/>
    <col min="12546" max="12546" width="42" customWidth="1"/>
    <col min="12547" max="12547" width="10.7109375" bestFit="1" customWidth="1"/>
    <col min="12548" max="12548" width="15.140625" bestFit="1" customWidth="1"/>
    <col min="12549" max="12549" width="13.5703125" bestFit="1" customWidth="1"/>
    <col min="12550" max="12550" width="10.7109375" bestFit="1" customWidth="1"/>
    <col min="12551" max="12551" width="9.7109375" bestFit="1" customWidth="1"/>
    <col min="12552" max="12552" width="12" bestFit="1" customWidth="1"/>
    <col min="12553" max="12553" width="9.7109375" bestFit="1" customWidth="1"/>
    <col min="12554" max="12554" width="14.28515625" bestFit="1" customWidth="1"/>
    <col min="12555" max="12555" width="14.28515625" customWidth="1"/>
    <col min="12556" max="12556" width="10.7109375" bestFit="1" customWidth="1"/>
    <col min="12802" max="12802" width="42" customWidth="1"/>
    <col min="12803" max="12803" width="10.7109375" bestFit="1" customWidth="1"/>
    <col min="12804" max="12804" width="15.140625" bestFit="1" customWidth="1"/>
    <col min="12805" max="12805" width="13.5703125" bestFit="1" customWidth="1"/>
    <col min="12806" max="12806" width="10.7109375" bestFit="1" customWidth="1"/>
    <col min="12807" max="12807" width="9.7109375" bestFit="1" customWidth="1"/>
    <col min="12808" max="12808" width="12" bestFit="1" customWidth="1"/>
    <col min="12809" max="12809" width="9.7109375" bestFit="1" customWidth="1"/>
    <col min="12810" max="12810" width="14.28515625" bestFit="1" customWidth="1"/>
    <col min="12811" max="12811" width="14.28515625" customWidth="1"/>
    <col min="12812" max="12812" width="10.7109375" bestFit="1" customWidth="1"/>
    <col min="13058" max="13058" width="42" customWidth="1"/>
    <col min="13059" max="13059" width="10.7109375" bestFit="1" customWidth="1"/>
    <col min="13060" max="13060" width="15.140625" bestFit="1" customWidth="1"/>
    <col min="13061" max="13061" width="13.5703125" bestFit="1" customWidth="1"/>
    <col min="13062" max="13062" width="10.7109375" bestFit="1" customWidth="1"/>
    <col min="13063" max="13063" width="9.7109375" bestFit="1" customWidth="1"/>
    <col min="13064" max="13064" width="12" bestFit="1" customWidth="1"/>
    <col min="13065" max="13065" width="9.7109375" bestFit="1" customWidth="1"/>
    <col min="13066" max="13066" width="14.28515625" bestFit="1" customWidth="1"/>
    <col min="13067" max="13067" width="14.28515625" customWidth="1"/>
    <col min="13068" max="13068" width="10.7109375" bestFit="1" customWidth="1"/>
    <col min="13314" max="13314" width="42" customWidth="1"/>
    <col min="13315" max="13315" width="10.7109375" bestFit="1" customWidth="1"/>
    <col min="13316" max="13316" width="15.140625" bestFit="1" customWidth="1"/>
    <col min="13317" max="13317" width="13.5703125" bestFit="1" customWidth="1"/>
    <col min="13318" max="13318" width="10.7109375" bestFit="1" customWidth="1"/>
    <col min="13319" max="13319" width="9.7109375" bestFit="1" customWidth="1"/>
    <col min="13320" max="13320" width="12" bestFit="1" customWidth="1"/>
    <col min="13321" max="13321" width="9.7109375" bestFit="1" customWidth="1"/>
    <col min="13322" max="13322" width="14.28515625" bestFit="1" customWidth="1"/>
    <col min="13323" max="13323" width="14.28515625" customWidth="1"/>
    <col min="13324" max="13324" width="10.7109375" bestFit="1" customWidth="1"/>
    <col min="13570" max="13570" width="42" customWidth="1"/>
    <col min="13571" max="13571" width="10.7109375" bestFit="1" customWidth="1"/>
    <col min="13572" max="13572" width="15.140625" bestFit="1" customWidth="1"/>
    <col min="13573" max="13573" width="13.5703125" bestFit="1" customWidth="1"/>
    <col min="13574" max="13574" width="10.7109375" bestFit="1" customWidth="1"/>
    <col min="13575" max="13575" width="9.7109375" bestFit="1" customWidth="1"/>
    <col min="13576" max="13576" width="12" bestFit="1" customWidth="1"/>
    <col min="13577" max="13577" width="9.7109375" bestFit="1" customWidth="1"/>
    <col min="13578" max="13578" width="14.28515625" bestFit="1" customWidth="1"/>
    <col min="13579" max="13579" width="14.28515625" customWidth="1"/>
    <col min="13580" max="13580" width="10.7109375" bestFit="1" customWidth="1"/>
    <col min="13826" max="13826" width="42" customWidth="1"/>
    <col min="13827" max="13827" width="10.7109375" bestFit="1" customWidth="1"/>
    <col min="13828" max="13828" width="15.140625" bestFit="1" customWidth="1"/>
    <col min="13829" max="13829" width="13.5703125" bestFit="1" customWidth="1"/>
    <col min="13830" max="13830" width="10.7109375" bestFit="1" customWidth="1"/>
    <col min="13831" max="13831" width="9.7109375" bestFit="1" customWidth="1"/>
    <col min="13832" max="13832" width="12" bestFit="1" customWidth="1"/>
    <col min="13833" max="13833" width="9.7109375" bestFit="1" customWidth="1"/>
    <col min="13834" max="13834" width="14.28515625" bestFit="1" customWidth="1"/>
    <col min="13835" max="13835" width="14.28515625" customWidth="1"/>
    <col min="13836" max="13836" width="10.7109375" bestFit="1" customWidth="1"/>
    <col min="14082" max="14082" width="42" customWidth="1"/>
    <col min="14083" max="14083" width="10.7109375" bestFit="1" customWidth="1"/>
    <col min="14084" max="14084" width="15.140625" bestFit="1" customWidth="1"/>
    <col min="14085" max="14085" width="13.5703125" bestFit="1" customWidth="1"/>
    <col min="14086" max="14086" width="10.7109375" bestFit="1" customWidth="1"/>
    <col min="14087" max="14087" width="9.7109375" bestFit="1" customWidth="1"/>
    <col min="14088" max="14088" width="12" bestFit="1" customWidth="1"/>
    <col min="14089" max="14089" width="9.7109375" bestFit="1" customWidth="1"/>
    <col min="14090" max="14090" width="14.28515625" bestFit="1" customWidth="1"/>
    <col min="14091" max="14091" width="14.28515625" customWidth="1"/>
    <col min="14092" max="14092" width="10.7109375" bestFit="1" customWidth="1"/>
    <col min="14338" max="14338" width="42" customWidth="1"/>
    <col min="14339" max="14339" width="10.7109375" bestFit="1" customWidth="1"/>
    <col min="14340" max="14340" width="15.140625" bestFit="1" customWidth="1"/>
    <col min="14341" max="14341" width="13.5703125" bestFit="1" customWidth="1"/>
    <col min="14342" max="14342" width="10.7109375" bestFit="1" customWidth="1"/>
    <col min="14343" max="14343" width="9.7109375" bestFit="1" customWidth="1"/>
    <col min="14344" max="14344" width="12" bestFit="1" customWidth="1"/>
    <col min="14345" max="14345" width="9.7109375" bestFit="1" customWidth="1"/>
    <col min="14346" max="14346" width="14.28515625" bestFit="1" customWidth="1"/>
    <col min="14347" max="14347" width="14.28515625" customWidth="1"/>
    <col min="14348" max="14348" width="10.7109375" bestFit="1" customWidth="1"/>
    <col min="14594" max="14594" width="42" customWidth="1"/>
    <col min="14595" max="14595" width="10.7109375" bestFit="1" customWidth="1"/>
    <col min="14596" max="14596" width="15.140625" bestFit="1" customWidth="1"/>
    <col min="14597" max="14597" width="13.5703125" bestFit="1" customWidth="1"/>
    <col min="14598" max="14598" width="10.7109375" bestFit="1" customWidth="1"/>
    <col min="14599" max="14599" width="9.7109375" bestFit="1" customWidth="1"/>
    <col min="14600" max="14600" width="12" bestFit="1" customWidth="1"/>
    <col min="14601" max="14601" width="9.7109375" bestFit="1" customWidth="1"/>
    <col min="14602" max="14602" width="14.28515625" bestFit="1" customWidth="1"/>
    <col min="14603" max="14603" width="14.28515625" customWidth="1"/>
    <col min="14604" max="14604" width="10.7109375" bestFit="1" customWidth="1"/>
    <col min="14850" max="14850" width="42" customWidth="1"/>
    <col min="14851" max="14851" width="10.7109375" bestFit="1" customWidth="1"/>
    <col min="14852" max="14852" width="15.140625" bestFit="1" customWidth="1"/>
    <col min="14853" max="14853" width="13.5703125" bestFit="1" customWidth="1"/>
    <col min="14854" max="14854" width="10.7109375" bestFit="1" customWidth="1"/>
    <col min="14855" max="14855" width="9.7109375" bestFit="1" customWidth="1"/>
    <col min="14856" max="14856" width="12" bestFit="1" customWidth="1"/>
    <col min="14857" max="14857" width="9.7109375" bestFit="1" customWidth="1"/>
    <col min="14858" max="14858" width="14.28515625" bestFit="1" customWidth="1"/>
    <col min="14859" max="14859" width="14.28515625" customWidth="1"/>
    <col min="14860" max="14860" width="10.7109375" bestFit="1" customWidth="1"/>
    <col min="15106" max="15106" width="42" customWidth="1"/>
    <col min="15107" max="15107" width="10.7109375" bestFit="1" customWidth="1"/>
    <col min="15108" max="15108" width="15.140625" bestFit="1" customWidth="1"/>
    <col min="15109" max="15109" width="13.5703125" bestFit="1" customWidth="1"/>
    <col min="15110" max="15110" width="10.7109375" bestFit="1" customWidth="1"/>
    <col min="15111" max="15111" width="9.7109375" bestFit="1" customWidth="1"/>
    <col min="15112" max="15112" width="12" bestFit="1" customWidth="1"/>
    <col min="15113" max="15113" width="9.7109375" bestFit="1" customWidth="1"/>
    <col min="15114" max="15114" width="14.28515625" bestFit="1" customWidth="1"/>
    <col min="15115" max="15115" width="14.28515625" customWidth="1"/>
    <col min="15116" max="15116" width="10.7109375" bestFit="1" customWidth="1"/>
    <col min="15362" max="15362" width="42" customWidth="1"/>
    <col min="15363" max="15363" width="10.7109375" bestFit="1" customWidth="1"/>
    <col min="15364" max="15364" width="15.140625" bestFit="1" customWidth="1"/>
    <col min="15365" max="15365" width="13.5703125" bestFit="1" customWidth="1"/>
    <col min="15366" max="15366" width="10.7109375" bestFit="1" customWidth="1"/>
    <col min="15367" max="15367" width="9.7109375" bestFit="1" customWidth="1"/>
    <col min="15368" max="15368" width="12" bestFit="1" customWidth="1"/>
    <col min="15369" max="15369" width="9.7109375" bestFit="1" customWidth="1"/>
    <col min="15370" max="15370" width="14.28515625" bestFit="1" customWidth="1"/>
    <col min="15371" max="15371" width="14.28515625" customWidth="1"/>
    <col min="15372" max="15372" width="10.7109375" bestFit="1" customWidth="1"/>
    <col min="15618" max="15618" width="42" customWidth="1"/>
    <col min="15619" max="15619" width="10.7109375" bestFit="1" customWidth="1"/>
    <col min="15620" max="15620" width="15.140625" bestFit="1" customWidth="1"/>
    <col min="15621" max="15621" width="13.5703125" bestFit="1" customWidth="1"/>
    <col min="15622" max="15622" width="10.7109375" bestFit="1" customWidth="1"/>
    <col min="15623" max="15623" width="9.7109375" bestFit="1" customWidth="1"/>
    <col min="15624" max="15624" width="12" bestFit="1" customWidth="1"/>
    <col min="15625" max="15625" width="9.7109375" bestFit="1" customWidth="1"/>
    <col min="15626" max="15626" width="14.28515625" bestFit="1" customWidth="1"/>
    <col min="15627" max="15627" width="14.28515625" customWidth="1"/>
    <col min="15628" max="15628" width="10.7109375" bestFit="1" customWidth="1"/>
    <col min="15874" max="15874" width="42" customWidth="1"/>
    <col min="15875" max="15875" width="10.7109375" bestFit="1" customWidth="1"/>
    <col min="15876" max="15876" width="15.140625" bestFit="1" customWidth="1"/>
    <col min="15877" max="15877" width="13.5703125" bestFit="1" customWidth="1"/>
    <col min="15878" max="15878" width="10.7109375" bestFit="1" customWidth="1"/>
    <col min="15879" max="15879" width="9.7109375" bestFit="1" customWidth="1"/>
    <col min="15880" max="15880" width="12" bestFit="1" customWidth="1"/>
    <col min="15881" max="15881" width="9.7109375" bestFit="1" customWidth="1"/>
    <col min="15882" max="15882" width="14.28515625" bestFit="1" customWidth="1"/>
    <col min="15883" max="15883" width="14.28515625" customWidth="1"/>
    <col min="15884" max="15884" width="10.7109375" bestFit="1" customWidth="1"/>
    <col min="16130" max="16130" width="42" customWidth="1"/>
    <col min="16131" max="16131" width="10.7109375" bestFit="1" customWidth="1"/>
    <col min="16132" max="16132" width="15.140625" bestFit="1" customWidth="1"/>
    <col min="16133" max="16133" width="13.5703125" bestFit="1" customWidth="1"/>
    <col min="16134" max="16134" width="10.7109375" bestFit="1" customWidth="1"/>
    <col min="16135" max="16135" width="9.7109375" bestFit="1" customWidth="1"/>
    <col min="16136" max="16136" width="12" bestFit="1" customWidth="1"/>
    <col min="16137" max="16137" width="9.7109375" bestFit="1" customWidth="1"/>
    <col min="16138" max="16138" width="14.28515625" bestFit="1" customWidth="1"/>
    <col min="16139" max="16139" width="14.28515625" customWidth="1"/>
    <col min="16140" max="16140" width="10.7109375" bestFit="1" customWidth="1"/>
  </cols>
  <sheetData>
    <row r="1" spans="1:13">
      <c r="A1" s="847" t="s">
        <v>779</v>
      </c>
      <c r="J1" s="781"/>
      <c r="M1" s="781" t="s">
        <v>1504</v>
      </c>
    </row>
    <row r="2" spans="1:13">
      <c r="A2" s="847" t="s">
        <v>383</v>
      </c>
      <c r="J2" s="781"/>
      <c r="M2" s="781" t="str">
        <f ca="1">MID(CELL("filename",$A$1),FIND("]",CELL("filename",$A$1))+1,LEN(CELL("filename",$A$1))-FIND("]",CELL("filename",$A$1)))</f>
        <v>WP_O&amp;M Cost</v>
      </c>
    </row>
    <row r="3" spans="1:13" ht="15">
      <c r="A3" s="805" t="s">
        <v>1525</v>
      </c>
      <c r="B3" s="1140"/>
      <c r="C3" s="1140"/>
      <c r="D3" s="1140"/>
      <c r="E3" s="1140"/>
      <c r="F3" s="1140"/>
      <c r="G3" s="1140"/>
      <c r="H3" s="1140"/>
      <c r="I3" s="1140"/>
      <c r="J3" s="1140"/>
      <c r="K3" s="1140"/>
      <c r="L3" s="1140"/>
      <c r="M3" s="1140"/>
    </row>
    <row r="4" spans="1:13" ht="15">
      <c r="A4" s="798" t="s">
        <v>1454</v>
      </c>
      <c r="B4" s="1011"/>
      <c r="C4" s="1011"/>
      <c r="D4" s="1012"/>
      <c r="E4" s="1012"/>
      <c r="F4" s="1013"/>
      <c r="G4" s="1012"/>
      <c r="H4" s="1011"/>
      <c r="I4" s="1012"/>
      <c r="J4" s="1140"/>
      <c r="K4" s="1140"/>
      <c r="L4" s="1140"/>
      <c r="M4" s="1140"/>
    </row>
    <row r="5" spans="1:13" ht="15">
      <c r="A5" s="1140"/>
      <c r="B5" s="1140"/>
      <c r="C5" s="806"/>
      <c r="D5" s="806"/>
      <c r="E5" s="806"/>
      <c r="F5" s="806"/>
      <c r="G5" s="806"/>
      <c r="H5" s="806"/>
      <c r="I5" s="806"/>
      <c r="J5" s="806"/>
      <c r="K5" s="806"/>
      <c r="L5" s="1140"/>
      <c r="M5" s="1140"/>
    </row>
    <row r="6" spans="1:13" ht="76.5">
      <c r="A6" s="1014" t="s">
        <v>1385</v>
      </c>
      <c r="B6" s="1014" t="s">
        <v>466</v>
      </c>
      <c r="C6" s="792" t="s">
        <v>1526</v>
      </c>
      <c r="D6" s="1015" t="s">
        <v>1527</v>
      </c>
      <c r="E6" s="808" t="s">
        <v>1528</v>
      </c>
      <c r="F6" s="808" t="s">
        <v>1529</v>
      </c>
      <c r="G6" s="808" t="s">
        <v>1530</v>
      </c>
      <c r="H6" s="808" t="s">
        <v>1531</v>
      </c>
      <c r="I6" s="808" t="s">
        <v>1532</v>
      </c>
      <c r="J6" s="808" t="s">
        <v>1533</v>
      </c>
      <c r="K6" s="808" t="s">
        <v>1534</v>
      </c>
      <c r="L6" s="808" t="s">
        <v>1535</v>
      </c>
      <c r="M6" s="808" t="s">
        <v>1536</v>
      </c>
    </row>
    <row r="7" spans="1:13">
      <c r="A7" s="1017"/>
      <c r="B7" s="1018" t="s">
        <v>1467</v>
      </c>
      <c r="C7" s="1018" t="s">
        <v>1468</v>
      </c>
      <c r="D7" s="1018" t="s">
        <v>1469</v>
      </c>
      <c r="E7" s="1018" t="s">
        <v>1470</v>
      </c>
      <c r="F7" s="1018" t="s">
        <v>1471</v>
      </c>
      <c r="G7" s="1018" t="s">
        <v>1472</v>
      </c>
      <c r="H7" s="1018" t="s">
        <v>1473</v>
      </c>
      <c r="I7" s="1018" t="s">
        <v>1474</v>
      </c>
      <c r="J7" s="1018" t="s">
        <v>1537</v>
      </c>
      <c r="K7" s="1018" t="s">
        <v>1538</v>
      </c>
      <c r="L7" s="1018" t="s">
        <v>1539</v>
      </c>
      <c r="M7" s="1018" t="s">
        <v>1540</v>
      </c>
    </row>
    <row r="8" spans="1:13" ht="15">
      <c r="A8" s="1140"/>
      <c r="B8" s="1140"/>
      <c r="C8" s="1140"/>
      <c r="D8" s="1140"/>
      <c r="E8" s="1140"/>
      <c r="F8" s="1140"/>
      <c r="G8" s="1140"/>
      <c r="H8" s="1140"/>
      <c r="I8" s="1140"/>
      <c r="J8" s="1140"/>
      <c r="K8" s="1140"/>
      <c r="L8" s="1140"/>
      <c r="M8" s="1140"/>
    </row>
    <row r="9" spans="1:13">
      <c r="A9" s="1019">
        <v>1</v>
      </c>
      <c r="B9" s="1020" t="s">
        <v>435</v>
      </c>
      <c r="C9" s="1141">
        <v>0</v>
      </c>
      <c r="D9" s="1141">
        <v>15065</v>
      </c>
      <c r="E9" s="1141">
        <v>0</v>
      </c>
      <c r="F9" s="1141">
        <v>0</v>
      </c>
      <c r="G9" s="1141">
        <v>832</v>
      </c>
      <c r="H9" s="1141">
        <v>79601</v>
      </c>
      <c r="I9" s="1141">
        <v>0</v>
      </c>
      <c r="J9" s="1141">
        <v>5836</v>
      </c>
      <c r="K9" s="1141">
        <v>-2530</v>
      </c>
      <c r="L9" s="1142">
        <f>SUM(D9:K9)</f>
        <v>98804</v>
      </c>
      <c r="M9" s="1176">
        <f>IF(C9=0,0,L9/C9/1000)</f>
        <v>0</v>
      </c>
    </row>
    <row r="10" spans="1:13">
      <c r="A10" s="1019">
        <v>2</v>
      </c>
      <c r="B10" s="1020" t="s">
        <v>436</v>
      </c>
      <c r="C10" s="1141">
        <v>1482.6383999999998</v>
      </c>
      <c r="D10" s="1141">
        <v>730186</v>
      </c>
      <c r="E10" s="1141">
        <v>0</v>
      </c>
      <c r="F10" s="1141">
        <v>4309135</v>
      </c>
      <c r="G10" s="1141">
        <v>1213341</v>
      </c>
      <c r="H10" s="1141">
        <v>5355585</v>
      </c>
      <c r="I10" s="1141">
        <v>1697128</v>
      </c>
      <c r="J10" s="1141">
        <v>1713288</v>
      </c>
      <c r="K10" s="1141">
        <v>3972536</v>
      </c>
      <c r="L10" s="1142">
        <f t="shared" ref="L10:L30" si="0">SUM(D10:K10)</f>
        <v>18991199</v>
      </c>
      <c r="M10" s="1176">
        <f t="shared" ref="M10:M30" si="1">IF(C10=0,0,L10/C10/1000)</f>
        <v>12.809056476616282</v>
      </c>
    </row>
    <row r="11" spans="1:13">
      <c r="A11" s="1019">
        <v>3</v>
      </c>
      <c r="B11" s="1020" t="s">
        <v>437</v>
      </c>
      <c r="C11" s="1141">
        <v>959.88279999999997</v>
      </c>
      <c r="D11" s="1141">
        <v>903213</v>
      </c>
      <c r="E11" s="1141">
        <v>0</v>
      </c>
      <c r="F11" s="1141">
        <v>16443540</v>
      </c>
      <c r="G11" s="1141">
        <v>1218834</v>
      </c>
      <c r="H11" s="1141">
        <v>4122992</v>
      </c>
      <c r="I11" s="1141">
        <v>2788527</v>
      </c>
      <c r="J11" s="1141">
        <v>2466334</v>
      </c>
      <c r="K11" s="1141">
        <v>4411940</v>
      </c>
      <c r="L11" s="1142">
        <f t="shared" si="0"/>
        <v>32355380</v>
      </c>
      <c r="M11" s="1176">
        <f t="shared" si="1"/>
        <v>33.707635973891811</v>
      </c>
    </row>
    <row r="12" spans="1:13">
      <c r="A12" s="1019">
        <v>4</v>
      </c>
      <c r="B12" s="1020" t="s">
        <v>438</v>
      </c>
      <c r="C12" s="1141">
        <v>1129.453</v>
      </c>
      <c r="D12" s="1141">
        <v>280665</v>
      </c>
      <c r="E12" s="1141">
        <v>0</v>
      </c>
      <c r="F12" s="1141">
        <v>592428</v>
      </c>
      <c r="G12" s="1141">
        <v>274367</v>
      </c>
      <c r="H12" s="1141">
        <v>557624</v>
      </c>
      <c r="I12" s="1141">
        <v>50386</v>
      </c>
      <c r="J12" s="1141">
        <v>211899</v>
      </c>
      <c r="K12" s="1141">
        <v>428036</v>
      </c>
      <c r="L12" s="1142">
        <f t="shared" si="0"/>
        <v>2395405</v>
      </c>
      <c r="M12" s="1176">
        <f t="shared" si="1"/>
        <v>2.120854077150621</v>
      </c>
    </row>
    <row r="13" spans="1:13">
      <c r="A13" s="1019">
        <v>5</v>
      </c>
      <c r="B13" s="1020" t="s">
        <v>446</v>
      </c>
      <c r="C13" s="1141">
        <v>725.93730000000005</v>
      </c>
      <c r="D13" s="1141">
        <v>360697</v>
      </c>
      <c r="E13" s="1141">
        <v>0</v>
      </c>
      <c r="F13" s="1141">
        <v>2553062</v>
      </c>
      <c r="G13" s="1141">
        <v>136179</v>
      </c>
      <c r="H13" s="1141">
        <v>1960144</v>
      </c>
      <c r="I13" s="1141">
        <v>260044</v>
      </c>
      <c r="J13" s="1141">
        <v>1817621</v>
      </c>
      <c r="K13" s="1141">
        <v>1401716</v>
      </c>
      <c r="L13" s="1142">
        <f t="shared" si="0"/>
        <v>8489463</v>
      </c>
      <c r="M13" s="1176">
        <f t="shared" si="1"/>
        <v>11.694485184877536</v>
      </c>
    </row>
    <row r="14" spans="1:13">
      <c r="A14" s="1019">
        <v>6</v>
      </c>
      <c r="B14" s="1020" t="s">
        <v>447</v>
      </c>
      <c r="C14" s="1141">
        <v>1734.7127</v>
      </c>
      <c r="D14" s="1141">
        <v>125539</v>
      </c>
      <c r="E14" s="1141">
        <v>0</v>
      </c>
      <c r="F14" s="1141">
        <v>5385064</v>
      </c>
      <c r="G14" s="1141">
        <v>926841</v>
      </c>
      <c r="H14" s="1141">
        <v>5272771</v>
      </c>
      <c r="I14" s="1141">
        <v>1391399</v>
      </c>
      <c r="J14" s="1141">
        <v>1219859</v>
      </c>
      <c r="K14" s="1141">
        <v>4566411</v>
      </c>
      <c r="L14" s="1142">
        <f t="shared" si="0"/>
        <v>18887884</v>
      </c>
      <c r="M14" s="1176">
        <f t="shared" si="1"/>
        <v>10.888191456717875</v>
      </c>
    </row>
    <row r="15" spans="1:13">
      <c r="A15" s="1019">
        <v>7</v>
      </c>
      <c r="B15" s="1020" t="s">
        <v>640</v>
      </c>
      <c r="C15" s="1141">
        <v>738.28089999999997</v>
      </c>
      <c r="D15" s="1141">
        <v>25260</v>
      </c>
      <c r="E15" s="1141">
        <v>0</v>
      </c>
      <c r="F15" s="1141">
        <v>1473708</v>
      </c>
      <c r="G15" s="1141">
        <v>682396</v>
      </c>
      <c r="H15" s="1141">
        <v>1659052</v>
      </c>
      <c r="I15" s="1141">
        <v>588238</v>
      </c>
      <c r="J15" s="1141">
        <v>540408</v>
      </c>
      <c r="K15" s="1141">
        <v>1077980</v>
      </c>
      <c r="L15" s="1142">
        <f t="shared" si="0"/>
        <v>6047042</v>
      </c>
      <c r="M15" s="1176">
        <f t="shared" si="1"/>
        <v>8.1907062745358861</v>
      </c>
    </row>
    <row r="16" spans="1:13">
      <c r="A16" s="1019">
        <v>8</v>
      </c>
      <c r="B16" s="1020" t="s">
        <v>448</v>
      </c>
      <c r="C16" s="1141">
        <v>0</v>
      </c>
      <c r="D16" s="1141">
        <v>29550</v>
      </c>
      <c r="E16" s="1141">
        <v>0</v>
      </c>
      <c r="F16" s="1141">
        <v>68349</v>
      </c>
      <c r="G16" s="1141">
        <v>0</v>
      </c>
      <c r="H16" s="1141">
        <v>230353</v>
      </c>
      <c r="I16" s="1141">
        <v>85301</v>
      </c>
      <c r="J16" s="1141">
        <v>58632</v>
      </c>
      <c r="K16" s="1141">
        <v>71814</v>
      </c>
      <c r="L16" s="1142">
        <f t="shared" si="0"/>
        <v>543999</v>
      </c>
      <c r="M16" s="1176">
        <f t="shared" si="1"/>
        <v>0</v>
      </c>
    </row>
    <row r="17" spans="1:13">
      <c r="A17" s="1019">
        <v>9</v>
      </c>
      <c r="B17" s="1012" t="s">
        <v>449</v>
      </c>
      <c r="C17" s="1141">
        <v>181.22290000000001</v>
      </c>
      <c r="D17" s="1141">
        <v>132</v>
      </c>
      <c r="E17" s="1141">
        <v>0</v>
      </c>
      <c r="F17" s="1141">
        <v>0</v>
      </c>
      <c r="G17" s="1141">
        <v>50638</v>
      </c>
      <c r="H17" s="1141">
        <v>19808</v>
      </c>
      <c r="I17" s="1141">
        <v>24677</v>
      </c>
      <c r="J17" s="1141">
        <v>209552</v>
      </c>
      <c r="K17" s="1141">
        <v>37183</v>
      </c>
      <c r="L17" s="1142">
        <f t="shared" si="0"/>
        <v>341990</v>
      </c>
      <c r="M17" s="1176">
        <f t="shared" si="1"/>
        <v>1.8871235368157113</v>
      </c>
    </row>
    <row r="18" spans="1:13">
      <c r="A18" s="1019">
        <v>10</v>
      </c>
      <c r="B18" s="1012" t="s">
        <v>450</v>
      </c>
      <c r="C18" s="1141">
        <v>136.6079</v>
      </c>
      <c r="D18" s="1141">
        <v>132</v>
      </c>
      <c r="E18" s="1141">
        <v>0</v>
      </c>
      <c r="F18" s="1141">
        <v>0</v>
      </c>
      <c r="G18" s="1141">
        <v>759</v>
      </c>
      <c r="H18" s="1141">
        <v>14724</v>
      </c>
      <c r="I18" s="1141">
        <v>7264</v>
      </c>
      <c r="J18" s="1141">
        <v>48041</v>
      </c>
      <c r="K18" s="1141">
        <v>3</v>
      </c>
      <c r="L18" s="1142">
        <f t="shared" si="0"/>
        <v>70923</v>
      </c>
      <c r="M18" s="1176">
        <f t="shared" si="1"/>
        <v>0.519172024458322</v>
      </c>
    </row>
    <row r="19" spans="1:13">
      <c r="A19" s="1019">
        <v>11</v>
      </c>
      <c r="B19" s="1012" t="s">
        <v>451</v>
      </c>
      <c r="C19" s="1141">
        <v>130.0265</v>
      </c>
      <c r="D19" s="1141">
        <v>16</v>
      </c>
      <c r="E19" s="1141">
        <v>0</v>
      </c>
      <c r="F19" s="1141">
        <v>0</v>
      </c>
      <c r="G19" s="1141">
        <v>-1</v>
      </c>
      <c r="H19" s="1141">
        <v>3311</v>
      </c>
      <c r="I19" s="1141">
        <v>5478</v>
      </c>
      <c r="J19" s="1141">
        <v>26640</v>
      </c>
      <c r="K19" s="1141">
        <v>1</v>
      </c>
      <c r="L19" s="1142">
        <f t="shared" si="0"/>
        <v>35445</v>
      </c>
      <c r="M19" s="1176">
        <f t="shared" si="1"/>
        <v>0.27259827804332193</v>
      </c>
    </row>
    <row r="20" spans="1:13">
      <c r="A20" s="1019">
        <v>12</v>
      </c>
      <c r="B20" s="1012" t="s">
        <v>452</v>
      </c>
      <c r="C20" s="1141">
        <v>162.6302</v>
      </c>
      <c r="D20" s="1141">
        <v>25</v>
      </c>
      <c r="E20" s="1141">
        <v>0</v>
      </c>
      <c r="F20" s="1141">
        <v>944993</v>
      </c>
      <c r="G20" s="1141">
        <v>2651</v>
      </c>
      <c r="H20" s="1141">
        <v>131</v>
      </c>
      <c r="I20" s="1141">
        <v>47321</v>
      </c>
      <c r="J20" s="1141">
        <v>582735</v>
      </c>
      <c r="K20" s="1141">
        <v>5101</v>
      </c>
      <c r="L20" s="1142">
        <f t="shared" si="0"/>
        <v>1582957</v>
      </c>
      <c r="M20" s="1176">
        <f t="shared" si="1"/>
        <v>9.7334750864230628</v>
      </c>
    </row>
    <row r="21" spans="1:13">
      <c r="A21" s="1019">
        <v>13</v>
      </c>
      <c r="B21" s="1012" t="s">
        <v>641</v>
      </c>
      <c r="C21" s="1141">
        <v>498.30380000000002</v>
      </c>
      <c r="D21" s="1141">
        <v>347716</v>
      </c>
      <c r="E21" s="1141">
        <v>0</v>
      </c>
      <c r="F21" s="1141">
        <v>0</v>
      </c>
      <c r="G21" s="1141">
        <v>2272530</v>
      </c>
      <c r="H21" s="1141">
        <v>953527</v>
      </c>
      <c r="I21" s="1141">
        <v>1037860</v>
      </c>
      <c r="J21" s="1141">
        <v>1262513</v>
      </c>
      <c r="K21" s="1141">
        <v>350542</v>
      </c>
      <c r="L21" s="1142">
        <f t="shared" si="0"/>
        <v>6224688</v>
      </c>
      <c r="M21" s="1176">
        <f t="shared" si="1"/>
        <v>12.491753022955072</v>
      </c>
    </row>
    <row r="22" spans="1:13">
      <c r="A22" s="1019">
        <v>14</v>
      </c>
      <c r="B22" s="1012" t="s">
        <v>747</v>
      </c>
      <c r="C22" s="1141">
        <v>590.58019999999999</v>
      </c>
      <c r="D22" s="1141">
        <v>25942</v>
      </c>
      <c r="E22" s="1141">
        <v>0</v>
      </c>
      <c r="F22" s="1141">
        <v>0</v>
      </c>
      <c r="G22" s="1141">
        <v>178592</v>
      </c>
      <c r="H22" s="1141">
        <v>67871</v>
      </c>
      <c r="I22" s="1141">
        <v>78794</v>
      </c>
      <c r="J22" s="1141">
        <v>182891</v>
      </c>
      <c r="K22" s="1141">
        <v>28972</v>
      </c>
      <c r="L22" s="1142">
        <f t="shared" si="0"/>
        <v>563062</v>
      </c>
      <c r="M22" s="1176">
        <f t="shared" si="1"/>
        <v>0.95340480429245678</v>
      </c>
    </row>
    <row r="23" spans="1:13">
      <c r="A23" s="1019">
        <v>15</v>
      </c>
      <c r="B23" s="1012" t="s">
        <v>1207</v>
      </c>
      <c r="C23" s="1141">
        <v>549.0521</v>
      </c>
      <c r="D23" s="1141">
        <v>15228</v>
      </c>
      <c r="E23" s="1141">
        <v>0</v>
      </c>
      <c r="F23" s="1141">
        <v>0</v>
      </c>
      <c r="G23" s="1141">
        <v>-441</v>
      </c>
      <c r="H23" s="1141">
        <v>770324</v>
      </c>
      <c r="I23" s="1141">
        <v>136278</v>
      </c>
      <c r="J23" s="1141">
        <v>245</v>
      </c>
      <c r="K23" s="1141">
        <v>0</v>
      </c>
      <c r="L23" s="1142">
        <f t="shared" si="0"/>
        <v>921634</v>
      </c>
      <c r="M23" s="1176">
        <f t="shared" si="1"/>
        <v>1.6785911573783252</v>
      </c>
    </row>
    <row r="24" spans="1:13">
      <c r="A24" s="1019">
        <v>16</v>
      </c>
      <c r="B24" s="1012" t="s">
        <v>748</v>
      </c>
      <c r="C24" s="1141">
        <v>589.06669999999997</v>
      </c>
      <c r="D24" s="1141">
        <v>415820</v>
      </c>
      <c r="E24" s="1141">
        <v>0</v>
      </c>
      <c r="F24" s="1141">
        <v>0</v>
      </c>
      <c r="G24" s="1141">
        <v>121962</v>
      </c>
      <c r="H24" s="1141">
        <v>5254625</v>
      </c>
      <c r="I24" s="1141">
        <v>810770</v>
      </c>
      <c r="J24" s="1141">
        <v>2389</v>
      </c>
      <c r="K24" s="1141">
        <v>27200</v>
      </c>
      <c r="L24" s="1142">
        <f t="shared" si="0"/>
        <v>6632766</v>
      </c>
      <c r="M24" s="1176">
        <f t="shared" si="1"/>
        <v>11.259787728622243</v>
      </c>
    </row>
    <row r="25" spans="1:13">
      <c r="A25" s="1019">
        <v>17</v>
      </c>
      <c r="B25" s="1012" t="s">
        <v>453</v>
      </c>
      <c r="C25" s="1141">
        <v>202.75559999999999</v>
      </c>
      <c r="D25" s="1141">
        <v>199000</v>
      </c>
      <c r="E25" s="1141">
        <v>0</v>
      </c>
      <c r="F25" s="1141">
        <v>1164363</v>
      </c>
      <c r="G25" s="1141">
        <v>4420</v>
      </c>
      <c r="H25" s="1141">
        <v>961274</v>
      </c>
      <c r="I25" s="1141">
        <v>246583</v>
      </c>
      <c r="J25" s="1141">
        <v>447253</v>
      </c>
      <c r="K25" s="1141">
        <v>319602</v>
      </c>
      <c r="L25" s="1142">
        <f t="shared" si="0"/>
        <v>3342495</v>
      </c>
      <c r="M25" s="1176">
        <f t="shared" si="1"/>
        <v>16.485339985677339</v>
      </c>
    </row>
    <row r="26" spans="1:13">
      <c r="A26" s="1019">
        <v>18</v>
      </c>
      <c r="B26" s="1012" t="s">
        <v>1476</v>
      </c>
      <c r="C26" s="1141">
        <v>0</v>
      </c>
      <c r="D26" s="1141">
        <v>0</v>
      </c>
      <c r="E26" s="1141">
        <v>0</v>
      </c>
      <c r="F26" s="1141">
        <v>0</v>
      </c>
      <c r="G26" s="1141">
        <v>0</v>
      </c>
      <c r="H26" s="1141">
        <v>0</v>
      </c>
      <c r="I26" s="1141">
        <v>0</v>
      </c>
      <c r="J26" s="1141">
        <v>0</v>
      </c>
      <c r="K26" s="1141">
        <v>0</v>
      </c>
      <c r="L26" s="1142">
        <f t="shared" si="0"/>
        <v>0</v>
      </c>
      <c r="M26" s="1176">
        <f t="shared" si="1"/>
        <v>0</v>
      </c>
    </row>
    <row r="27" spans="1:13">
      <c r="A27" s="1019">
        <v>19</v>
      </c>
      <c r="B27" s="1012" t="s">
        <v>1477</v>
      </c>
      <c r="C27" s="1141">
        <v>118.2500383729854</v>
      </c>
      <c r="D27" s="1141">
        <v>0</v>
      </c>
      <c r="E27" s="1141">
        <v>0</v>
      </c>
      <c r="F27" s="1141">
        <v>0</v>
      </c>
      <c r="G27" s="1141">
        <v>0</v>
      </c>
      <c r="H27" s="1141">
        <v>0</v>
      </c>
      <c r="I27" s="1141">
        <v>0</v>
      </c>
      <c r="J27" s="1141">
        <v>0</v>
      </c>
      <c r="K27" s="1141">
        <v>0</v>
      </c>
      <c r="L27" s="1142">
        <f t="shared" si="0"/>
        <v>0</v>
      </c>
      <c r="M27" s="1176">
        <f t="shared" si="1"/>
        <v>0</v>
      </c>
    </row>
    <row r="28" spans="1:13">
      <c r="A28" s="1019">
        <v>20</v>
      </c>
      <c r="B28" s="1012" t="s">
        <v>1478</v>
      </c>
      <c r="C28" s="1141">
        <v>64.317027343749999</v>
      </c>
      <c r="D28" s="1141">
        <v>0</v>
      </c>
      <c r="E28" s="1141">
        <v>0</v>
      </c>
      <c r="F28" s="1141">
        <v>0</v>
      </c>
      <c r="G28" s="1141">
        <v>0</v>
      </c>
      <c r="H28" s="1141">
        <v>0</v>
      </c>
      <c r="I28" s="1141">
        <v>0</v>
      </c>
      <c r="J28" s="1141">
        <v>0</v>
      </c>
      <c r="K28" s="1141">
        <v>0</v>
      </c>
      <c r="L28" s="1142">
        <f t="shared" si="0"/>
        <v>0</v>
      </c>
      <c r="M28" s="1176">
        <f t="shared" si="1"/>
        <v>0</v>
      </c>
    </row>
    <row r="29" spans="1:13">
      <c r="A29" s="1019">
        <v>21</v>
      </c>
      <c r="B29" s="1012" t="s">
        <v>1479</v>
      </c>
      <c r="C29" s="1141">
        <v>101.64932888888889</v>
      </c>
      <c r="D29" s="1141">
        <v>0</v>
      </c>
      <c r="E29" s="1141">
        <v>0</v>
      </c>
      <c r="F29" s="1141">
        <v>0</v>
      </c>
      <c r="G29" s="1141">
        <v>0</v>
      </c>
      <c r="H29" s="1141">
        <v>0</v>
      </c>
      <c r="I29" s="1141">
        <v>0</v>
      </c>
      <c r="J29" s="1141">
        <v>0</v>
      </c>
      <c r="K29" s="1141">
        <v>0</v>
      </c>
      <c r="L29" s="1142">
        <f t="shared" si="0"/>
        <v>0</v>
      </c>
      <c r="M29" s="1176">
        <f t="shared" si="1"/>
        <v>0</v>
      </c>
    </row>
    <row r="30" spans="1:13">
      <c r="A30" s="1019">
        <v>22</v>
      </c>
      <c r="B30" s="1012" t="s">
        <v>1480</v>
      </c>
      <c r="C30" s="1141">
        <v>75.181598566308239</v>
      </c>
      <c r="D30" s="1141">
        <v>0</v>
      </c>
      <c r="E30" s="1141">
        <v>0</v>
      </c>
      <c r="F30" s="1141">
        <v>0</v>
      </c>
      <c r="G30" s="1141">
        <v>0</v>
      </c>
      <c r="H30" s="1141">
        <v>0</v>
      </c>
      <c r="I30" s="1141">
        <v>0</v>
      </c>
      <c r="J30" s="1141">
        <v>0</v>
      </c>
      <c r="K30" s="1141">
        <v>0</v>
      </c>
      <c r="L30" s="1142">
        <f t="shared" si="0"/>
        <v>0</v>
      </c>
      <c r="M30" s="1176">
        <f t="shared" si="1"/>
        <v>0</v>
      </c>
    </row>
    <row r="31" spans="1:13">
      <c r="A31" s="1012"/>
      <c r="B31" s="1012"/>
      <c r="C31" s="1012"/>
      <c r="D31" s="1012"/>
      <c r="E31" s="1012"/>
      <c r="F31" s="1012"/>
      <c r="G31" s="1012"/>
      <c r="H31" s="1012"/>
      <c r="I31" s="1012"/>
      <c r="J31" s="1012"/>
      <c r="K31" s="1012"/>
      <c r="L31" s="1012"/>
      <c r="M31" s="1012"/>
    </row>
    <row r="32" spans="1:13">
      <c r="A32" s="1012"/>
      <c r="B32" s="1012" t="s">
        <v>876</v>
      </c>
      <c r="C32" s="1012"/>
      <c r="D32" s="1012"/>
      <c r="E32" s="1012"/>
      <c r="F32" s="1012"/>
      <c r="G32" s="1012"/>
      <c r="H32" s="1012"/>
      <c r="I32" s="1012"/>
      <c r="J32" s="1012"/>
      <c r="K32" s="1012"/>
      <c r="L32" s="1012"/>
      <c r="M32" s="1012"/>
    </row>
    <row r="33" spans="1:13">
      <c r="A33" s="806"/>
      <c r="B33" s="807" t="s">
        <v>1541</v>
      </c>
      <c r="C33" s="806"/>
      <c r="D33" s="806"/>
      <c r="E33" s="806"/>
      <c r="F33" s="806"/>
      <c r="G33" s="806"/>
      <c r="H33" s="806"/>
      <c r="I33" s="806"/>
      <c r="J33" s="806"/>
      <c r="K33" s="806"/>
      <c r="L33" s="806"/>
      <c r="M33" s="806"/>
    </row>
    <row r="34" spans="1:13">
      <c r="A34" s="806"/>
      <c r="B34" s="1038" t="s">
        <v>1542</v>
      </c>
      <c r="C34" s="806"/>
      <c r="D34" s="806"/>
      <c r="E34" s="806"/>
      <c r="F34" s="806"/>
      <c r="G34" s="806"/>
      <c r="H34" s="806"/>
      <c r="I34" s="806"/>
      <c r="J34" s="806"/>
      <c r="K34" s="806"/>
      <c r="L34" s="806"/>
      <c r="M34" s="806"/>
    </row>
    <row r="35" spans="1:13" ht="15">
      <c r="A35" s="1140"/>
      <c r="B35" s="1143" t="s">
        <v>1543</v>
      </c>
      <c r="C35" s="1140"/>
      <c r="D35" s="1140"/>
      <c r="E35" s="1140"/>
      <c r="F35" s="1140"/>
      <c r="G35" s="1140"/>
      <c r="H35" s="1140"/>
      <c r="I35" s="1140"/>
      <c r="J35" s="1140"/>
      <c r="K35" s="1140"/>
      <c r="L35" s="1140"/>
      <c r="M35" s="1140"/>
    </row>
    <row r="36" spans="1:13" ht="15">
      <c r="A36" s="1140"/>
      <c r="B36" s="1143" t="s">
        <v>1544</v>
      </c>
      <c r="C36" s="1140"/>
      <c r="D36" s="1140"/>
      <c r="E36" s="1140"/>
      <c r="F36" s="1140"/>
      <c r="G36" s="1140"/>
      <c r="H36" s="1140"/>
      <c r="I36" s="1140"/>
      <c r="J36" s="1140"/>
      <c r="K36" s="1140"/>
      <c r="L36" s="1140"/>
      <c r="M36" s="1140"/>
    </row>
    <row r="37" spans="1:13" ht="15">
      <c r="A37" s="1140"/>
      <c r="B37" s="1143" t="s">
        <v>1545</v>
      </c>
      <c r="C37" s="1140"/>
      <c r="D37" s="1140"/>
      <c r="E37" s="1140"/>
      <c r="F37" s="1140"/>
      <c r="G37" s="1140"/>
      <c r="H37" s="1140"/>
      <c r="I37" s="1140"/>
      <c r="J37" s="1140"/>
      <c r="K37" s="1140"/>
      <c r="L37" s="1140"/>
      <c r="M37" s="1140"/>
    </row>
    <row r="38" spans="1:13" ht="15">
      <c r="A38" s="1140"/>
      <c r="B38" s="1143" t="s">
        <v>1546</v>
      </c>
      <c r="C38" s="1140"/>
      <c r="D38" s="1140"/>
      <c r="E38" s="1140"/>
      <c r="F38" s="1140"/>
      <c r="G38" s="1140"/>
      <c r="H38" s="1140"/>
      <c r="I38" s="1140"/>
      <c r="J38" s="1140"/>
      <c r="K38" s="1140"/>
      <c r="L38" s="1140"/>
      <c r="M38" s="1140"/>
    </row>
    <row r="39" spans="1:13" ht="15">
      <c r="A39" s="1140"/>
      <c r="B39" s="1143" t="s">
        <v>1547</v>
      </c>
      <c r="C39" s="1140"/>
      <c r="D39" s="1140"/>
      <c r="E39" s="1140"/>
      <c r="F39" s="1140"/>
      <c r="G39" s="1140"/>
      <c r="H39" s="1140"/>
      <c r="I39" s="1140"/>
      <c r="J39" s="1140"/>
      <c r="K39" s="1140"/>
      <c r="L39" s="1140"/>
      <c r="M39" s="1140"/>
    </row>
    <row r="40" spans="1:13" ht="15">
      <c r="A40" s="1140"/>
      <c r="B40" s="1143" t="s">
        <v>1548</v>
      </c>
      <c r="C40" s="1140"/>
      <c r="D40" s="1140"/>
      <c r="E40" s="1140"/>
      <c r="F40" s="1140"/>
      <c r="G40" s="1140"/>
      <c r="H40" s="1140"/>
      <c r="I40" s="1140"/>
      <c r="J40" s="1140"/>
      <c r="K40" s="1140"/>
      <c r="L40" s="1140"/>
      <c r="M40" s="1140"/>
    </row>
    <row r="41" spans="1:13" ht="15">
      <c r="A41" s="1140"/>
      <c r="B41" s="807" t="s">
        <v>1549</v>
      </c>
      <c r="C41" s="1140"/>
      <c r="D41" s="1140"/>
      <c r="E41" s="1140"/>
      <c r="F41" s="1140"/>
      <c r="G41" s="1140"/>
      <c r="H41" s="1140"/>
      <c r="I41" s="1140"/>
      <c r="J41" s="1140"/>
      <c r="K41" s="1140"/>
      <c r="L41" s="1140"/>
      <c r="M41" s="1140"/>
    </row>
    <row r="42" spans="1:13" ht="15">
      <c r="A42" s="1140"/>
      <c r="B42" s="807" t="s">
        <v>1550</v>
      </c>
      <c r="C42" s="1140"/>
      <c r="D42" s="1140"/>
      <c r="E42" s="1140"/>
      <c r="F42" s="1140"/>
      <c r="G42" s="1140"/>
      <c r="H42" s="1140"/>
      <c r="I42" s="1140"/>
      <c r="J42" s="1140"/>
      <c r="K42" s="1140"/>
      <c r="L42" s="1140"/>
      <c r="M42" s="1140"/>
    </row>
    <row r="43" spans="1:13" ht="15">
      <c r="A43" s="1140"/>
      <c r="B43" s="807" t="s">
        <v>1551</v>
      </c>
      <c r="C43" s="1140"/>
      <c r="D43" s="1140"/>
      <c r="E43" s="1140"/>
      <c r="F43" s="1140"/>
      <c r="G43" s="1140"/>
      <c r="H43" s="1140"/>
      <c r="I43" s="1140"/>
      <c r="J43" s="1140"/>
      <c r="K43" s="1140"/>
      <c r="L43" s="1140"/>
      <c r="M43" s="1140"/>
    </row>
  </sheetData>
  <printOptions horizontalCentered="1"/>
  <pageMargins left="0.75" right="0.75" top="1" bottom="1" header="0.5" footer="0.5"/>
  <pageSetup scale="47" orientation="portrait" r:id="rId1"/>
  <headerFooter alignWithMargins="0">
    <oddHeader>&amp;RPage &amp;P of &amp;N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pageSetUpPr fitToPage="1"/>
  </sheetPr>
  <dimension ref="A1:L119"/>
  <sheetViews>
    <sheetView tabSelected="1" workbookViewId="0">
      <selection activeCell="K12" sqref="K12"/>
    </sheetView>
  </sheetViews>
  <sheetFormatPr defaultRowHeight="12.75"/>
  <cols>
    <col min="1" max="1" width="9.140625" style="78"/>
    <col min="2" max="2" width="52.7109375" style="78" customWidth="1"/>
    <col min="3" max="3" width="25.5703125" style="79" customWidth="1"/>
    <col min="4" max="4" width="2.7109375" style="79" customWidth="1"/>
    <col min="5" max="5" width="13.42578125" style="79" customWidth="1"/>
    <col min="6" max="6" width="18.7109375" style="78" bestFit="1" customWidth="1"/>
    <col min="7" max="7" width="15" style="78" bestFit="1" customWidth="1"/>
    <col min="8" max="16384" width="9.140625" style="78"/>
  </cols>
  <sheetData>
    <row r="1" spans="1:9">
      <c r="A1" s="98" t="str">
        <f>'Cover Page'!A5</f>
        <v>Public Service Company of Colorado</v>
      </c>
      <c r="F1" s="133"/>
      <c r="I1" s="133" t="str">
        <f>'Table of Contents'!A10</f>
        <v>Table 2</v>
      </c>
    </row>
    <row r="2" spans="1:9">
      <c r="A2" s="98" t="str">
        <f>'Cover Page'!A6</f>
        <v>Transmission Formula Rate Template</v>
      </c>
      <c r="F2" s="539"/>
      <c r="I2" s="539" t="str">
        <f ca="1">MID(CELL("filename",$A$1),FIND("]",CELL("filename",$A$1))+1,LEN(CELL("filename",$A$1))-FIND("]",CELL("filename",$A$1)))</f>
        <v>Est. Rates</v>
      </c>
    </row>
    <row r="3" spans="1:9">
      <c r="A3" s="98" t="str">
        <f>'Cover Page'!A7</f>
        <v>Twelve Months Ended December 31, 2018</v>
      </c>
    </row>
    <row r="4" spans="1:9">
      <c r="A4" s="98" t="s">
        <v>855</v>
      </c>
    </row>
    <row r="6" spans="1:9" ht="32.25" customHeight="1">
      <c r="A6" s="1" t="s">
        <v>868</v>
      </c>
      <c r="B6" s="1" t="s">
        <v>917</v>
      </c>
      <c r="C6" s="1" t="s">
        <v>870</v>
      </c>
      <c r="D6" s="1"/>
      <c r="E6" s="148" t="s">
        <v>871</v>
      </c>
      <c r="F6" s="441"/>
    </row>
    <row r="7" spans="1:9">
      <c r="B7" s="342" t="s">
        <v>357</v>
      </c>
      <c r="C7" s="342" t="s">
        <v>358</v>
      </c>
      <c r="D7" s="342"/>
      <c r="E7" s="342" t="s">
        <v>359</v>
      </c>
    </row>
    <row r="8" spans="1:9">
      <c r="A8" s="79">
        <v>1</v>
      </c>
      <c r="B8" s="98" t="s">
        <v>869</v>
      </c>
      <c r="C8" s="79" t="str">
        <f ca="1">'ATRR Est.'!G2&amp;" Line "&amp;'ATRR Est.'!A144</f>
        <v>ATRR Est. Line 130</v>
      </c>
      <c r="D8" s="342"/>
      <c r="E8" s="320">
        <f>'ATRR Est.'!G144</f>
        <v>254444613.7395502</v>
      </c>
    </row>
    <row r="9" spans="1:9">
      <c r="A9" s="79">
        <f t="shared" ref="A9:A78" si="0">A8+1</f>
        <v>2</v>
      </c>
      <c r="D9" s="342"/>
      <c r="E9" s="78"/>
    </row>
    <row r="10" spans="1:9">
      <c r="A10" s="79">
        <f t="shared" si="0"/>
        <v>3</v>
      </c>
      <c r="B10" s="312" t="s">
        <v>1206</v>
      </c>
      <c r="C10" s="342" t="str">
        <f ca="1">'WP_A-2'!I2&amp;" Line "&amp;'WP_A-2'!A93</f>
        <v>WP_A-2 Line 73</v>
      </c>
      <c r="D10" s="342"/>
      <c r="E10" s="1173"/>
      <c r="G10" s="729"/>
    </row>
    <row r="11" spans="1:9">
      <c r="A11" s="79">
        <f t="shared" si="0"/>
        <v>4</v>
      </c>
      <c r="B11" s="312" t="s">
        <v>1233</v>
      </c>
      <c r="C11" s="342" t="str">
        <f ca="1">'WP_A-2'!I2&amp;" Line "&amp;'WP_A-2'!A94</f>
        <v>WP_A-2 Line 74</v>
      </c>
      <c r="D11" s="342"/>
      <c r="E11" s="1173"/>
      <c r="F11" s="729"/>
      <c r="G11" s="729"/>
    </row>
    <row r="12" spans="1:9">
      <c r="A12" s="79">
        <f t="shared" si="0"/>
        <v>5</v>
      </c>
      <c r="D12" s="342"/>
      <c r="E12" s="78"/>
      <c r="F12" s="473"/>
      <c r="G12" s="729"/>
    </row>
    <row r="13" spans="1:9" ht="13.5" thickBot="1">
      <c r="A13" s="79">
        <f t="shared" si="0"/>
        <v>6</v>
      </c>
      <c r="B13" s="98" t="s">
        <v>132</v>
      </c>
      <c r="C13" s="342" t="str">
        <f>"Sum Lines "&amp;A8&amp;" through "&amp;A11</f>
        <v>Sum Lines 1 through 4</v>
      </c>
      <c r="D13" s="342"/>
      <c r="E13" s="100">
        <f>SUM(E8:E11)</f>
        <v>254444613.7395502</v>
      </c>
      <c r="F13" s="473"/>
      <c r="G13" s="472"/>
    </row>
    <row r="14" spans="1:9" ht="13.5" thickTop="1">
      <c r="A14" s="79">
        <f t="shared" si="0"/>
        <v>7</v>
      </c>
      <c r="D14" s="342"/>
      <c r="E14" s="78"/>
      <c r="F14" s="473"/>
      <c r="G14" s="655"/>
    </row>
    <row r="15" spans="1:9">
      <c r="A15" s="79">
        <f t="shared" si="0"/>
        <v>8</v>
      </c>
      <c r="B15" s="98" t="s">
        <v>874</v>
      </c>
      <c r="D15" s="342"/>
      <c r="E15" s="78"/>
      <c r="F15" s="473"/>
      <c r="G15" s="473"/>
    </row>
    <row r="16" spans="1:9">
      <c r="A16" s="79">
        <f t="shared" si="0"/>
        <v>9</v>
      </c>
      <c r="B16" s="78" t="s">
        <v>872</v>
      </c>
      <c r="C16" s="342" t="str">
        <f ca="1">'WP_I-1'!S2&amp;" Line "&amp;'WP_I-1'!A30&amp;", Col. (g)"</f>
        <v>WP_I-1 Line 15, Col. (g)</v>
      </c>
      <c r="D16" s="342"/>
      <c r="E16" s="435">
        <f>'WP_I-1'!S30</f>
        <v>5812158</v>
      </c>
    </row>
    <row r="17" spans="1:8">
      <c r="A17" s="79">
        <f t="shared" si="0"/>
        <v>10</v>
      </c>
      <c r="D17" s="342"/>
      <c r="E17" s="78"/>
    </row>
    <row r="18" spans="1:8">
      <c r="A18" s="79">
        <f t="shared" si="0"/>
        <v>11</v>
      </c>
      <c r="B18" s="98" t="s">
        <v>191</v>
      </c>
      <c r="D18" s="342"/>
      <c r="E18" s="78"/>
    </row>
    <row r="19" spans="1:8">
      <c r="A19" s="79">
        <f t="shared" si="0"/>
        <v>12</v>
      </c>
      <c r="B19" s="78" t="s">
        <v>397</v>
      </c>
      <c r="C19" s="342" t="str">
        <f>"Line "&amp;A13&amp;" / Line "&amp;A16</f>
        <v>Line 6 / Line 9</v>
      </c>
      <c r="D19" s="342"/>
      <c r="E19" s="443">
        <f>IF(E16=0,0,ROUND(E13/E16,3))</f>
        <v>43.777999999999999</v>
      </c>
      <c r="F19" s="78" t="s">
        <v>510</v>
      </c>
    </row>
    <row r="20" spans="1:8">
      <c r="A20" s="79">
        <f t="shared" si="0"/>
        <v>13</v>
      </c>
      <c r="C20" s="342"/>
      <c r="D20" s="342"/>
      <c r="E20" s="443"/>
    </row>
    <row r="21" spans="1:8">
      <c r="A21" s="79">
        <f t="shared" si="0"/>
        <v>14</v>
      </c>
      <c r="B21" s="78" t="s">
        <v>398</v>
      </c>
      <c r="C21" s="342" t="str">
        <f>"Line "&amp;A19&amp;" / 12"</f>
        <v>Line 12 / 12</v>
      </c>
      <c r="D21" s="342"/>
      <c r="E21" s="443">
        <f>ROUND(E19/12,3)</f>
        <v>3.6480000000000001</v>
      </c>
      <c r="F21" s="78" t="s">
        <v>120</v>
      </c>
      <c r="G21" s="473"/>
    </row>
    <row r="22" spans="1:8">
      <c r="A22" s="79">
        <f t="shared" si="0"/>
        <v>15</v>
      </c>
      <c r="C22" s="342"/>
      <c r="D22" s="342"/>
      <c r="E22" s="342"/>
    </row>
    <row r="23" spans="1:8">
      <c r="A23" s="79">
        <f t="shared" si="0"/>
        <v>16</v>
      </c>
      <c r="B23" s="78" t="s">
        <v>106</v>
      </c>
      <c r="C23" s="342" t="str">
        <f>"Line "&amp;A19&amp;" / 52"</f>
        <v>Line 12 / 52</v>
      </c>
      <c r="D23" s="342"/>
      <c r="E23" s="443">
        <f>ROUND(E19/52,3)</f>
        <v>0.84199999999999997</v>
      </c>
      <c r="F23" s="78" t="s">
        <v>121</v>
      </c>
    </row>
    <row r="24" spans="1:8">
      <c r="A24" s="79">
        <f t="shared" si="0"/>
        <v>17</v>
      </c>
      <c r="B24" s="78" t="s">
        <v>107</v>
      </c>
      <c r="C24" s="342" t="str">
        <f>"Line "&amp;A23&amp;" / 6"</f>
        <v>Line 16 / 6</v>
      </c>
      <c r="D24" s="342"/>
      <c r="E24" s="443">
        <f>ROUND(E23/6,3)</f>
        <v>0.14000000000000001</v>
      </c>
      <c r="F24" s="78" t="s">
        <v>122</v>
      </c>
    </row>
    <row r="25" spans="1:8">
      <c r="A25" s="79">
        <f t="shared" si="0"/>
        <v>18</v>
      </c>
      <c r="B25" s="78" t="s">
        <v>108</v>
      </c>
      <c r="C25" s="342" t="str">
        <f>"(Line "&amp;A24&amp;" / 16) X 1,000"</f>
        <v>(Line 17 / 16) X 1,000</v>
      </c>
      <c r="D25" s="342"/>
      <c r="E25" s="443">
        <f>ROUND(E24/16*1000,3)</f>
        <v>8.75</v>
      </c>
      <c r="F25" s="78" t="s">
        <v>123</v>
      </c>
    </row>
    <row r="26" spans="1:8">
      <c r="A26" s="79">
        <f t="shared" si="0"/>
        <v>19</v>
      </c>
      <c r="B26" s="78" t="s">
        <v>109</v>
      </c>
      <c r="C26" s="342" t="str">
        <f>"((Line "&amp;A23&amp;" / 7) / 24) X 1,000"</f>
        <v>((Line 16 / 7) / 24) X 1,000</v>
      </c>
      <c r="D26" s="342"/>
      <c r="E26" s="443">
        <f>ROUND(((ROUND(E23/7,5)))/24*1000,2)</f>
        <v>5.01</v>
      </c>
      <c r="F26" s="78" t="s">
        <v>123</v>
      </c>
    </row>
    <row r="27" spans="1:8">
      <c r="A27" s="79">
        <f t="shared" si="0"/>
        <v>20</v>
      </c>
      <c r="C27" s="342"/>
      <c r="D27" s="342"/>
      <c r="E27" s="442"/>
      <c r="F27" s="438"/>
    </row>
    <row r="28" spans="1:8">
      <c r="A28" s="79">
        <f t="shared" si="0"/>
        <v>21</v>
      </c>
      <c r="B28" s="131" t="s">
        <v>201</v>
      </c>
      <c r="C28" s="342" t="s">
        <v>541</v>
      </c>
      <c r="D28" s="439"/>
      <c r="E28" s="730">
        <v>6.91874928E-2</v>
      </c>
      <c r="F28" s="78" t="s">
        <v>123</v>
      </c>
      <c r="H28" s="1194"/>
    </row>
    <row r="29" spans="1:8">
      <c r="A29" s="79">
        <f t="shared" si="0"/>
        <v>22</v>
      </c>
      <c r="D29" s="342"/>
    </row>
    <row r="30" spans="1:8">
      <c r="A30" s="79">
        <f t="shared" si="0"/>
        <v>23</v>
      </c>
      <c r="E30" s="634"/>
    </row>
    <row r="31" spans="1:8">
      <c r="A31" s="79">
        <f t="shared" si="0"/>
        <v>24</v>
      </c>
      <c r="B31" s="1204" t="s">
        <v>540</v>
      </c>
      <c r="C31" s="1204"/>
      <c r="D31" s="1204"/>
      <c r="E31" s="1204"/>
      <c r="F31" s="1204"/>
    </row>
    <row r="32" spans="1:8">
      <c r="A32" s="79">
        <f t="shared" si="0"/>
        <v>25</v>
      </c>
    </row>
    <row r="33" spans="1:8">
      <c r="A33" s="79">
        <f t="shared" si="0"/>
        <v>26</v>
      </c>
      <c r="B33" s="131" t="s">
        <v>119</v>
      </c>
    </row>
    <row r="34" spans="1:8">
      <c r="A34" s="79">
        <f t="shared" si="0"/>
        <v>27</v>
      </c>
      <c r="B34" s="312" t="s">
        <v>127</v>
      </c>
      <c r="C34" s="79" t="str">
        <f ca="1">'Schedule 1'!$D$2&amp;" Line "&amp;'Schedule 1'!A26</f>
        <v>Schedule 1 Line 18</v>
      </c>
      <c r="E34" s="659">
        <f>'Schedule 1'!D26</f>
        <v>6.2E-2</v>
      </c>
      <c r="F34" s="78" t="s">
        <v>120</v>
      </c>
    </row>
    <row r="35" spans="1:8">
      <c r="A35" s="79">
        <f t="shared" si="0"/>
        <v>28</v>
      </c>
      <c r="B35" s="312" t="s">
        <v>128</v>
      </c>
      <c r="C35" s="79" t="str">
        <f ca="1">'Schedule 1'!$D$2&amp;" Line "&amp;'Schedule 1'!A27</f>
        <v>Schedule 1 Line 19</v>
      </c>
      <c r="E35" s="659">
        <f>'Schedule 1'!D27</f>
        <v>1.4E-2</v>
      </c>
      <c r="F35" s="78" t="s">
        <v>121</v>
      </c>
    </row>
    <row r="36" spans="1:8">
      <c r="A36" s="79">
        <f t="shared" si="0"/>
        <v>29</v>
      </c>
      <c r="B36" s="312" t="s">
        <v>129</v>
      </c>
      <c r="C36" s="79" t="str">
        <f ca="1">'Schedule 1'!$D$2&amp;" Line "&amp;'Schedule 1'!A28</f>
        <v>Schedule 1 Line 20</v>
      </c>
      <c r="E36" s="659">
        <f>'Schedule 1'!D28</f>
        <v>2E-3</v>
      </c>
      <c r="F36" s="78" t="s">
        <v>122</v>
      </c>
    </row>
    <row r="37" spans="1:8">
      <c r="A37" s="79">
        <f t="shared" si="0"/>
        <v>30</v>
      </c>
      <c r="B37" s="312" t="s">
        <v>130</v>
      </c>
      <c r="C37" s="79" t="str">
        <f ca="1">'Schedule 1'!$D$2&amp;" Line "&amp;'Schedule 1'!A29</f>
        <v>Schedule 1 Line 21</v>
      </c>
      <c r="E37" s="659">
        <f>'Schedule 1'!D29</f>
        <v>8.5000000000000006E-2</v>
      </c>
      <c r="F37" s="78" t="s">
        <v>123</v>
      </c>
    </row>
    <row r="38" spans="1:8">
      <c r="A38" s="79">
        <f t="shared" si="0"/>
        <v>31</v>
      </c>
      <c r="B38" s="312" t="s">
        <v>131</v>
      </c>
      <c r="C38" s="79" t="str">
        <f ca="1">'Schedule 1'!$D$2&amp;" Line "&amp;'Schedule 1'!A26</f>
        <v>Schedule 1 Line 18</v>
      </c>
      <c r="E38" s="659">
        <f>E34</f>
        <v>6.2E-2</v>
      </c>
      <c r="F38" s="78" t="s">
        <v>120</v>
      </c>
    </row>
    <row r="39" spans="1:8">
      <c r="A39" s="79">
        <f t="shared" si="0"/>
        <v>32</v>
      </c>
      <c r="B39" s="312" t="s">
        <v>1256</v>
      </c>
      <c r="C39" s="79" t="str">
        <f ca="1">'Schedule 1'!$D$2&amp;" Line "&amp;'Schedule 1'!A26</f>
        <v>Schedule 1 Line 18</v>
      </c>
      <c r="E39" s="659">
        <f>E34</f>
        <v>6.2E-2</v>
      </c>
      <c r="F39" s="78" t="s">
        <v>120</v>
      </c>
    </row>
    <row r="40" spans="1:8">
      <c r="A40" s="79">
        <f t="shared" si="0"/>
        <v>33</v>
      </c>
      <c r="E40" s="342"/>
    </row>
    <row r="41" spans="1:8">
      <c r="A41" s="79">
        <f t="shared" si="0"/>
        <v>34</v>
      </c>
      <c r="B41" s="131" t="s">
        <v>124</v>
      </c>
      <c r="E41" s="342"/>
    </row>
    <row r="42" spans="1:8">
      <c r="A42" s="79">
        <f t="shared" si="0"/>
        <v>35</v>
      </c>
      <c r="B42" s="312" t="s">
        <v>127</v>
      </c>
      <c r="C42" s="79" t="str">
        <f ca="1">'Schedule 2'!$I$2&amp;" Line "&amp;'Schedule 2'!A54</f>
        <v>Schedule 2 Line 24</v>
      </c>
      <c r="E42" s="442">
        <f>'Schedule 2'!H54</f>
        <v>0.23699999999999999</v>
      </c>
      <c r="F42" s="78" t="s">
        <v>120</v>
      </c>
      <c r="H42" s="1194"/>
    </row>
    <row r="43" spans="1:8">
      <c r="A43" s="79">
        <f t="shared" si="0"/>
        <v>36</v>
      </c>
      <c r="B43" s="312" t="s">
        <v>128</v>
      </c>
      <c r="C43" s="79" t="str">
        <f ca="1">'Schedule 2'!$I$2&amp;" Line "&amp;'Schedule 2'!A56</f>
        <v>Schedule 2 Line 25</v>
      </c>
      <c r="E43" s="442">
        <f>'Schedule 2'!H56</f>
        <v>5.5E-2</v>
      </c>
      <c r="F43" s="78" t="s">
        <v>121</v>
      </c>
    </row>
    <row r="44" spans="1:8">
      <c r="A44" s="79">
        <f t="shared" si="0"/>
        <v>37</v>
      </c>
      <c r="B44" s="312" t="s">
        <v>129</v>
      </c>
      <c r="C44" s="79" t="str">
        <f ca="1">'Schedule 2'!$I$2&amp;" Line "&amp;'Schedule 2'!A58</f>
        <v>Schedule 2 Line 26</v>
      </c>
      <c r="E44" s="442">
        <f>'Schedule 2'!H58</f>
        <v>8.9999999999999993E-3</v>
      </c>
      <c r="F44" s="78" t="s">
        <v>122</v>
      </c>
    </row>
    <row r="45" spans="1:8" s="670" customFormat="1">
      <c r="A45" s="342">
        <f t="shared" si="0"/>
        <v>38</v>
      </c>
      <c r="B45" s="669" t="s">
        <v>330</v>
      </c>
      <c r="C45" s="342" t="str">
        <f ca="1">'Schedule 2'!$I$2&amp;" Line "&amp;'Schedule 2'!A59</f>
        <v>Schedule 2 Line 27</v>
      </c>
      <c r="D45" s="342"/>
      <c r="E45" s="442">
        <f>'Schedule 2'!H59</f>
        <v>8.0000000000000002E-3</v>
      </c>
      <c r="F45" s="670" t="s">
        <v>122</v>
      </c>
    </row>
    <row r="46" spans="1:8" s="670" customFormat="1">
      <c r="A46" s="342">
        <f t="shared" si="0"/>
        <v>39</v>
      </c>
      <c r="B46" s="669" t="s">
        <v>130</v>
      </c>
      <c r="C46" s="342" t="str">
        <f ca="1">'Schedule 2'!$I$2&amp;" Line "&amp;'Schedule 2'!A61</f>
        <v>Schedule 2 Line 28</v>
      </c>
      <c r="D46" s="342"/>
      <c r="E46" s="442">
        <f>'Schedule 2'!H61</f>
        <v>0.56299999999999994</v>
      </c>
      <c r="F46" s="670" t="s">
        <v>123</v>
      </c>
    </row>
    <row r="47" spans="1:8" s="670" customFormat="1">
      <c r="A47" s="342">
        <f t="shared" si="0"/>
        <v>40</v>
      </c>
      <c r="B47" s="669" t="s">
        <v>332</v>
      </c>
      <c r="C47" s="342" t="str">
        <f ca="1">'Schedule 2'!$I$2&amp;" Line "&amp;'Schedule 2'!A62</f>
        <v>Schedule 2 Line 29</v>
      </c>
      <c r="D47" s="342"/>
      <c r="E47" s="442">
        <f>'Schedule 2'!H62</f>
        <v>0.33300000000000002</v>
      </c>
      <c r="F47" s="670" t="s">
        <v>123</v>
      </c>
    </row>
    <row r="48" spans="1:8" s="670" customFormat="1">
      <c r="A48" s="342">
        <f t="shared" si="0"/>
        <v>41</v>
      </c>
      <c r="B48" s="669" t="s">
        <v>131</v>
      </c>
      <c r="C48" s="342" t="str">
        <f ca="1">'Schedule 2'!$I$2&amp;" Line "&amp;'Schedule 2'!A54</f>
        <v>Schedule 2 Line 24</v>
      </c>
      <c r="D48" s="342"/>
      <c r="E48" s="442">
        <f>E42</f>
        <v>0.23699999999999999</v>
      </c>
      <c r="F48" s="670" t="s">
        <v>120</v>
      </c>
    </row>
    <row r="49" spans="1:12" s="670" customFormat="1">
      <c r="A49" s="342">
        <f t="shared" si="0"/>
        <v>42</v>
      </c>
      <c r="B49" s="669" t="s">
        <v>1256</v>
      </c>
      <c r="C49" s="342" t="str">
        <f ca="1">'Schedule 2'!$I$2&amp;" Line "&amp;'Schedule 2'!A54</f>
        <v>Schedule 2 Line 24</v>
      </c>
      <c r="D49" s="342"/>
      <c r="E49" s="442">
        <f>E42</f>
        <v>0.23699999999999999</v>
      </c>
      <c r="F49" s="670" t="s">
        <v>120</v>
      </c>
    </row>
    <row r="50" spans="1:12" s="670" customFormat="1">
      <c r="A50" s="342">
        <f t="shared" si="0"/>
        <v>43</v>
      </c>
      <c r="C50" s="342"/>
      <c r="D50" s="342"/>
      <c r="E50" s="342"/>
    </row>
    <row r="51" spans="1:12" s="670" customFormat="1">
      <c r="A51" s="342">
        <f t="shared" si="0"/>
        <v>44</v>
      </c>
      <c r="B51" s="782" t="s">
        <v>1455</v>
      </c>
      <c r="C51" s="342"/>
      <c r="D51" s="342"/>
      <c r="E51" s="784" t="s">
        <v>1456</v>
      </c>
      <c r="F51" s="784" t="s">
        <v>1457</v>
      </c>
      <c r="G51" s="784" t="s">
        <v>1458</v>
      </c>
    </row>
    <row r="52" spans="1:12" s="670" customFormat="1" ht="25.5">
      <c r="A52" s="342">
        <f t="shared" si="0"/>
        <v>45</v>
      </c>
      <c r="B52" s="783" t="s">
        <v>333</v>
      </c>
      <c r="C52" s="420" t="s">
        <v>1569</v>
      </c>
      <c r="D52" s="342"/>
      <c r="E52" s="812">
        <f>'Schedule 3 and 3A'!C39</f>
        <v>1.274392756956539E-2</v>
      </c>
      <c r="F52" s="812">
        <f>'Schedule 3 and 3A'!E39</f>
        <v>2.4317227556987556E-3</v>
      </c>
      <c r="G52" s="812">
        <f>'Schedule 3 and 3A'!G39</f>
        <v>2.0688582852065748E-2</v>
      </c>
      <c r="J52" s="313"/>
    </row>
    <row r="53" spans="1:12" s="670" customFormat="1">
      <c r="A53" s="342">
        <v>46</v>
      </c>
      <c r="B53" s="785" t="s">
        <v>127</v>
      </c>
      <c r="C53" s="420" t="s">
        <v>1562</v>
      </c>
      <c r="D53" s="342"/>
      <c r="E53" s="787">
        <f>'Schedule 3 and 3A'!C41</f>
        <v>7.6799166666666672</v>
      </c>
      <c r="F53" s="787">
        <f>'Schedule 3 and 3A'!E41</f>
        <v>7.6799166666666672</v>
      </c>
      <c r="G53" s="787">
        <f>'Schedule 3 and 3A'!G41</f>
        <v>7.6799166666666672</v>
      </c>
      <c r="H53" s="786" t="s">
        <v>120</v>
      </c>
      <c r="K53" s="1201"/>
      <c r="L53" s="1201"/>
    </row>
    <row r="54" spans="1:12" s="670" customFormat="1">
      <c r="A54" s="342">
        <f t="shared" si="0"/>
        <v>47</v>
      </c>
      <c r="B54" s="785" t="s">
        <v>128</v>
      </c>
      <c r="C54" s="420" t="s">
        <v>1563</v>
      </c>
      <c r="D54" s="342"/>
      <c r="E54" s="787">
        <f>'Schedule 3 and 3A'!C42</f>
        <v>1.7722884615384618</v>
      </c>
      <c r="F54" s="787">
        <f>'Schedule 3 and 3A'!E42</f>
        <v>1.7722884615384618</v>
      </c>
      <c r="G54" s="787">
        <f>'Schedule 3 and 3A'!G42</f>
        <v>1.7722884615384618</v>
      </c>
      <c r="H54" s="786" t="s">
        <v>121</v>
      </c>
    </row>
    <row r="55" spans="1:12" s="670" customFormat="1">
      <c r="A55" s="342">
        <f t="shared" si="0"/>
        <v>48</v>
      </c>
      <c r="B55" s="785" t="s">
        <v>329</v>
      </c>
      <c r="C55" s="420" t="s">
        <v>1561</v>
      </c>
      <c r="D55" s="342"/>
      <c r="E55" s="787">
        <f>'Schedule 3 and 3A'!C43</f>
        <v>295.38141025641028</v>
      </c>
      <c r="F55" s="787">
        <f>'Schedule 3 and 3A'!E43</f>
        <v>295.38141025641028</v>
      </c>
      <c r="G55" s="787">
        <f>'Schedule 3 and 3A'!G43</f>
        <v>295.38141025641028</v>
      </c>
      <c r="H55" s="786" t="s">
        <v>1459</v>
      </c>
    </row>
    <row r="56" spans="1:12" s="670" customFormat="1">
      <c r="A56" s="342">
        <f t="shared" si="0"/>
        <v>49</v>
      </c>
      <c r="B56" s="785" t="s">
        <v>330</v>
      </c>
      <c r="C56" s="420" t="s">
        <v>1564</v>
      </c>
      <c r="D56" s="342"/>
      <c r="E56" s="787">
        <f>'Schedule 3 and 3A'!C44</f>
        <v>253.18406593406596</v>
      </c>
      <c r="F56" s="787">
        <f>'Schedule 3 and 3A'!E44</f>
        <v>253.18406593406596</v>
      </c>
      <c r="G56" s="787">
        <f>'Schedule 3 and 3A'!G44</f>
        <v>253.18406593406596</v>
      </c>
      <c r="H56" s="786" t="s">
        <v>1459</v>
      </c>
    </row>
    <row r="57" spans="1:12" s="670" customFormat="1">
      <c r="A57" s="342">
        <f t="shared" si="0"/>
        <v>50</v>
      </c>
      <c r="B57" s="785" t="s">
        <v>331</v>
      </c>
      <c r="C57" s="420" t="s">
        <v>1565</v>
      </c>
      <c r="D57" s="342"/>
      <c r="E57" s="787">
        <f>'Schedule 3 and 3A'!C45</f>
        <v>18.461338141025642</v>
      </c>
      <c r="F57" s="787">
        <f>'Schedule 3 and 3A'!E45</f>
        <v>18.461338141025642</v>
      </c>
      <c r="G57" s="787">
        <f>'Schedule 3 and 3A'!G45</f>
        <v>18.461338141025642</v>
      </c>
      <c r="H57" s="786" t="s">
        <v>123</v>
      </c>
    </row>
    <row r="58" spans="1:12" s="670" customFormat="1">
      <c r="A58" s="342">
        <f t="shared" si="0"/>
        <v>51</v>
      </c>
      <c r="B58" s="785" t="s">
        <v>332</v>
      </c>
      <c r="C58" s="420" t="s">
        <v>1566</v>
      </c>
      <c r="D58" s="342"/>
      <c r="E58" s="787">
        <f>'Schedule 3 and 3A'!C46</f>
        <v>10.549336080586082</v>
      </c>
      <c r="F58" s="787">
        <f>'Schedule 3 and 3A'!E46</f>
        <v>10.549336080586082</v>
      </c>
      <c r="G58" s="787">
        <f>'Schedule 3 and 3A'!G46</f>
        <v>10.549336080586082</v>
      </c>
      <c r="H58" s="786" t="s">
        <v>123</v>
      </c>
    </row>
    <row r="59" spans="1:12" s="670" customFormat="1">
      <c r="A59" s="342">
        <f t="shared" si="0"/>
        <v>52</v>
      </c>
      <c r="B59" s="785" t="s">
        <v>131</v>
      </c>
      <c r="C59" s="420" t="s">
        <v>1567</v>
      </c>
      <c r="D59" s="342"/>
      <c r="E59" s="787">
        <f>'Schedule 3 and 3A'!C47</f>
        <v>7.6799166666666672</v>
      </c>
      <c r="F59" s="787">
        <f>'Schedule 3 and 3A'!E47</f>
        <v>7.6799166666666672</v>
      </c>
      <c r="G59" s="787">
        <f>'Schedule 3 and 3A'!G47</f>
        <v>7.6799166666666672</v>
      </c>
      <c r="H59" s="786" t="s">
        <v>120</v>
      </c>
    </row>
    <row r="60" spans="1:12" s="670" customFormat="1">
      <c r="A60" s="342">
        <f t="shared" si="0"/>
        <v>53</v>
      </c>
      <c r="B60" s="785" t="s">
        <v>1256</v>
      </c>
      <c r="C60" s="420" t="s">
        <v>1568</v>
      </c>
      <c r="D60" s="342"/>
      <c r="E60" s="787">
        <f>'Schedule 3 and 3A'!C48</f>
        <v>7.6799166666666672</v>
      </c>
      <c r="F60" s="787">
        <f>'Schedule 3 and 3A'!E48</f>
        <v>7.6799166666666672</v>
      </c>
      <c r="G60" s="787">
        <f>'Schedule 3 and 3A'!G48</f>
        <v>7.6799166666666672</v>
      </c>
      <c r="H60" s="786" t="s">
        <v>120</v>
      </c>
    </row>
    <row r="61" spans="1:12" s="670" customFormat="1">
      <c r="A61" s="342">
        <f t="shared" si="0"/>
        <v>54</v>
      </c>
      <c r="B61" s="785"/>
      <c r="C61" s="784"/>
      <c r="D61" s="342"/>
      <c r="E61" s="787"/>
      <c r="F61" s="787"/>
      <c r="G61" s="787"/>
    </row>
    <row r="62" spans="1:12" s="670" customFormat="1">
      <c r="A62" s="342">
        <f t="shared" si="0"/>
        <v>55</v>
      </c>
      <c r="B62" s="525" t="s">
        <v>126</v>
      </c>
      <c r="C62" s="342"/>
      <c r="D62" s="342"/>
      <c r="E62" s="787"/>
      <c r="F62" s="787"/>
      <c r="G62" s="787"/>
    </row>
    <row r="63" spans="1:12" s="670" customFormat="1" ht="25.5">
      <c r="A63" s="342">
        <f t="shared" si="0"/>
        <v>56</v>
      </c>
      <c r="B63" s="671" t="s">
        <v>333</v>
      </c>
      <c r="C63" s="342" t="s">
        <v>1222</v>
      </c>
      <c r="D63" s="342"/>
      <c r="E63" s="672">
        <v>3.5000000000000003E-2</v>
      </c>
      <c r="F63" s="670" t="s">
        <v>852</v>
      </c>
      <c r="G63" s="178"/>
    </row>
    <row r="64" spans="1:12" s="670" customFormat="1">
      <c r="A64" s="342">
        <f t="shared" si="0"/>
        <v>57</v>
      </c>
      <c r="B64" s="669" t="s">
        <v>127</v>
      </c>
      <c r="C64" s="342" t="str">
        <f ca="1">'Schedule 5'!$Q$2&amp;" Line "&amp;'Schedule 5'!A55</f>
        <v>Schedule 5 Line 22</v>
      </c>
      <c r="D64" s="342"/>
      <c r="E64" s="659">
        <f>'Schedule 5'!O55</f>
        <v>8.8160000000000007</v>
      </c>
      <c r="F64" s="670" t="s">
        <v>120</v>
      </c>
      <c r="I64" s="1201"/>
    </row>
    <row r="65" spans="1:9" s="670" customFormat="1">
      <c r="A65" s="342">
        <f t="shared" si="0"/>
        <v>58</v>
      </c>
      <c r="B65" s="669" t="s">
        <v>128</v>
      </c>
      <c r="C65" s="342" t="str">
        <f ca="1">'Schedule 5'!$Q$2&amp;" Line "&amp;'Schedule 5'!A57</f>
        <v>Schedule 5 Line 23</v>
      </c>
      <c r="D65" s="342"/>
      <c r="E65" s="659">
        <f>'Schedule 5'!O57</f>
        <v>2.0339999999999998</v>
      </c>
      <c r="F65" s="670" t="s">
        <v>121</v>
      </c>
    </row>
    <row r="66" spans="1:9" s="670" customFormat="1">
      <c r="A66" s="342">
        <f t="shared" si="0"/>
        <v>59</v>
      </c>
      <c r="B66" s="669" t="s">
        <v>129</v>
      </c>
      <c r="C66" s="342" t="str">
        <f ca="1">'Schedule 5'!$Q$2&amp;" Line "&amp;'Schedule 5'!A59</f>
        <v>Schedule 5 Line 24</v>
      </c>
      <c r="D66" s="342"/>
      <c r="E66" s="659">
        <f>'Schedule 5'!O59</f>
        <v>0.33900000000000002</v>
      </c>
      <c r="F66" s="670" t="s">
        <v>122</v>
      </c>
    </row>
    <row r="67" spans="1:9" s="670" customFormat="1">
      <c r="A67" s="342">
        <f t="shared" si="0"/>
        <v>60</v>
      </c>
      <c r="B67" s="669" t="s">
        <v>330</v>
      </c>
      <c r="C67" s="342" t="str">
        <f ca="1">'Schedule 5'!$Q$2&amp;" Line "&amp;'Schedule 5'!A60</f>
        <v>Schedule 5 Line 25</v>
      </c>
      <c r="D67" s="342"/>
      <c r="E67" s="659">
        <f>'Schedule 5'!O60</f>
        <v>0.29099999999999998</v>
      </c>
      <c r="F67" s="670" t="s">
        <v>122</v>
      </c>
    </row>
    <row r="68" spans="1:9" s="670" customFormat="1">
      <c r="A68" s="342">
        <f t="shared" si="0"/>
        <v>61</v>
      </c>
      <c r="B68" s="669" t="s">
        <v>331</v>
      </c>
      <c r="C68" s="342" t="str">
        <f ca="1">'Schedule 5'!$Q$2&amp;" Line "&amp;'Schedule 5'!A62</f>
        <v>Schedule 5 Line 26</v>
      </c>
      <c r="D68" s="342"/>
      <c r="E68" s="659">
        <f>'Schedule 5'!O62</f>
        <v>21.187999999999999</v>
      </c>
      <c r="F68" s="670" t="s">
        <v>123</v>
      </c>
    </row>
    <row r="69" spans="1:9" s="670" customFormat="1">
      <c r="A69" s="342">
        <f t="shared" si="0"/>
        <v>62</v>
      </c>
      <c r="B69" s="669" t="s">
        <v>332</v>
      </c>
      <c r="C69" s="342" t="str">
        <f ca="1">'Schedule 5'!$Q$2&amp;" Line "&amp;'Schedule 5'!A63</f>
        <v>Schedule 5 Line 27</v>
      </c>
      <c r="D69" s="342"/>
      <c r="E69" s="659">
        <f>'Schedule 5'!O63</f>
        <v>12.125</v>
      </c>
      <c r="F69" s="670" t="s">
        <v>123</v>
      </c>
    </row>
    <row r="70" spans="1:9" s="670" customFormat="1">
      <c r="A70" s="342">
        <f t="shared" si="0"/>
        <v>63</v>
      </c>
      <c r="B70" s="669" t="s">
        <v>131</v>
      </c>
      <c r="C70" s="342" t="str">
        <f ca="1">'Schedule 5'!$Q$2&amp;" Line "&amp;'Schedule 5'!A55</f>
        <v>Schedule 5 Line 22</v>
      </c>
      <c r="D70" s="342"/>
      <c r="E70" s="659">
        <f>E64</f>
        <v>8.8160000000000007</v>
      </c>
      <c r="F70" s="670" t="s">
        <v>120</v>
      </c>
    </row>
    <row r="71" spans="1:9" s="670" customFormat="1">
      <c r="A71" s="342">
        <f t="shared" si="0"/>
        <v>64</v>
      </c>
      <c r="B71" s="669" t="s">
        <v>1256</v>
      </c>
      <c r="C71" s="342" t="str">
        <f ca="1">'Schedule 5'!$Q$2&amp;" Line "&amp;'Schedule 5'!A55</f>
        <v>Schedule 5 Line 22</v>
      </c>
      <c r="D71" s="342"/>
      <c r="E71" s="659">
        <f>E64</f>
        <v>8.8160000000000007</v>
      </c>
      <c r="F71" s="670" t="s">
        <v>120</v>
      </c>
    </row>
    <row r="72" spans="1:9" s="670" customFormat="1">
      <c r="A72" s="342">
        <f t="shared" si="0"/>
        <v>65</v>
      </c>
      <c r="C72" s="342"/>
      <c r="D72" s="342"/>
      <c r="E72" s="342"/>
    </row>
    <row r="73" spans="1:9" s="670" customFormat="1">
      <c r="A73" s="342">
        <f t="shared" si="0"/>
        <v>66</v>
      </c>
      <c r="B73" s="525" t="s">
        <v>125</v>
      </c>
      <c r="C73" s="342"/>
      <c r="D73" s="342"/>
      <c r="E73" s="342"/>
    </row>
    <row r="74" spans="1:9" s="670" customFormat="1" ht="25.5">
      <c r="A74" s="342">
        <f t="shared" si="0"/>
        <v>67</v>
      </c>
      <c r="B74" s="671" t="s">
        <v>333</v>
      </c>
      <c r="C74" s="342" t="s">
        <v>1222</v>
      </c>
      <c r="D74" s="342"/>
      <c r="E74" s="672">
        <v>3.5000000000000003E-2</v>
      </c>
      <c r="F74" s="670" t="s">
        <v>852</v>
      </c>
    </row>
    <row r="75" spans="1:9" s="670" customFormat="1">
      <c r="A75" s="342">
        <f t="shared" si="0"/>
        <v>68</v>
      </c>
      <c r="B75" s="669" t="s">
        <v>127</v>
      </c>
      <c r="C75" s="342" t="str">
        <f ca="1">'Schedule 6'!$Q$2&amp;" Line "&amp;'Schedule 6'!A55</f>
        <v>Schedule 6 Line 22</v>
      </c>
      <c r="D75" s="342"/>
      <c r="E75" s="659">
        <f>'Schedule 6'!O55</f>
        <v>2.2080000000000002</v>
      </c>
      <c r="F75" s="670" t="s">
        <v>120</v>
      </c>
      <c r="I75" s="1201"/>
    </row>
    <row r="76" spans="1:9" s="670" customFormat="1">
      <c r="A76" s="342">
        <f t="shared" si="0"/>
        <v>69</v>
      </c>
      <c r="B76" s="669" t="s">
        <v>128</v>
      </c>
      <c r="C76" s="342" t="str">
        <f ca="1">'Schedule 6'!$Q$2&amp;" Line "&amp;'Schedule 6'!A57</f>
        <v>Schedule 6 Line 23</v>
      </c>
      <c r="D76" s="342"/>
      <c r="E76" s="659">
        <f>'Schedule 6'!O57</f>
        <v>0.50900000000000001</v>
      </c>
      <c r="F76" s="670" t="s">
        <v>121</v>
      </c>
    </row>
    <row r="77" spans="1:9" s="670" customFormat="1">
      <c r="A77" s="342">
        <f t="shared" si="0"/>
        <v>70</v>
      </c>
      <c r="B77" s="669" t="s">
        <v>129</v>
      </c>
      <c r="C77" s="342" t="str">
        <f ca="1">'Schedule 6'!$Q$2&amp;" Line "&amp;'Schedule 6'!A59</f>
        <v>Schedule 6 Line 24</v>
      </c>
      <c r="D77" s="342"/>
      <c r="E77" s="659">
        <f>'Schedule 6'!O59</f>
        <v>8.5000000000000006E-2</v>
      </c>
      <c r="F77" s="670" t="s">
        <v>122</v>
      </c>
    </row>
    <row r="78" spans="1:9" s="670" customFormat="1">
      <c r="A78" s="342">
        <f t="shared" si="0"/>
        <v>71</v>
      </c>
      <c r="B78" s="669" t="s">
        <v>330</v>
      </c>
      <c r="C78" s="342" t="str">
        <f ca="1">'Schedule 6'!$Q$2&amp;" Line "&amp;'Schedule 6'!A60</f>
        <v>Schedule 6 Line 25</v>
      </c>
      <c r="D78" s="342"/>
      <c r="E78" s="659">
        <f>'Schedule 6'!O60</f>
        <v>7.2999999999999995E-2</v>
      </c>
      <c r="F78" s="670" t="s">
        <v>122</v>
      </c>
    </row>
    <row r="79" spans="1:9" s="670" customFormat="1">
      <c r="A79" s="342">
        <f>A78+1</f>
        <v>72</v>
      </c>
      <c r="B79" s="669" t="s">
        <v>331</v>
      </c>
      <c r="C79" s="342" t="str">
        <f ca="1">'Schedule 6'!$Q$2&amp;" Line "&amp;'Schedule 6'!A62</f>
        <v>Schedule 6 Line 26</v>
      </c>
      <c r="D79" s="342"/>
      <c r="E79" s="659">
        <f>'Schedule 6'!O62</f>
        <v>5.3129999999999997</v>
      </c>
      <c r="F79" s="670" t="s">
        <v>123</v>
      </c>
    </row>
    <row r="80" spans="1:9" s="670" customFormat="1">
      <c r="A80" s="342">
        <f>A79+1</f>
        <v>73</v>
      </c>
      <c r="B80" s="669" t="s">
        <v>332</v>
      </c>
      <c r="C80" s="342" t="str">
        <f ca="1">'Schedule 6'!$Q$2&amp;" Line "&amp;'Schedule 6'!A63</f>
        <v>Schedule 6 Line 27</v>
      </c>
      <c r="D80" s="342"/>
      <c r="E80" s="659">
        <f>'Schedule 6'!O63</f>
        <v>3.0419999999999998</v>
      </c>
      <c r="F80" s="670" t="s">
        <v>123</v>
      </c>
    </row>
    <row r="81" spans="1:10" s="670" customFormat="1">
      <c r="A81" s="342">
        <f>A80+1</f>
        <v>74</v>
      </c>
      <c r="B81" s="669" t="s">
        <v>131</v>
      </c>
      <c r="C81" s="342" t="str">
        <f ca="1">'Schedule 6'!$Q$2&amp;" Line "&amp;'Schedule 6'!A55</f>
        <v>Schedule 6 Line 22</v>
      </c>
      <c r="D81" s="342"/>
      <c r="E81" s="659">
        <f>E75</f>
        <v>2.2080000000000002</v>
      </c>
      <c r="F81" s="670" t="s">
        <v>120</v>
      </c>
    </row>
    <row r="82" spans="1:10" s="670" customFormat="1">
      <c r="A82" s="342">
        <f>A81+1</f>
        <v>75</v>
      </c>
      <c r="B82" s="669" t="s">
        <v>1256</v>
      </c>
      <c r="C82" s="342" t="str">
        <f ca="1">'Schedule 6'!$Q$2&amp;" Line "&amp;'Schedule 6'!A55</f>
        <v>Schedule 6 Line 22</v>
      </c>
      <c r="D82" s="342"/>
      <c r="E82" s="659">
        <f>E75</f>
        <v>2.2080000000000002</v>
      </c>
      <c r="F82" s="670" t="s">
        <v>120</v>
      </c>
    </row>
    <row r="83" spans="1:10" s="670" customFormat="1">
      <c r="A83" s="342">
        <f t="shared" ref="A83:A94" si="1">A82+1</f>
        <v>76</v>
      </c>
      <c r="B83" s="669"/>
      <c r="C83" s="342"/>
      <c r="D83" s="342"/>
      <c r="E83" s="659"/>
    </row>
    <row r="84" spans="1:10" s="670" customFormat="1">
      <c r="A84" s="342">
        <f t="shared" si="1"/>
        <v>77</v>
      </c>
      <c r="B84" s="782" t="s">
        <v>1578</v>
      </c>
      <c r="C84" s="786"/>
      <c r="D84" s="786"/>
      <c r="E84" s="786"/>
      <c r="F84" s="786"/>
    </row>
    <row r="85" spans="1:10" s="670" customFormat="1" ht="25.5">
      <c r="A85" s="342">
        <f t="shared" si="1"/>
        <v>78</v>
      </c>
      <c r="B85" s="788" t="s">
        <v>333</v>
      </c>
      <c r="C85" s="420" t="s">
        <v>1735</v>
      </c>
      <c r="D85" s="789"/>
      <c r="E85" s="813">
        <f>'Schedule 16'!C39</f>
        <v>0.16673427991886411</v>
      </c>
      <c r="F85" s="786" t="s">
        <v>852</v>
      </c>
      <c r="J85" s="313"/>
    </row>
    <row r="86" spans="1:10" s="670" customFormat="1">
      <c r="A86" s="342">
        <v>79</v>
      </c>
      <c r="B86" s="684" t="s">
        <v>127</v>
      </c>
      <c r="C86" s="420" t="s">
        <v>1571</v>
      </c>
      <c r="D86" s="789"/>
      <c r="E86" s="787">
        <f>'Schedule 16'!C41</f>
        <v>6.1008333333333331</v>
      </c>
      <c r="F86" s="786" t="s">
        <v>120</v>
      </c>
      <c r="I86" s="1201"/>
      <c r="J86" s="313"/>
    </row>
    <row r="87" spans="1:10" s="670" customFormat="1">
      <c r="A87" s="342">
        <f t="shared" si="1"/>
        <v>80</v>
      </c>
      <c r="B87" s="684" t="s">
        <v>128</v>
      </c>
      <c r="C87" s="420" t="s">
        <v>1570</v>
      </c>
      <c r="D87" s="789"/>
      <c r="E87" s="787">
        <f>'Schedule 16'!C42</f>
        <v>1.4078846153846152</v>
      </c>
      <c r="F87" s="786" t="s">
        <v>121</v>
      </c>
    </row>
    <row r="88" spans="1:10" s="670" customFormat="1">
      <c r="A88" s="342">
        <f t="shared" si="1"/>
        <v>81</v>
      </c>
      <c r="B88" s="684" t="s">
        <v>129</v>
      </c>
      <c r="C88" s="420" t="s">
        <v>1572</v>
      </c>
      <c r="D88" s="789"/>
      <c r="E88" s="787">
        <f>'Schedule 16'!C43</f>
        <v>234.64743589743586</v>
      </c>
      <c r="F88" s="786" t="s">
        <v>122</v>
      </c>
    </row>
    <row r="89" spans="1:10" s="670" customFormat="1">
      <c r="A89" s="342">
        <f t="shared" si="1"/>
        <v>82</v>
      </c>
      <c r="B89" s="684" t="s">
        <v>330</v>
      </c>
      <c r="C89" s="420" t="s">
        <v>1573</v>
      </c>
      <c r="D89" s="789"/>
      <c r="E89" s="787">
        <f>'Schedule 16'!C44</f>
        <v>201.12637362637358</v>
      </c>
      <c r="F89" s="786" t="s">
        <v>122</v>
      </c>
    </row>
    <row r="90" spans="1:10" s="670" customFormat="1">
      <c r="A90" s="342">
        <f t="shared" si="1"/>
        <v>83</v>
      </c>
      <c r="B90" s="684" t="s">
        <v>331</v>
      </c>
      <c r="C90" s="420" t="s">
        <v>1574</v>
      </c>
      <c r="D90" s="789"/>
      <c r="E90" s="787">
        <f>'Schedule 16'!C45</f>
        <v>14.665464743589741</v>
      </c>
      <c r="F90" s="786" t="s">
        <v>123</v>
      </c>
    </row>
    <row r="91" spans="1:10" s="670" customFormat="1">
      <c r="A91" s="342">
        <f t="shared" si="1"/>
        <v>84</v>
      </c>
      <c r="B91" s="684" t="s">
        <v>332</v>
      </c>
      <c r="C91" s="420" t="s">
        <v>1575</v>
      </c>
      <c r="D91" s="789"/>
      <c r="E91" s="787">
        <f>'Schedule 16'!C46</f>
        <v>8.3802655677655657</v>
      </c>
      <c r="F91" s="786" t="s">
        <v>123</v>
      </c>
    </row>
    <row r="92" spans="1:10" s="670" customFormat="1">
      <c r="A92" s="342">
        <f t="shared" si="1"/>
        <v>85</v>
      </c>
      <c r="B92" s="684" t="s">
        <v>131</v>
      </c>
      <c r="C92" s="420" t="s">
        <v>1576</v>
      </c>
      <c r="D92" s="789"/>
      <c r="E92" s="787">
        <f>'Schedule 16'!C47</f>
        <v>6.1008333333333331</v>
      </c>
      <c r="F92" s="786" t="s">
        <v>120</v>
      </c>
    </row>
    <row r="93" spans="1:10" s="670" customFormat="1">
      <c r="A93" s="342">
        <f t="shared" si="1"/>
        <v>86</v>
      </c>
      <c r="B93" s="684" t="s">
        <v>1256</v>
      </c>
      <c r="C93" s="420" t="s">
        <v>1577</v>
      </c>
      <c r="D93" s="789"/>
      <c r="E93" s="787">
        <f>'Schedule 16'!C48</f>
        <v>6.1008333333333331</v>
      </c>
      <c r="F93" s="786" t="s">
        <v>120</v>
      </c>
    </row>
    <row r="94" spans="1:10" s="670" customFormat="1">
      <c r="A94" s="342">
        <f t="shared" si="1"/>
        <v>87</v>
      </c>
      <c r="B94" s="669"/>
      <c r="C94" s="342"/>
      <c r="D94" s="342"/>
      <c r="E94" s="659"/>
    </row>
    <row r="95" spans="1:10" s="670" customFormat="1" ht="25.5" customHeight="1">
      <c r="B95" s="1205" t="s">
        <v>326</v>
      </c>
      <c r="C95" s="1205"/>
      <c r="D95" s="1205"/>
      <c r="E95" s="1205"/>
      <c r="F95" s="1205"/>
    </row>
    <row r="96" spans="1:10" s="670" customFormat="1" ht="41.25" customHeight="1">
      <c r="B96" s="1205" t="s">
        <v>923</v>
      </c>
      <c r="C96" s="1205"/>
      <c r="D96" s="1205"/>
      <c r="E96" s="1205"/>
      <c r="F96" s="1205"/>
    </row>
    <row r="97" spans="2:6" s="670" customFormat="1">
      <c r="B97" s="670" t="s">
        <v>1227</v>
      </c>
      <c r="C97" s="342"/>
      <c r="D97" s="342"/>
      <c r="E97" s="342"/>
    </row>
    <row r="105" spans="2:6">
      <c r="F105" s="471"/>
    </row>
    <row r="106" spans="2:6">
      <c r="F106" s="591"/>
    </row>
    <row r="107" spans="2:6">
      <c r="E107" s="591"/>
    </row>
    <row r="108" spans="2:6">
      <c r="E108" s="591"/>
    </row>
    <row r="109" spans="2:6">
      <c r="F109" s="591"/>
    </row>
    <row r="110" spans="2:6">
      <c r="F110" s="471"/>
    </row>
    <row r="116" spans="5:5">
      <c r="E116" s="582"/>
    </row>
    <row r="117" spans="5:5">
      <c r="E117" s="582"/>
    </row>
    <row r="118" spans="5:5">
      <c r="E118" s="582"/>
    </row>
    <row r="119" spans="5:5">
      <c r="E119" s="582"/>
    </row>
  </sheetData>
  <mergeCells count="3">
    <mergeCell ref="B31:F31"/>
    <mergeCell ref="B96:F96"/>
    <mergeCell ref="B95:F95"/>
  </mergeCells>
  <phoneticPr fontId="2" type="noConversion"/>
  <printOptions horizontalCentered="1"/>
  <pageMargins left="0.75" right="0.75" top="1" bottom="1" header="0.5" footer="0.5"/>
  <pageSetup scale="49" orientation="portrait" r:id="rId1"/>
  <headerFooter alignWithMargins="0">
    <oddHeader>&amp;RPage &amp;P of &amp;N</oddHead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G32"/>
  <sheetViews>
    <sheetView workbookViewId="0">
      <selection activeCell="G12" sqref="G12"/>
    </sheetView>
  </sheetViews>
  <sheetFormatPr defaultRowHeight="12.75"/>
  <cols>
    <col min="2" max="2" width="42" customWidth="1"/>
    <col min="3" max="3" width="10.7109375" bestFit="1" customWidth="1"/>
    <col min="4" max="4" width="15.140625" bestFit="1" customWidth="1"/>
    <col min="5" max="5" width="14.28515625" customWidth="1"/>
    <col min="6" max="6" width="10.7109375" bestFit="1" customWidth="1"/>
    <col min="7" max="7" width="17.7109375" bestFit="1" customWidth="1"/>
    <col min="258" max="258" width="42" customWidth="1"/>
    <col min="259" max="259" width="10.7109375" bestFit="1" customWidth="1"/>
    <col min="260" max="260" width="15.140625" bestFit="1" customWidth="1"/>
    <col min="261" max="261" width="14.28515625" customWidth="1"/>
    <col min="262" max="262" width="10.7109375" bestFit="1" customWidth="1"/>
    <col min="263" max="263" width="17.7109375" bestFit="1" customWidth="1"/>
    <col min="514" max="514" width="42" customWidth="1"/>
    <col min="515" max="515" width="10.7109375" bestFit="1" customWidth="1"/>
    <col min="516" max="516" width="15.140625" bestFit="1" customWidth="1"/>
    <col min="517" max="517" width="14.28515625" customWidth="1"/>
    <col min="518" max="518" width="10.7109375" bestFit="1" customWidth="1"/>
    <col min="519" max="519" width="17.7109375" bestFit="1" customWidth="1"/>
    <col min="770" max="770" width="42" customWidth="1"/>
    <col min="771" max="771" width="10.7109375" bestFit="1" customWidth="1"/>
    <col min="772" max="772" width="15.140625" bestFit="1" customWidth="1"/>
    <col min="773" max="773" width="14.28515625" customWidth="1"/>
    <col min="774" max="774" width="10.7109375" bestFit="1" customWidth="1"/>
    <col min="775" max="775" width="17.7109375" bestFit="1" customWidth="1"/>
    <col min="1026" max="1026" width="42" customWidth="1"/>
    <col min="1027" max="1027" width="10.7109375" bestFit="1" customWidth="1"/>
    <col min="1028" max="1028" width="15.140625" bestFit="1" customWidth="1"/>
    <col min="1029" max="1029" width="14.28515625" customWidth="1"/>
    <col min="1030" max="1030" width="10.7109375" bestFit="1" customWidth="1"/>
    <col min="1031" max="1031" width="17.7109375" bestFit="1" customWidth="1"/>
    <col min="1282" max="1282" width="42" customWidth="1"/>
    <col min="1283" max="1283" width="10.7109375" bestFit="1" customWidth="1"/>
    <col min="1284" max="1284" width="15.140625" bestFit="1" customWidth="1"/>
    <col min="1285" max="1285" width="14.28515625" customWidth="1"/>
    <col min="1286" max="1286" width="10.7109375" bestFit="1" customWidth="1"/>
    <col min="1287" max="1287" width="17.7109375" bestFit="1" customWidth="1"/>
    <col min="1538" max="1538" width="42" customWidth="1"/>
    <col min="1539" max="1539" width="10.7109375" bestFit="1" customWidth="1"/>
    <col min="1540" max="1540" width="15.140625" bestFit="1" customWidth="1"/>
    <col min="1541" max="1541" width="14.28515625" customWidth="1"/>
    <col min="1542" max="1542" width="10.7109375" bestFit="1" customWidth="1"/>
    <col min="1543" max="1543" width="17.7109375" bestFit="1" customWidth="1"/>
    <col min="1794" max="1794" width="42" customWidth="1"/>
    <col min="1795" max="1795" width="10.7109375" bestFit="1" customWidth="1"/>
    <col min="1796" max="1796" width="15.140625" bestFit="1" customWidth="1"/>
    <col min="1797" max="1797" width="14.28515625" customWidth="1"/>
    <col min="1798" max="1798" width="10.7109375" bestFit="1" customWidth="1"/>
    <col min="1799" max="1799" width="17.7109375" bestFit="1" customWidth="1"/>
    <col min="2050" max="2050" width="42" customWidth="1"/>
    <col min="2051" max="2051" width="10.7109375" bestFit="1" customWidth="1"/>
    <col min="2052" max="2052" width="15.140625" bestFit="1" customWidth="1"/>
    <col min="2053" max="2053" width="14.28515625" customWidth="1"/>
    <col min="2054" max="2054" width="10.7109375" bestFit="1" customWidth="1"/>
    <col min="2055" max="2055" width="17.7109375" bestFit="1" customWidth="1"/>
    <col min="2306" max="2306" width="42" customWidth="1"/>
    <col min="2307" max="2307" width="10.7109375" bestFit="1" customWidth="1"/>
    <col min="2308" max="2308" width="15.140625" bestFit="1" customWidth="1"/>
    <col min="2309" max="2309" width="14.28515625" customWidth="1"/>
    <col min="2310" max="2310" width="10.7109375" bestFit="1" customWidth="1"/>
    <col min="2311" max="2311" width="17.7109375" bestFit="1" customWidth="1"/>
    <col min="2562" max="2562" width="42" customWidth="1"/>
    <col min="2563" max="2563" width="10.7109375" bestFit="1" customWidth="1"/>
    <col min="2564" max="2564" width="15.140625" bestFit="1" customWidth="1"/>
    <col min="2565" max="2565" width="14.28515625" customWidth="1"/>
    <col min="2566" max="2566" width="10.7109375" bestFit="1" customWidth="1"/>
    <col min="2567" max="2567" width="17.7109375" bestFit="1" customWidth="1"/>
    <col min="2818" max="2818" width="42" customWidth="1"/>
    <col min="2819" max="2819" width="10.7109375" bestFit="1" customWidth="1"/>
    <col min="2820" max="2820" width="15.140625" bestFit="1" customWidth="1"/>
    <col min="2821" max="2821" width="14.28515625" customWidth="1"/>
    <col min="2822" max="2822" width="10.7109375" bestFit="1" customWidth="1"/>
    <col min="2823" max="2823" width="17.7109375" bestFit="1" customWidth="1"/>
    <col min="3074" max="3074" width="42" customWidth="1"/>
    <col min="3075" max="3075" width="10.7109375" bestFit="1" customWidth="1"/>
    <col min="3076" max="3076" width="15.140625" bestFit="1" customWidth="1"/>
    <col min="3077" max="3077" width="14.28515625" customWidth="1"/>
    <col min="3078" max="3078" width="10.7109375" bestFit="1" customWidth="1"/>
    <col min="3079" max="3079" width="17.7109375" bestFit="1" customWidth="1"/>
    <col min="3330" max="3330" width="42" customWidth="1"/>
    <col min="3331" max="3331" width="10.7109375" bestFit="1" customWidth="1"/>
    <col min="3332" max="3332" width="15.140625" bestFit="1" customWidth="1"/>
    <col min="3333" max="3333" width="14.28515625" customWidth="1"/>
    <col min="3334" max="3334" width="10.7109375" bestFit="1" customWidth="1"/>
    <col min="3335" max="3335" width="17.7109375" bestFit="1" customWidth="1"/>
    <col min="3586" max="3586" width="42" customWidth="1"/>
    <col min="3587" max="3587" width="10.7109375" bestFit="1" customWidth="1"/>
    <col min="3588" max="3588" width="15.140625" bestFit="1" customWidth="1"/>
    <col min="3589" max="3589" width="14.28515625" customWidth="1"/>
    <col min="3590" max="3590" width="10.7109375" bestFit="1" customWidth="1"/>
    <col min="3591" max="3591" width="17.7109375" bestFit="1" customWidth="1"/>
    <col min="3842" max="3842" width="42" customWidth="1"/>
    <col min="3843" max="3843" width="10.7109375" bestFit="1" customWidth="1"/>
    <col min="3844" max="3844" width="15.140625" bestFit="1" customWidth="1"/>
    <col min="3845" max="3845" width="14.28515625" customWidth="1"/>
    <col min="3846" max="3846" width="10.7109375" bestFit="1" customWidth="1"/>
    <col min="3847" max="3847" width="17.7109375" bestFit="1" customWidth="1"/>
    <col min="4098" max="4098" width="42" customWidth="1"/>
    <col min="4099" max="4099" width="10.7109375" bestFit="1" customWidth="1"/>
    <col min="4100" max="4100" width="15.140625" bestFit="1" customWidth="1"/>
    <col min="4101" max="4101" width="14.28515625" customWidth="1"/>
    <col min="4102" max="4102" width="10.7109375" bestFit="1" customWidth="1"/>
    <col min="4103" max="4103" width="17.7109375" bestFit="1" customWidth="1"/>
    <col min="4354" max="4354" width="42" customWidth="1"/>
    <col min="4355" max="4355" width="10.7109375" bestFit="1" customWidth="1"/>
    <col min="4356" max="4356" width="15.140625" bestFit="1" customWidth="1"/>
    <col min="4357" max="4357" width="14.28515625" customWidth="1"/>
    <col min="4358" max="4358" width="10.7109375" bestFit="1" customWidth="1"/>
    <col min="4359" max="4359" width="17.7109375" bestFit="1" customWidth="1"/>
    <col min="4610" max="4610" width="42" customWidth="1"/>
    <col min="4611" max="4611" width="10.7109375" bestFit="1" customWidth="1"/>
    <col min="4612" max="4612" width="15.140625" bestFit="1" customWidth="1"/>
    <col min="4613" max="4613" width="14.28515625" customWidth="1"/>
    <col min="4614" max="4614" width="10.7109375" bestFit="1" customWidth="1"/>
    <col min="4615" max="4615" width="17.7109375" bestFit="1" customWidth="1"/>
    <col min="4866" max="4866" width="42" customWidth="1"/>
    <col min="4867" max="4867" width="10.7109375" bestFit="1" customWidth="1"/>
    <col min="4868" max="4868" width="15.140625" bestFit="1" customWidth="1"/>
    <col min="4869" max="4869" width="14.28515625" customWidth="1"/>
    <col min="4870" max="4870" width="10.7109375" bestFit="1" customWidth="1"/>
    <col min="4871" max="4871" width="17.7109375" bestFit="1" customWidth="1"/>
    <col min="5122" max="5122" width="42" customWidth="1"/>
    <col min="5123" max="5123" width="10.7109375" bestFit="1" customWidth="1"/>
    <col min="5124" max="5124" width="15.140625" bestFit="1" customWidth="1"/>
    <col min="5125" max="5125" width="14.28515625" customWidth="1"/>
    <col min="5126" max="5126" width="10.7109375" bestFit="1" customWidth="1"/>
    <col min="5127" max="5127" width="17.7109375" bestFit="1" customWidth="1"/>
    <col min="5378" max="5378" width="42" customWidth="1"/>
    <col min="5379" max="5379" width="10.7109375" bestFit="1" customWidth="1"/>
    <col min="5380" max="5380" width="15.140625" bestFit="1" customWidth="1"/>
    <col min="5381" max="5381" width="14.28515625" customWidth="1"/>
    <col min="5382" max="5382" width="10.7109375" bestFit="1" customWidth="1"/>
    <col min="5383" max="5383" width="17.7109375" bestFit="1" customWidth="1"/>
    <col min="5634" max="5634" width="42" customWidth="1"/>
    <col min="5635" max="5635" width="10.7109375" bestFit="1" customWidth="1"/>
    <col min="5636" max="5636" width="15.140625" bestFit="1" customWidth="1"/>
    <col min="5637" max="5637" width="14.28515625" customWidth="1"/>
    <col min="5638" max="5638" width="10.7109375" bestFit="1" customWidth="1"/>
    <col min="5639" max="5639" width="17.7109375" bestFit="1" customWidth="1"/>
    <col min="5890" max="5890" width="42" customWidth="1"/>
    <col min="5891" max="5891" width="10.7109375" bestFit="1" customWidth="1"/>
    <col min="5892" max="5892" width="15.140625" bestFit="1" customWidth="1"/>
    <col min="5893" max="5893" width="14.28515625" customWidth="1"/>
    <col min="5894" max="5894" width="10.7109375" bestFit="1" customWidth="1"/>
    <col min="5895" max="5895" width="17.7109375" bestFit="1" customWidth="1"/>
    <col min="6146" max="6146" width="42" customWidth="1"/>
    <col min="6147" max="6147" width="10.7109375" bestFit="1" customWidth="1"/>
    <col min="6148" max="6148" width="15.140625" bestFit="1" customWidth="1"/>
    <col min="6149" max="6149" width="14.28515625" customWidth="1"/>
    <col min="6150" max="6150" width="10.7109375" bestFit="1" customWidth="1"/>
    <col min="6151" max="6151" width="17.7109375" bestFit="1" customWidth="1"/>
    <col min="6402" max="6402" width="42" customWidth="1"/>
    <col min="6403" max="6403" width="10.7109375" bestFit="1" customWidth="1"/>
    <col min="6404" max="6404" width="15.140625" bestFit="1" customWidth="1"/>
    <col min="6405" max="6405" width="14.28515625" customWidth="1"/>
    <col min="6406" max="6406" width="10.7109375" bestFit="1" customWidth="1"/>
    <col min="6407" max="6407" width="17.7109375" bestFit="1" customWidth="1"/>
    <col min="6658" max="6658" width="42" customWidth="1"/>
    <col min="6659" max="6659" width="10.7109375" bestFit="1" customWidth="1"/>
    <col min="6660" max="6660" width="15.140625" bestFit="1" customWidth="1"/>
    <col min="6661" max="6661" width="14.28515625" customWidth="1"/>
    <col min="6662" max="6662" width="10.7109375" bestFit="1" customWidth="1"/>
    <col min="6663" max="6663" width="17.7109375" bestFit="1" customWidth="1"/>
    <col min="6914" max="6914" width="42" customWidth="1"/>
    <col min="6915" max="6915" width="10.7109375" bestFit="1" customWidth="1"/>
    <col min="6916" max="6916" width="15.140625" bestFit="1" customWidth="1"/>
    <col min="6917" max="6917" width="14.28515625" customWidth="1"/>
    <col min="6918" max="6918" width="10.7109375" bestFit="1" customWidth="1"/>
    <col min="6919" max="6919" width="17.7109375" bestFit="1" customWidth="1"/>
    <col min="7170" max="7170" width="42" customWidth="1"/>
    <col min="7171" max="7171" width="10.7109375" bestFit="1" customWidth="1"/>
    <col min="7172" max="7172" width="15.140625" bestFit="1" customWidth="1"/>
    <col min="7173" max="7173" width="14.28515625" customWidth="1"/>
    <col min="7174" max="7174" width="10.7109375" bestFit="1" customWidth="1"/>
    <col min="7175" max="7175" width="17.7109375" bestFit="1" customWidth="1"/>
    <col min="7426" max="7426" width="42" customWidth="1"/>
    <col min="7427" max="7427" width="10.7109375" bestFit="1" customWidth="1"/>
    <col min="7428" max="7428" width="15.140625" bestFit="1" customWidth="1"/>
    <col min="7429" max="7429" width="14.28515625" customWidth="1"/>
    <col min="7430" max="7430" width="10.7109375" bestFit="1" customWidth="1"/>
    <col min="7431" max="7431" width="17.7109375" bestFit="1" customWidth="1"/>
    <col min="7682" max="7682" width="42" customWidth="1"/>
    <col min="7683" max="7683" width="10.7109375" bestFit="1" customWidth="1"/>
    <col min="7684" max="7684" width="15.140625" bestFit="1" customWidth="1"/>
    <col min="7685" max="7685" width="14.28515625" customWidth="1"/>
    <col min="7686" max="7686" width="10.7109375" bestFit="1" customWidth="1"/>
    <col min="7687" max="7687" width="17.7109375" bestFit="1" customWidth="1"/>
    <col min="7938" max="7938" width="42" customWidth="1"/>
    <col min="7939" max="7939" width="10.7109375" bestFit="1" customWidth="1"/>
    <col min="7940" max="7940" width="15.140625" bestFit="1" customWidth="1"/>
    <col min="7941" max="7941" width="14.28515625" customWidth="1"/>
    <col min="7942" max="7942" width="10.7109375" bestFit="1" customWidth="1"/>
    <col min="7943" max="7943" width="17.7109375" bestFit="1" customWidth="1"/>
    <col min="8194" max="8194" width="42" customWidth="1"/>
    <col min="8195" max="8195" width="10.7109375" bestFit="1" customWidth="1"/>
    <col min="8196" max="8196" width="15.140625" bestFit="1" customWidth="1"/>
    <col min="8197" max="8197" width="14.28515625" customWidth="1"/>
    <col min="8198" max="8198" width="10.7109375" bestFit="1" customWidth="1"/>
    <col min="8199" max="8199" width="17.7109375" bestFit="1" customWidth="1"/>
    <col min="8450" max="8450" width="42" customWidth="1"/>
    <col min="8451" max="8451" width="10.7109375" bestFit="1" customWidth="1"/>
    <col min="8452" max="8452" width="15.140625" bestFit="1" customWidth="1"/>
    <col min="8453" max="8453" width="14.28515625" customWidth="1"/>
    <col min="8454" max="8454" width="10.7109375" bestFit="1" customWidth="1"/>
    <col min="8455" max="8455" width="17.7109375" bestFit="1" customWidth="1"/>
    <col min="8706" max="8706" width="42" customWidth="1"/>
    <col min="8707" max="8707" width="10.7109375" bestFit="1" customWidth="1"/>
    <col min="8708" max="8708" width="15.140625" bestFit="1" customWidth="1"/>
    <col min="8709" max="8709" width="14.28515625" customWidth="1"/>
    <col min="8710" max="8710" width="10.7109375" bestFit="1" customWidth="1"/>
    <col min="8711" max="8711" width="17.7109375" bestFit="1" customWidth="1"/>
    <col min="8962" max="8962" width="42" customWidth="1"/>
    <col min="8963" max="8963" width="10.7109375" bestFit="1" customWidth="1"/>
    <col min="8964" max="8964" width="15.140625" bestFit="1" customWidth="1"/>
    <col min="8965" max="8965" width="14.28515625" customWidth="1"/>
    <col min="8966" max="8966" width="10.7109375" bestFit="1" customWidth="1"/>
    <col min="8967" max="8967" width="17.7109375" bestFit="1" customWidth="1"/>
    <col min="9218" max="9218" width="42" customWidth="1"/>
    <col min="9219" max="9219" width="10.7109375" bestFit="1" customWidth="1"/>
    <col min="9220" max="9220" width="15.140625" bestFit="1" customWidth="1"/>
    <col min="9221" max="9221" width="14.28515625" customWidth="1"/>
    <col min="9222" max="9222" width="10.7109375" bestFit="1" customWidth="1"/>
    <col min="9223" max="9223" width="17.7109375" bestFit="1" customWidth="1"/>
    <col min="9474" max="9474" width="42" customWidth="1"/>
    <col min="9475" max="9475" width="10.7109375" bestFit="1" customWidth="1"/>
    <col min="9476" max="9476" width="15.140625" bestFit="1" customWidth="1"/>
    <col min="9477" max="9477" width="14.28515625" customWidth="1"/>
    <col min="9478" max="9478" width="10.7109375" bestFit="1" customWidth="1"/>
    <col min="9479" max="9479" width="17.7109375" bestFit="1" customWidth="1"/>
    <col min="9730" max="9730" width="42" customWidth="1"/>
    <col min="9731" max="9731" width="10.7109375" bestFit="1" customWidth="1"/>
    <col min="9732" max="9732" width="15.140625" bestFit="1" customWidth="1"/>
    <col min="9733" max="9733" width="14.28515625" customWidth="1"/>
    <col min="9734" max="9734" width="10.7109375" bestFit="1" customWidth="1"/>
    <col min="9735" max="9735" width="17.7109375" bestFit="1" customWidth="1"/>
    <col min="9986" max="9986" width="42" customWidth="1"/>
    <col min="9987" max="9987" width="10.7109375" bestFit="1" customWidth="1"/>
    <col min="9988" max="9988" width="15.140625" bestFit="1" customWidth="1"/>
    <col min="9989" max="9989" width="14.28515625" customWidth="1"/>
    <col min="9990" max="9990" width="10.7109375" bestFit="1" customWidth="1"/>
    <col min="9991" max="9991" width="17.7109375" bestFit="1" customWidth="1"/>
    <col min="10242" max="10242" width="42" customWidth="1"/>
    <col min="10243" max="10243" width="10.7109375" bestFit="1" customWidth="1"/>
    <col min="10244" max="10244" width="15.140625" bestFit="1" customWidth="1"/>
    <col min="10245" max="10245" width="14.28515625" customWidth="1"/>
    <col min="10246" max="10246" width="10.7109375" bestFit="1" customWidth="1"/>
    <col min="10247" max="10247" width="17.7109375" bestFit="1" customWidth="1"/>
    <col min="10498" max="10498" width="42" customWidth="1"/>
    <col min="10499" max="10499" width="10.7109375" bestFit="1" customWidth="1"/>
    <col min="10500" max="10500" width="15.140625" bestFit="1" customWidth="1"/>
    <col min="10501" max="10501" width="14.28515625" customWidth="1"/>
    <col min="10502" max="10502" width="10.7109375" bestFit="1" customWidth="1"/>
    <col min="10503" max="10503" width="17.7109375" bestFit="1" customWidth="1"/>
    <col min="10754" max="10754" width="42" customWidth="1"/>
    <col min="10755" max="10755" width="10.7109375" bestFit="1" customWidth="1"/>
    <col min="10756" max="10756" width="15.140625" bestFit="1" customWidth="1"/>
    <col min="10757" max="10757" width="14.28515625" customWidth="1"/>
    <col min="10758" max="10758" width="10.7109375" bestFit="1" customWidth="1"/>
    <col min="10759" max="10759" width="17.7109375" bestFit="1" customWidth="1"/>
    <col min="11010" max="11010" width="42" customWidth="1"/>
    <col min="11011" max="11011" width="10.7109375" bestFit="1" customWidth="1"/>
    <col min="11012" max="11012" width="15.140625" bestFit="1" customWidth="1"/>
    <col min="11013" max="11013" width="14.28515625" customWidth="1"/>
    <col min="11014" max="11014" width="10.7109375" bestFit="1" customWidth="1"/>
    <col min="11015" max="11015" width="17.7109375" bestFit="1" customWidth="1"/>
    <col min="11266" max="11266" width="42" customWidth="1"/>
    <col min="11267" max="11267" width="10.7109375" bestFit="1" customWidth="1"/>
    <col min="11268" max="11268" width="15.140625" bestFit="1" customWidth="1"/>
    <col min="11269" max="11269" width="14.28515625" customWidth="1"/>
    <col min="11270" max="11270" width="10.7109375" bestFit="1" customWidth="1"/>
    <col min="11271" max="11271" width="17.7109375" bestFit="1" customWidth="1"/>
    <col min="11522" max="11522" width="42" customWidth="1"/>
    <col min="11523" max="11523" width="10.7109375" bestFit="1" customWidth="1"/>
    <col min="11524" max="11524" width="15.140625" bestFit="1" customWidth="1"/>
    <col min="11525" max="11525" width="14.28515625" customWidth="1"/>
    <col min="11526" max="11526" width="10.7109375" bestFit="1" customWidth="1"/>
    <col min="11527" max="11527" width="17.7109375" bestFit="1" customWidth="1"/>
    <col min="11778" max="11778" width="42" customWidth="1"/>
    <col min="11779" max="11779" width="10.7109375" bestFit="1" customWidth="1"/>
    <col min="11780" max="11780" width="15.140625" bestFit="1" customWidth="1"/>
    <col min="11781" max="11781" width="14.28515625" customWidth="1"/>
    <col min="11782" max="11782" width="10.7109375" bestFit="1" customWidth="1"/>
    <col min="11783" max="11783" width="17.7109375" bestFit="1" customWidth="1"/>
    <col min="12034" max="12034" width="42" customWidth="1"/>
    <col min="12035" max="12035" width="10.7109375" bestFit="1" customWidth="1"/>
    <col min="12036" max="12036" width="15.140625" bestFit="1" customWidth="1"/>
    <col min="12037" max="12037" width="14.28515625" customWidth="1"/>
    <col min="12038" max="12038" width="10.7109375" bestFit="1" customWidth="1"/>
    <col min="12039" max="12039" width="17.7109375" bestFit="1" customWidth="1"/>
    <col min="12290" max="12290" width="42" customWidth="1"/>
    <col min="12291" max="12291" width="10.7109375" bestFit="1" customWidth="1"/>
    <col min="12292" max="12292" width="15.140625" bestFit="1" customWidth="1"/>
    <col min="12293" max="12293" width="14.28515625" customWidth="1"/>
    <col min="12294" max="12294" width="10.7109375" bestFit="1" customWidth="1"/>
    <col min="12295" max="12295" width="17.7109375" bestFit="1" customWidth="1"/>
    <col min="12546" max="12546" width="42" customWidth="1"/>
    <col min="12547" max="12547" width="10.7109375" bestFit="1" customWidth="1"/>
    <col min="12548" max="12548" width="15.140625" bestFit="1" customWidth="1"/>
    <col min="12549" max="12549" width="14.28515625" customWidth="1"/>
    <col min="12550" max="12550" width="10.7109375" bestFit="1" customWidth="1"/>
    <col min="12551" max="12551" width="17.7109375" bestFit="1" customWidth="1"/>
    <col min="12802" max="12802" width="42" customWidth="1"/>
    <col min="12803" max="12803" width="10.7109375" bestFit="1" customWidth="1"/>
    <col min="12804" max="12804" width="15.140625" bestFit="1" customWidth="1"/>
    <col min="12805" max="12805" width="14.28515625" customWidth="1"/>
    <col min="12806" max="12806" width="10.7109375" bestFit="1" customWidth="1"/>
    <col min="12807" max="12807" width="17.7109375" bestFit="1" customWidth="1"/>
    <col min="13058" max="13058" width="42" customWidth="1"/>
    <col min="13059" max="13059" width="10.7109375" bestFit="1" customWidth="1"/>
    <col min="13060" max="13060" width="15.140625" bestFit="1" customWidth="1"/>
    <col min="13061" max="13061" width="14.28515625" customWidth="1"/>
    <col min="13062" max="13062" width="10.7109375" bestFit="1" customWidth="1"/>
    <col min="13063" max="13063" width="17.7109375" bestFit="1" customWidth="1"/>
    <col min="13314" max="13314" width="42" customWidth="1"/>
    <col min="13315" max="13315" width="10.7109375" bestFit="1" customWidth="1"/>
    <col min="13316" max="13316" width="15.140625" bestFit="1" customWidth="1"/>
    <col min="13317" max="13317" width="14.28515625" customWidth="1"/>
    <col min="13318" max="13318" width="10.7109375" bestFit="1" customWidth="1"/>
    <col min="13319" max="13319" width="17.7109375" bestFit="1" customWidth="1"/>
    <col min="13570" max="13570" width="42" customWidth="1"/>
    <col min="13571" max="13571" width="10.7109375" bestFit="1" customWidth="1"/>
    <col min="13572" max="13572" width="15.140625" bestFit="1" customWidth="1"/>
    <col min="13573" max="13573" width="14.28515625" customWidth="1"/>
    <col min="13574" max="13574" width="10.7109375" bestFit="1" customWidth="1"/>
    <col min="13575" max="13575" width="17.7109375" bestFit="1" customWidth="1"/>
    <col min="13826" max="13826" width="42" customWidth="1"/>
    <col min="13827" max="13827" width="10.7109375" bestFit="1" customWidth="1"/>
    <col min="13828" max="13828" width="15.140625" bestFit="1" customWidth="1"/>
    <col min="13829" max="13829" width="14.28515625" customWidth="1"/>
    <col min="13830" max="13830" width="10.7109375" bestFit="1" customWidth="1"/>
    <col min="13831" max="13831" width="17.7109375" bestFit="1" customWidth="1"/>
    <col min="14082" max="14082" width="42" customWidth="1"/>
    <col min="14083" max="14083" width="10.7109375" bestFit="1" customWidth="1"/>
    <col min="14084" max="14084" width="15.140625" bestFit="1" customWidth="1"/>
    <col min="14085" max="14085" width="14.28515625" customWidth="1"/>
    <col min="14086" max="14086" width="10.7109375" bestFit="1" customWidth="1"/>
    <col min="14087" max="14087" width="17.7109375" bestFit="1" customWidth="1"/>
    <col min="14338" max="14338" width="42" customWidth="1"/>
    <col min="14339" max="14339" width="10.7109375" bestFit="1" customWidth="1"/>
    <col min="14340" max="14340" width="15.140625" bestFit="1" customWidth="1"/>
    <col min="14341" max="14341" width="14.28515625" customWidth="1"/>
    <col min="14342" max="14342" width="10.7109375" bestFit="1" customWidth="1"/>
    <col min="14343" max="14343" width="17.7109375" bestFit="1" customWidth="1"/>
    <col min="14594" max="14594" width="42" customWidth="1"/>
    <col min="14595" max="14595" width="10.7109375" bestFit="1" customWidth="1"/>
    <col min="14596" max="14596" width="15.140625" bestFit="1" customWidth="1"/>
    <col min="14597" max="14597" width="14.28515625" customWidth="1"/>
    <col min="14598" max="14598" width="10.7109375" bestFit="1" customWidth="1"/>
    <col min="14599" max="14599" width="17.7109375" bestFit="1" customWidth="1"/>
    <col min="14850" max="14850" width="42" customWidth="1"/>
    <col min="14851" max="14851" width="10.7109375" bestFit="1" customWidth="1"/>
    <col min="14852" max="14852" width="15.140625" bestFit="1" customWidth="1"/>
    <col min="14853" max="14853" width="14.28515625" customWidth="1"/>
    <col min="14854" max="14854" width="10.7109375" bestFit="1" customWidth="1"/>
    <col min="14855" max="14855" width="17.7109375" bestFit="1" customWidth="1"/>
    <col min="15106" max="15106" width="42" customWidth="1"/>
    <col min="15107" max="15107" width="10.7109375" bestFit="1" customWidth="1"/>
    <col min="15108" max="15108" width="15.140625" bestFit="1" customWidth="1"/>
    <col min="15109" max="15109" width="14.28515625" customWidth="1"/>
    <col min="15110" max="15110" width="10.7109375" bestFit="1" customWidth="1"/>
    <col min="15111" max="15111" width="17.7109375" bestFit="1" customWidth="1"/>
    <col min="15362" max="15362" width="42" customWidth="1"/>
    <col min="15363" max="15363" width="10.7109375" bestFit="1" customWidth="1"/>
    <col min="15364" max="15364" width="15.140625" bestFit="1" customWidth="1"/>
    <col min="15365" max="15365" width="14.28515625" customWidth="1"/>
    <col min="15366" max="15366" width="10.7109375" bestFit="1" customWidth="1"/>
    <col min="15367" max="15367" width="17.7109375" bestFit="1" customWidth="1"/>
    <col min="15618" max="15618" width="42" customWidth="1"/>
    <col min="15619" max="15619" width="10.7109375" bestFit="1" customWidth="1"/>
    <col min="15620" max="15620" width="15.140625" bestFit="1" customWidth="1"/>
    <col min="15621" max="15621" width="14.28515625" customWidth="1"/>
    <col min="15622" max="15622" width="10.7109375" bestFit="1" customWidth="1"/>
    <col min="15623" max="15623" width="17.7109375" bestFit="1" customWidth="1"/>
    <col min="15874" max="15874" width="42" customWidth="1"/>
    <col min="15875" max="15875" width="10.7109375" bestFit="1" customWidth="1"/>
    <col min="15876" max="15876" width="15.140625" bestFit="1" customWidth="1"/>
    <col min="15877" max="15877" width="14.28515625" customWidth="1"/>
    <col min="15878" max="15878" width="10.7109375" bestFit="1" customWidth="1"/>
    <col min="15879" max="15879" width="17.7109375" bestFit="1" customWidth="1"/>
    <col min="16130" max="16130" width="42" customWidth="1"/>
    <col min="16131" max="16131" width="10.7109375" bestFit="1" customWidth="1"/>
    <col min="16132" max="16132" width="15.140625" bestFit="1" customWidth="1"/>
    <col min="16133" max="16133" width="14.28515625" customWidth="1"/>
    <col min="16134" max="16134" width="10.7109375" bestFit="1" customWidth="1"/>
    <col min="16135" max="16135" width="17.7109375" bestFit="1" customWidth="1"/>
  </cols>
  <sheetData>
    <row r="1" spans="1:7">
      <c r="A1" s="847" t="s">
        <v>779</v>
      </c>
      <c r="G1" s="781" t="s">
        <v>1505</v>
      </c>
    </row>
    <row r="2" spans="1:7">
      <c r="A2" s="847" t="s">
        <v>383</v>
      </c>
      <c r="G2" s="781" t="str">
        <f ca="1">MID(CELL("filename",$A$1),FIND("]",CELL("filename",$A$1))+1,LEN(CELL("filename",$A$1))-FIND("]",CELL("filename",$A$1)))</f>
        <v>WP_Reactive Cost</v>
      </c>
    </row>
    <row r="3" spans="1:7" ht="15">
      <c r="A3" s="809" t="s">
        <v>1552</v>
      </c>
      <c r="B3" s="1140"/>
      <c r="C3" s="1140"/>
      <c r="D3" s="1140"/>
      <c r="E3" s="1140"/>
      <c r="F3" s="1140"/>
      <c r="G3" s="1140"/>
    </row>
    <row r="4" spans="1:7">
      <c r="A4" s="798" t="s">
        <v>1454</v>
      </c>
      <c r="B4" s="1011"/>
      <c r="C4" s="1011"/>
      <c r="D4" s="1012"/>
      <c r="E4" s="1012"/>
      <c r="F4" s="1013"/>
      <c r="G4" s="1012"/>
    </row>
    <row r="5" spans="1:7" ht="15">
      <c r="A5" s="1140"/>
      <c r="B5" s="1140"/>
      <c r="C5" s="806"/>
      <c r="D5" s="806"/>
      <c r="E5" s="806"/>
      <c r="F5" s="806"/>
      <c r="G5" s="806"/>
    </row>
    <row r="6" spans="1:7" ht="51">
      <c r="A6" s="1014" t="s">
        <v>1385</v>
      </c>
      <c r="B6" s="1014" t="s">
        <v>466</v>
      </c>
      <c r="C6" s="792" t="s">
        <v>1553</v>
      </c>
      <c r="D6" s="1015" t="s">
        <v>1554</v>
      </c>
      <c r="E6" s="808" t="s">
        <v>1559</v>
      </c>
      <c r="F6" s="808" t="s">
        <v>1555</v>
      </c>
      <c r="G6" s="808" t="s">
        <v>1556</v>
      </c>
    </row>
    <row r="7" spans="1:7">
      <c r="A7" s="1017"/>
      <c r="B7" s="1018" t="s">
        <v>1467</v>
      </c>
      <c r="C7" s="1018" t="s">
        <v>1468</v>
      </c>
      <c r="D7" s="1018" t="s">
        <v>1469</v>
      </c>
      <c r="E7" s="1018" t="s">
        <v>1470</v>
      </c>
      <c r="F7" s="1018" t="s">
        <v>1471</v>
      </c>
      <c r="G7" s="1018" t="s">
        <v>1472</v>
      </c>
    </row>
    <row r="8" spans="1:7" ht="15">
      <c r="A8" s="1144"/>
      <c r="B8" s="1144"/>
      <c r="C8" s="1144"/>
      <c r="D8" s="1144"/>
      <c r="E8" s="1144"/>
      <c r="F8" s="1144"/>
      <c r="G8" s="1144"/>
    </row>
    <row r="9" spans="1:7">
      <c r="A9" s="1019">
        <v>1</v>
      </c>
      <c r="B9" s="1020" t="s">
        <v>435</v>
      </c>
      <c r="C9" s="1141">
        <v>0</v>
      </c>
      <c r="D9" s="1145">
        <f>+C9/$C$28</f>
        <v>0</v>
      </c>
      <c r="E9" s="1142">
        <f>D9*$E$28</f>
        <v>0</v>
      </c>
      <c r="F9" s="1142">
        <v>0</v>
      </c>
      <c r="G9" s="1146">
        <f>F9/1000</f>
        <v>0</v>
      </c>
    </row>
    <row r="10" spans="1:7">
      <c r="A10" s="1019">
        <v>2</v>
      </c>
      <c r="B10" s="1020" t="s">
        <v>436</v>
      </c>
      <c r="C10" s="1141">
        <v>625.6</v>
      </c>
      <c r="D10" s="1145">
        <f>+C10/$C$28</f>
        <v>9.2062412900510482E-2</v>
      </c>
      <c r="E10" s="1142">
        <f>D10*$E$28</f>
        <v>1581434.9065967954</v>
      </c>
      <c r="F10" s="1142">
        <f>E10/C10</f>
        <v>2527.8690962224991</v>
      </c>
      <c r="G10" s="1146">
        <f>F10/1000</f>
        <v>2.5278690962224992</v>
      </c>
    </row>
    <row r="11" spans="1:7">
      <c r="A11" s="1019">
        <v>3</v>
      </c>
      <c r="B11" s="1020" t="s">
        <v>437</v>
      </c>
      <c r="C11" s="1141">
        <v>100.8</v>
      </c>
      <c r="D11" s="1145">
        <f t="shared" ref="D11:D26" si="0">+C11/$C$28</f>
        <v>1.4833585710312428E-2</v>
      </c>
      <c r="E11" s="1142">
        <f t="shared" ref="E11:E26" si="1">D11*$E$28</f>
        <v>254809.20489922786</v>
      </c>
      <c r="F11" s="1142">
        <f>E11/C11</f>
        <v>2527.8690962224987</v>
      </c>
      <c r="G11" s="1146">
        <f>F11/1000</f>
        <v>2.5278690962224988</v>
      </c>
    </row>
    <row r="12" spans="1:7">
      <c r="A12" s="1019">
        <v>4</v>
      </c>
      <c r="B12" s="1020" t="s">
        <v>438</v>
      </c>
      <c r="C12" s="1141">
        <v>26.64</v>
      </c>
      <c r="D12" s="1145">
        <f t="shared" si="0"/>
        <v>3.9203047948682852E-3</v>
      </c>
      <c r="E12" s="1142">
        <f t="shared" si="1"/>
        <v>67342.432723367368</v>
      </c>
      <c r="F12" s="1142">
        <f t="shared" ref="F12:F26" si="2">E12/C12</f>
        <v>2527.8690962224987</v>
      </c>
      <c r="G12" s="1146">
        <f t="shared" ref="G12:G26" si="3">F12/1000</f>
        <v>2.5278690962224988</v>
      </c>
    </row>
    <row r="13" spans="1:7">
      <c r="A13" s="1019">
        <v>5</v>
      </c>
      <c r="B13" s="1020" t="s">
        <v>446</v>
      </c>
      <c r="C13" s="1141">
        <v>1635.3</v>
      </c>
      <c r="D13" s="1145">
        <f t="shared" si="0"/>
        <v>0.24064843960390789</v>
      </c>
      <c r="E13" s="1142">
        <f t="shared" si="1"/>
        <v>4133824.333052652</v>
      </c>
      <c r="F13" s="1142">
        <f t="shared" si="2"/>
        <v>2527.8690962224987</v>
      </c>
      <c r="G13" s="1146">
        <f t="shared" si="3"/>
        <v>2.5278690962224988</v>
      </c>
    </row>
    <row r="14" spans="1:7">
      <c r="A14" s="1019">
        <v>6</v>
      </c>
      <c r="B14" s="1020" t="s">
        <v>447</v>
      </c>
      <c r="C14" s="1141">
        <v>86.9</v>
      </c>
      <c r="D14" s="1145">
        <f t="shared" si="0"/>
        <v>1.2788081331608633E-2</v>
      </c>
      <c r="E14" s="1142">
        <f t="shared" si="1"/>
        <v>219671.82446173514</v>
      </c>
      <c r="F14" s="1142">
        <f t="shared" si="2"/>
        <v>2527.8690962224987</v>
      </c>
      <c r="G14" s="1146">
        <f t="shared" si="3"/>
        <v>2.5278690962224988</v>
      </c>
    </row>
    <row r="15" spans="1:7">
      <c r="A15" s="1019">
        <v>7</v>
      </c>
      <c r="B15" s="1020" t="s">
        <v>640</v>
      </c>
      <c r="C15" s="1141">
        <v>59.3</v>
      </c>
      <c r="D15" s="1145">
        <f t="shared" si="0"/>
        <v>8.7265042918802278E-3</v>
      </c>
      <c r="E15" s="1142">
        <f t="shared" si="1"/>
        <v>149902.63740599417</v>
      </c>
      <c r="F15" s="1142">
        <f t="shared" si="2"/>
        <v>2527.8690962224987</v>
      </c>
      <c r="G15" s="1146">
        <f t="shared" si="3"/>
        <v>2.5278690962224988</v>
      </c>
    </row>
    <row r="16" spans="1:7">
      <c r="A16" s="1019">
        <v>8</v>
      </c>
      <c r="B16" s="1020" t="s">
        <v>448</v>
      </c>
      <c r="C16" s="1141">
        <v>867.85</v>
      </c>
      <c r="D16" s="1145">
        <f t="shared" si="0"/>
        <v>0.12771158093943097</v>
      </c>
      <c r="E16" s="1142">
        <f t="shared" si="1"/>
        <v>2193811.1951566953</v>
      </c>
      <c r="F16" s="1142">
        <f t="shared" si="2"/>
        <v>2527.8690962224982</v>
      </c>
      <c r="G16" s="1146">
        <f t="shared" si="3"/>
        <v>2.5278690962224983</v>
      </c>
    </row>
    <row r="17" spans="1:7">
      <c r="A17" s="1019">
        <v>9</v>
      </c>
      <c r="B17" s="1012" t="s">
        <v>449</v>
      </c>
      <c r="C17" s="1141">
        <v>280.5</v>
      </c>
      <c r="D17" s="1145">
        <f t="shared" si="0"/>
        <v>4.1277984045065837E-2</v>
      </c>
      <c r="E17" s="1142">
        <f t="shared" si="1"/>
        <v>709067.28149041091</v>
      </c>
      <c r="F17" s="1142">
        <f t="shared" si="2"/>
        <v>2527.8690962224987</v>
      </c>
      <c r="G17" s="1146">
        <f t="shared" si="3"/>
        <v>2.5278690962224988</v>
      </c>
    </row>
    <row r="18" spans="1:7">
      <c r="A18" s="1019">
        <v>10</v>
      </c>
      <c r="B18" s="1012" t="s">
        <v>450</v>
      </c>
      <c r="C18" s="1141">
        <v>465.39</v>
      </c>
      <c r="D18" s="1145">
        <f t="shared" si="0"/>
        <v>6.8486135453594263E-2</v>
      </c>
      <c r="E18" s="1142">
        <f t="shared" si="1"/>
        <v>1176444.9986909886</v>
      </c>
      <c r="F18" s="1142">
        <f t="shared" si="2"/>
        <v>2527.8690962224987</v>
      </c>
      <c r="G18" s="1146">
        <f t="shared" si="3"/>
        <v>2.5278690962224988</v>
      </c>
    </row>
    <row r="19" spans="1:7">
      <c r="A19" s="1019">
        <v>11</v>
      </c>
      <c r="B19" s="1012" t="s">
        <v>451</v>
      </c>
      <c r="C19" s="1141">
        <v>552.33000000000004</v>
      </c>
      <c r="D19" s="1145">
        <f t="shared" si="0"/>
        <v>8.1280103128738734E-2</v>
      </c>
      <c r="E19" s="1142">
        <f t="shared" si="1"/>
        <v>1396217.9379165727</v>
      </c>
      <c r="F19" s="1142">
        <f t="shared" si="2"/>
        <v>2527.8690962224982</v>
      </c>
      <c r="G19" s="1146">
        <f t="shared" si="3"/>
        <v>2.5278690962224983</v>
      </c>
    </row>
    <row r="20" spans="1:7">
      <c r="A20" s="1019">
        <v>12</v>
      </c>
      <c r="B20" s="1012" t="s">
        <v>452</v>
      </c>
      <c r="C20" s="1141">
        <v>397.8</v>
      </c>
      <c r="D20" s="1145">
        <f t="shared" si="0"/>
        <v>5.8539686463911556E-2</v>
      </c>
      <c r="E20" s="1142">
        <f t="shared" si="1"/>
        <v>1005586.32647731</v>
      </c>
      <c r="F20" s="1142">
        <f t="shared" si="2"/>
        <v>2527.8690962224987</v>
      </c>
      <c r="G20" s="1146">
        <f t="shared" si="3"/>
        <v>2.5278690962224988</v>
      </c>
    </row>
    <row r="21" spans="1:7">
      <c r="A21" s="1019">
        <v>13</v>
      </c>
      <c r="B21" s="1012" t="s">
        <v>641</v>
      </c>
      <c r="C21" s="1141">
        <v>685.1</v>
      </c>
      <c r="D21" s="1145">
        <f t="shared" si="0"/>
        <v>0.1008183489100699</v>
      </c>
      <c r="E21" s="1142">
        <f t="shared" si="1"/>
        <v>1731843.1178220338</v>
      </c>
      <c r="F21" s="1142">
        <f t="shared" si="2"/>
        <v>2527.8690962224987</v>
      </c>
      <c r="G21" s="1146">
        <f t="shared" si="3"/>
        <v>2.5278690962224988</v>
      </c>
    </row>
    <row r="22" spans="1:7">
      <c r="A22" s="1019">
        <v>14</v>
      </c>
      <c r="B22" s="1012" t="s">
        <v>747</v>
      </c>
      <c r="C22" s="1141">
        <v>505.8</v>
      </c>
      <c r="D22" s="1145">
        <f t="shared" si="0"/>
        <v>7.4432814010674878E-2</v>
      </c>
      <c r="E22" s="1142">
        <f t="shared" si="1"/>
        <v>1278596.1888693401</v>
      </c>
      <c r="F22" s="1142">
        <f t="shared" si="2"/>
        <v>2527.8690962224991</v>
      </c>
      <c r="G22" s="1146">
        <f t="shared" si="3"/>
        <v>2.5278690962224992</v>
      </c>
    </row>
    <row r="23" spans="1:7">
      <c r="A23" s="1019">
        <v>15</v>
      </c>
      <c r="B23" s="1012" t="s">
        <v>1207</v>
      </c>
      <c r="C23" s="1141">
        <v>191.68</v>
      </c>
      <c r="D23" s="1145">
        <f t="shared" si="0"/>
        <v>2.8207358223736972E-2</v>
      </c>
      <c r="E23" s="1142">
        <f t="shared" si="1"/>
        <v>484541.94836392859</v>
      </c>
      <c r="F23" s="1142">
        <f t="shared" si="2"/>
        <v>2527.8690962224987</v>
      </c>
      <c r="G23" s="1146">
        <f t="shared" si="3"/>
        <v>2.5278690962224988</v>
      </c>
    </row>
    <row r="24" spans="1:7">
      <c r="A24" s="1019">
        <v>16</v>
      </c>
      <c r="B24" s="1012" t="s">
        <v>748</v>
      </c>
      <c r="C24" s="1141">
        <v>0</v>
      </c>
      <c r="D24" s="1145">
        <f t="shared" si="0"/>
        <v>0</v>
      </c>
      <c r="E24" s="1142">
        <v>0</v>
      </c>
      <c r="F24" s="1142"/>
      <c r="G24" s="1146">
        <f>F24/1000</f>
        <v>0</v>
      </c>
    </row>
    <row r="25" spans="1:7">
      <c r="A25" s="1019">
        <v>17</v>
      </c>
      <c r="B25" s="810" t="s">
        <v>1145</v>
      </c>
      <c r="C25" s="1141">
        <v>14.4</v>
      </c>
      <c r="D25" s="1145">
        <f t="shared" si="0"/>
        <v>2.1190836729017759E-3</v>
      </c>
      <c r="E25" s="1142">
        <f t="shared" si="1"/>
        <v>36401.314985603989</v>
      </c>
      <c r="F25" s="1142">
        <f t="shared" si="2"/>
        <v>2527.8690962224991</v>
      </c>
      <c r="G25" s="1146">
        <f t="shared" si="3"/>
        <v>2.5278690962224992</v>
      </c>
    </row>
    <row r="26" spans="1:7">
      <c r="A26" s="1019">
        <v>18</v>
      </c>
      <c r="B26" s="1012" t="s">
        <v>453</v>
      </c>
      <c r="C26" s="1141">
        <v>300</v>
      </c>
      <c r="D26" s="1145">
        <f t="shared" si="0"/>
        <v>4.4147576518786993E-2</v>
      </c>
      <c r="E26" s="1142">
        <f t="shared" si="1"/>
        <v>758360.72886674968</v>
      </c>
      <c r="F26" s="1142">
        <f t="shared" si="2"/>
        <v>2527.8690962224991</v>
      </c>
      <c r="G26" s="1146">
        <f t="shared" si="3"/>
        <v>2.5278690962224992</v>
      </c>
    </row>
    <row r="27" spans="1:7">
      <c r="A27" s="1019">
        <v>19</v>
      </c>
      <c r="B27" s="1012"/>
      <c r="C27" s="1021"/>
      <c r="D27" s="1142"/>
      <c r="E27" s="1142"/>
      <c r="F27" s="1142"/>
      <c r="G27" s="1142"/>
    </row>
    <row r="28" spans="1:7">
      <c r="A28" s="1019">
        <v>20</v>
      </c>
      <c r="B28" s="1012" t="s">
        <v>1557</v>
      </c>
      <c r="C28" s="1021">
        <f>SUM(C9:C26)</f>
        <v>6795.3900000000012</v>
      </c>
      <c r="D28" s="1145">
        <f>SUM(D9:D26)</f>
        <v>1.0000000000000002</v>
      </c>
      <c r="E28" s="1142">
        <f>'Schedule 2'!H46</f>
        <v>17177856.377779409</v>
      </c>
      <c r="F28" s="1142"/>
      <c r="G28" s="1142"/>
    </row>
    <row r="29" spans="1:7">
      <c r="A29" s="1019"/>
      <c r="B29" s="1012"/>
      <c r="C29" s="1021"/>
      <c r="D29" s="1142"/>
      <c r="E29" s="1142"/>
      <c r="F29" s="1142"/>
      <c r="G29" s="1142"/>
    </row>
    <row r="30" spans="1:7">
      <c r="A30" s="1012"/>
      <c r="B30" s="1012" t="s">
        <v>876</v>
      </c>
      <c r="C30" s="1012"/>
      <c r="D30" s="1012"/>
      <c r="E30" s="1012"/>
      <c r="F30" s="1012"/>
      <c r="G30" s="1012"/>
    </row>
    <row r="31" spans="1:7">
      <c r="A31" s="810"/>
      <c r="B31" s="811" t="s">
        <v>1541</v>
      </c>
      <c r="C31" s="810"/>
      <c r="D31" s="810"/>
      <c r="E31" s="810"/>
      <c r="F31" s="810"/>
      <c r="G31" s="810"/>
    </row>
    <row r="32" spans="1:7">
      <c r="A32" s="810"/>
      <c r="B32" s="1038" t="s">
        <v>1558</v>
      </c>
      <c r="C32" s="810"/>
      <c r="D32" s="810"/>
      <c r="E32" s="810"/>
      <c r="F32" s="810"/>
      <c r="G32" s="810"/>
    </row>
  </sheetData>
  <printOptions horizontalCentered="1"/>
  <pageMargins left="0.75" right="0.75" top="1" bottom="1" header="0.5" footer="0.5"/>
  <pageSetup scale="76" orientation="portrait" r:id="rId1"/>
  <headerFooter alignWithMargins="0">
    <oddHeader>&amp;RPage &amp;P of &amp;N</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7"/>
  <sheetViews>
    <sheetView workbookViewId="0">
      <selection activeCell="H16" sqref="H16"/>
    </sheetView>
  </sheetViews>
  <sheetFormatPr defaultRowHeight="12.75"/>
  <cols>
    <col min="1" max="1" width="6.7109375" style="958" customWidth="1"/>
    <col min="2" max="2" width="11.7109375" style="897" customWidth="1"/>
    <col min="3" max="3" width="9.7109375" style="897" customWidth="1"/>
    <col min="4" max="4" width="12.28515625" style="897" bestFit="1" customWidth="1"/>
    <col min="5" max="5" width="10.7109375" style="897" customWidth="1"/>
    <col min="6" max="6" width="13.5703125" style="897" customWidth="1"/>
    <col min="7" max="7" width="2.7109375" style="897" customWidth="1"/>
    <col min="8" max="9" width="14.7109375" style="897" customWidth="1"/>
    <col min="10" max="10" width="18.42578125" style="897" customWidth="1"/>
    <col min="11" max="11" width="2.7109375" style="897" customWidth="1"/>
    <col min="12" max="14" width="14.7109375" style="897" customWidth="1"/>
    <col min="15" max="15" width="18.7109375" style="897" customWidth="1"/>
    <col min="16" max="16" width="20.42578125" style="897" customWidth="1"/>
    <col min="17" max="17" width="17.7109375" style="897" bestFit="1" customWidth="1"/>
    <col min="18" max="16384" width="9.140625" style="897"/>
  </cols>
  <sheetData>
    <row r="1" spans="1:18" s="890" customFormat="1">
      <c r="A1" s="98" t="str">
        <f>'Cover Page'!A5</f>
        <v>Public Service Company of Colorado</v>
      </c>
      <c r="B1" s="960"/>
      <c r="C1" s="960"/>
      <c r="D1" s="960"/>
      <c r="E1" s="960"/>
      <c r="F1" s="960"/>
      <c r="G1" s="960"/>
      <c r="H1" s="960"/>
      <c r="I1" s="960"/>
      <c r="J1" s="960"/>
      <c r="K1" s="889"/>
      <c r="Q1" s="781" t="s">
        <v>1586</v>
      </c>
    </row>
    <row r="2" spans="1:18" s="890" customFormat="1">
      <c r="A2" s="98" t="str">
        <f>'Cover Page'!A6</f>
        <v>Transmission Formula Rate Template</v>
      </c>
      <c r="B2" s="959"/>
      <c r="C2" s="959"/>
      <c r="D2" s="959"/>
      <c r="E2" s="959"/>
      <c r="F2" s="959"/>
      <c r="G2" s="959"/>
      <c r="H2" s="959"/>
      <c r="I2" s="959"/>
      <c r="J2" s="959"/>
      <c r="K2" s="959"/>
      <c r="Q2" s="781" t="str">
        <f ca="1">MID(CELL("filename",$A$1),FIND("]",CELL("filename",$A$1))+1,LEN(CELL("filename",$A$1))-FIND("]",CELL("filename",$A$1)))</f>
        <v>WP_ADIT Prorate</v>
      </c>
    </row>
    <row r="3" spans="1:18" s="890" customFormat="1">
      <c r="A3" s="798" t="s">
        <v>1699</v>
      </c>
      <c r="B3" s="959"/>
      <c r="C3" s="959"/>
      <c r="D3" s="959"/>
      <c r="E3" s="959"/>
      <c r="F3" s="959"/>
      <c r="G3" s="959"/>
      <c r="H3" s="959"/>
      <c r="I3" s="959"/>
      <c r="J3" s="959"/>
      <c r="K3" s="959"/>
    </row>
    <row r="4" spans="1:18" s="890" customFormat="1">
      <c r="B4" s="888"/>
      <c r="C4" s="888"/>
      <c r="D4" s="888"/>
      <c r="E4" s="888"/>
      <c r="F4" s="888"/>
      <c r="G4" s="888"/>
      <c r="H4" s="888"/>
      <c r="I4" s="888"/>
      <c r="J4" s="888"/>
      <c r="K4" s="888"/>
    </row>
    <row r="5" spans="1:18" s="890" customFormat="1">
      <c r="A5" s="798"/>
      <c r="B5" s="888"/>
      <c r="C5" s="888"/>
      <c r="D5" s="888"/>
      <c r="E5" s="888"/>
      <c r="F5" s="888"/>
      <c r="G5" s="888"/>
      <c r="H5" s="888"/>
      <c r="I5" s="888"/>
      <c r="J5" s="888"/>
      <c r="K5" s="888"/>
    </row>
    <row r="6" spans="1:18" s="890" customFormat="1">
      <c r="A6" s="891"/>
      <c r="B6" s="892" t="s">
        <v>1659</v>
      </c>
      <c r="C6" s="893">
        <v>2018</v>
      </c>
      <c r="D6" s="893"/>
      <c r="E6" s="891"/>
      <c r="F6" s="891"/>
      <c r="G6" s="891"/>
      <c r="H6" s="891"/>
      <c r="I6" s="891"/>
      <c r="J6" s="891"/>
      <c r="K6" s="891"/>
      <c r="L6" s="894"/>
      <c r="M6" s="894"/>
      <c r="N6" s="894"/>
      <c r="O6" s="894"/>
      <c r="P6" s="894"/>
      <c r="Q6" s="894"/>
    </row>
    <row r="7" spans="1:18">
      <c r="A7" s="895"/>
      <c r="B7" s="896"/>
      <c r="C7" s="896"/>
      <c r="D7" s="896"/>
      <c r="E7" s="896"/>
      <c r="F7" s="896"/>
      <c r="G7" s="896"/>
      <c r="H7" s="896"/>
      <c r="I7" s="896"/>
      <c r="J7" s="896"/>
      <c r="K7" s="896"/>
      <c r="L7" s="896"/>
      <c r="M7" s="896"/>
      <c r="N7" s="896"/>
      <c r="O7" s="896"/>
      <c r="P7" s="896"/>
      <c r="Q7" s="896"/>
    </row>
    <row r="8" spans="1:18">
      <c r="A8" s="898"/>
      <c r="B8" s="899"/>
      <c r="C8" s="900"/>
      <c r="D8" s="900"/>
      <c r="E8" s="900"/>
      <c r="F8" s="900"/>
      <c r="G8" s="900"/>
      <c r="H8" s="900"/>
      <c r="I8" s="900"/>
      <c r="J8" s="900"/>
      <c r="K8" s="896"/>
      <c r="L8" s="896"/>
      <c r="M8" s="896"/>
      <c r="N8" s="896"/>
      <c r="O8" s="896"/>
      <c r="P8" s="896"/>
      <c r="Q8" s="896"/>
    </row>
    <row r="9" spans="1:18" ht="12.75" customHeight="1">
      <c r="A9" s="895">
        <v>1</v>
      </c>
      <c r="B9" s="1252" t="s">
        <v>1660</v>
      </c>
      <c r="C9" s="1252"/>
      <c r="D9" s="1252"/>
      <c r="E9" s="1252"/>
      <c r="F9" s="896"/>
      <c r="G9" s="896"/>
      <c r="H9" s="900"/>
      <c r="I9" s="900"/>
      <c r="J9" s="900"/>
      <c r="K9" s="896"/>
      <c r="L9" s="896"/>
      <c r="M9" s="896"/>
      <c r="N9" s="896"/>
      <c r="O9" s="896"/>
      <c r="P9" s="896"/>
      <c r="Q9" s="896"/>
      <c r="R9" s="901"/>
    </row>
    <row r="10" spans="1:18">
      <c r="A10" s="895">
        <f>+A9+1</f>
        <v>2</v>
      </c>
      <c r="B10" s="1253" t="s">
        <v>1305</v>
      </c>
      <c r="C10" s="1253"/>
      <c r="D10" s="1253"/>
      <c r="E10" s="1253"/>
      <c r="F10" s="896"/>
      <c r="G10" s="896"/>
      <c r="H10" s="900"/>
      <c r="I10" s="900"/>
      <c r="J10" s="900"/>
      <c r="K10" s="896"/>
      <c r="L10" s="896"/>
      <c r="M10" s="896"/>
      <c r="N10" s="896"/>
      <c r="O10" s="896"/>
      <c r="P10" s="896"/>
      <c r="Q10" s="896"/>
      <c r="R10" s="901"/>
    </row>
    <row r="11" spans="1:18">
      <c r="A11" s="895">
        <f t="shared" ref="A11:A74" si="0">+A10+1</f>
        <v>3</v>
      </c>
      <c r="B11" s="1254" t="s">
        <v>1661</v>
      </c>
      <c r="C11" s="1255"/>
      <c r="D11" s="1255"/>
      <c r="E11" s="1255"/>
      <c r="F11" s="1256"/>
      <c r="G11" s="902"/>
      <c r="H11" s="1257" t="s">
        <v>1662</v>
      </c>
      <c r="I11" s="1258"/>
      <c r="J11" s="1259"/>
      <c r="K11" s="896"/>
      <c r="L11" s="1257" t="s">
        <v>1663</v>
      </c>
      <c r="M11" s="1258"/>
      <c r="N11" s="1258"/>
      <c r="O11" s="1258"/>
      <c r="P11" s="1258"/>
      <c r="Q11" s="1258"/>
    </row>
    <row r="12" spans="1:18">
      <c r="A12" s="895">
        <f t="shared" si="0"/>
        <v>4</v>
      </c>
      <c r="B12" s="903" t="s">
        <v>830</v>
      </c>
      <c r="C12" s="903" t="s">
        <v>831</v>
      </c>
      <c r="D12" s="903" t="s">
        <v>832</v>
      </c>
      <c r="E12" s="903" t="s">
        <v>833</v>
      </c>
      <c r="F12" s="903" t="s">
        <v>834</v>
      </c>
      <c r="G12" s="902"/>
      <c r="H12" s="903" t="s">
        <v>835</v>
      </c>
      <c r="I12" s="903" t="s">
        <v>836</v>
      </c>
      <c r="J12" s="903" t="s">
        <v>837</v>
      </c>
      <c r="K12" s="896"/>
      <c r="L12" s="903" t="s">
        <v>838</v>
      </c>
      <c r="M12" s="903" t="s">
        <v>839</v>
      </c>
      <c r="N12" s="903" t="s">
        <v>840</v>
      </c>
      <c r="O12" s="904" t="s">
        <v>841</v>
      </c>
      <c r="P12" s="904" t="s">
        <v>843</v>
      </c>
      <c r="Q12" s="903" t="s">
        <v>842</v>
      </c>
    </row>
    <row r="13" spans="1:18" ht="45">
      <c r="A13" s="895">
        <f t="shared" si="0"/>
        <v>5</v>
      </c>
      <c r="B13" s="905" t="s">
        <v>1352</v>
      </c>
      <c r="C13" s="905" t="s">
        <v>1587</v>
      </c>
      <c r="D13" s="905" t="s">
        <v>1664</v>
      </c>
      <c r="E13" s="905" t="s">
        <v>1665</v>
      </c>
      <c r="F13" s="905" t="s">
        <v>1666</v>
      </c>
      <c r="G13" s="906"/>
      <c r="H13" s="905" t="s">
        <v>1667</v>
      </c>
      <c r="I13" s="905" t="s">
        <v>1668</v>
      </c>
      <c r="J13" s="905" t="s">
        <v>1669</v>
      </c>
      <c r="K13" s="896"/>
      <c r="L13" s="905" t="s">
        <v>1670</v>
      </c>
      <c r="M13" s="905" t="s">
        <v>1671</v>
      </c>
      <c r="N13" s="907" t="s">
        <v>1672</v>
      </c>
      <c r="O13" s="907" t="s">
        <v>1673</v>
      </c>
      <c r="P13" s="907" t="s">
        <v>1674</v>
      </c>
      <c r="Q13" s="907" t="s">
        <v>1675</v>
      </c>
    </row>
    <row r="14" spans="1:18">
      <c r="A14" s="895">
        <f t="shared" si="0"/>
        <v>6</v>
      </c>
      <c r="B14" s="896"/>
      <c r="C14" s="906"/>
      <c r="D14" s="906"/>
      <c r="E14" s="906"/>
      <c r="F14" s="906"/>
      <c r="G14" s="906"/>
      <c r="H14" s="906"/>
      <c r="I14" s="906"/>
      <c r="J14" s="906"/>
      <c r="K14" s="896"/>
      <c r="L14" s="896"/>
      <c r="M14" s="896"/>
      <c r="N14" s="896"/>
      <c r="O14" s="908"/>
      <c r="P14" s="908"/>
      <c r="Q14" s="896"/>
    </row>
    <row r="15" spans="1:18">
      <c r="A15" s="895">
        <f t="shared" si="0"/>
        <v>7</v>
      </c>
      <c r="B15" s="1260" t="s">
        <v>1676</v>
      </c>
      <c r="C15" s="1260"/>
      <c r="D15" s="1260"/>
      <c r="E15" s="1260"/>
      <c r="F15" s="909"/>
      <c r="G15" s="909"/>
      <c r="H15" s="910"/>
      <c r="I15" s="910"/>
      <c r="J15" s="910">
        <f>SUM('WP_B-3'!C26,'WP_B-3'!C29)</f>
        <v>44638918.965299062</v>
      </c>
      <c r="K15" s="912"/>
      <c r="L15" s="910"/>
      <c r="M15" s="913"/>
      <c r="N15" s="913"/>
      <c r="O15" s="913"/>
      <c r="P15" s="913"/>
      <c r="Q15" s="911">
        <f>SUM('WP_B-3'!C126,'WP_B-3'!C129)</f>
        <v>0</v>
      </c>
    </row>
    <row r="16" spans="1:18">
      <c r="A16" s="895">
        <f t="shared" si="0"/>
        <v>8</v>
      </c>
      <c r="B16" s="914" t="s">
        <v>956</v>
      </c>
      <c r="C16" s="910">
        <v>31</v>
      </c>
      <c r="D16" s="915">
        <f t="shared" ref="D16:D24" si="1">D17+C17</f>
        <v>335</v>
      </c>
      <c r="E16" s="915">
        <f>SUM(C16:C27)</f>
        <v>365</v>
      </c>
      <c r="F16" s="916">
        <f>D16/E16</f>
        <v>0.9178082191780822</v>
      </c>
      <c r="G16" s="909"/>
      <c r="H16" s="917">
        <f>(SUM('WP_B-3'!D26,'WP_B-3'!D29)-SUM('WP_B-3'!C26,'WP_B-3'!C29))/12</f>
        <v>286963.78915739059</v>
      </c>
      <c r="I16" s="910">
        <f>+H16*F16</f>
        <v>263377.72429513931</v>
      </c>
      <c r="J16" s="910">
        <f>+I16+J15</f>
        <v>44902296.689594202</v>
      </c>
      <c r="K16" s="896"/>
      <c r="L16" s="917">
        <f>(SUM('WP_B-3'!D126,'WP_B-3'!D129)-SUM('WP_B-3'!C126,'WP_B-3'!C129))/12</f>
        <v>0</v>
      </c>
      <c r="M16" s="913">
        <f>L16-H16</f>
        <v>-286963.78915739059</v>
      </c>
      <c r="N16" s="913">
        <f>IF(M16&gt;=0,+M16,0)</f>
        <v>0</v>
      </c>
      <c r="O16" s="913">
        <f>IF(N16&gt;0,0,IF(L16&lt;0,0,(-(M16)*(D16/E16))))</f>
        <v>263377.72429513931</v>
      </c>
      <c r="P16" s="913">
        <f>IF(N16&gt;0,0,IF(L16&gt;0,0,(-(M16)*(D16/E16))))</f>
        <v>263377.72429513931</v>
      </c>
      <c r="Q16" s="913">
        <f>IF(L16&lt;0,Q15+P16,Q15+I16+N16-O16)</f>
        <v>0</v>
      </c>
    </row>
    <row r="17" spans="1:17">
      <c r="A17" s="895">
        <f t="shared" si="0"/>
        <v>9</v>
      </c>
      <c r="B17" s="914" t="s">
        <v>904</v>
      </c>
      <c r="C17" s="917">
        <v>28</v>
      </c>
      <c r="D17" s="915">
        <f t="shared" si="1"/>
        <v>307</v>
      </c>
      <c r="E17" s="915">
        <f>E16</f>
        <v>365</v>
      </c>
      <c r="F17" s="916">
        <f t="shared" ref="F17:F27" si="2">D17/E17</f>
        <v>0.84109589041095889</v>
      </c>
      <c r="G17" s="909"/>
      <c r="H17" s="917">
        <f>$H$16</f>
        <v>286963.78915739059</v>
      </c>
      <c r="I17" s="910">
        <f t="shared" ref="I17:I27" si="3">+H17*F17</f>
        <v>241364.06375703812</v>
      </c>
      <c r="J17" s="910">
        <f t="shared" ref="J17:J27" si="4">+I17+J16</f>
        <v>45143660.753351241</v>
      </c>
      <c r="K17" s="896"/>
      <c r="L17" s="917">
        <f>$L$16</f>
        <v>0</v>
      </c>
      <c r="M17" s="913">
        <f t="shared" ref="M17:M27" si="5">L17-H17</f>
        <v>-286963.78915739059</v>
      </c>
      <c r="N17" s="913">
        <f t="shared" ref="N17:N27" si="6">IF(M17&gt;=0,+M17,0)</f>
        <v>0</v>
      </c>
      <c r="O17" s="913">
        <f t="shared" ref="O17:O27" si="7">IF(N17&gt;0,0,IF(L17&lt;0,0,(-(M17)*(D17/E17))))</f>
        <v>241364.06375703812</v>
      </c>
      <c r="P17" s="913">
        <f t="shared" ref="P17:P27" si="8">IF(N17&gt;0,0,IF(L17&gt;0,0,(-(M17)*(D17/E17))))</f>
        <v>241364.06375703812</v>
      </c>
      <c r="Q17" s="913">
        <f t="shared" ref="Q17:Q27" si="9">IF(L17&lt;0,Q16+P17,Q16+I17+N17-O17)</f>
        <v>0</v>
      </c>
    </row>
    <row r="18" spans="1:17">
      <c r="A18" s="895">
        <f t="shared" si="0"/>
        <v>10</v>
      </c>
      <c r="B18" s="914" t="s">
        <v>905</v>
      </c>
      <c r="C18" s="910">
        <v>31</v>
      </c>
      <c r="D18" s="915">
        <f t="shared" si="1"/>
        <v>276</v>
      </c>
      <c r="E18" s="915">
        <f t="shared" ref="E18:E27" si="10">E17</f>
        <v>365</v>
      </c>
      <c r="F18" s="916">
        <f t="shared" si="2"/>
        <v>0.75616438356164384</v>
      </c>
      <c r="G18" s="909"/>
      <c r="H18" s="917">
        <f t="shared" ref="H18:H27" si="11">$H$16</f>
        <v>286963.78915739059</v>
      </c>
      <c r="I18" s="910">
        <f t="shared" si="3"/>
        <v>216991.79673271178</v>
      </c>
      <c r="J18" s="910">
        <f t="shared" si="4"/>
        <v>45360652.55008395</v>
      </c>
      <c r="K18" s="896"/>
      <c r="L18" s="917">
        <f t="shared" ref="L18:L27" si="12">$L$16</f>
        <v>0</v>
      </c>
      <c r="M18" s="913">
        <f t="shared" si="5"/>
        <v>-286963.78915739059</v>
      </c>
      <c r="N18" s="913">
        <f t="shared" si="6"/>
        <v>0</v>
      </c>
      <c r="O18" s="913">
        <f t="shared" si="7"/>
        <v>216991.79673271178</v>
      </c>
      <c r="P18" s="913">
        <f t="shared" si="8"/>
        <v>216991.79673271178</v>
      </c>
      <c r="Q18" s="913">
        <f t="shared" si="9"/>
        <v>0</v>
      </c>
    </row>
    <row r="19" spans="1:17">
      <c r="A19" s="895">
        <f t="shared" si="0"/>
        <v>11</v>
      </c>
      <c r="B19" s="914" t="s">
        <v>906</v>
      </c>
      <c r="C19" s="910">
        <v>30</v>
      </c>
      <c r="D19" s="915">
        <f t="shared" si="1"/>
        <v>246</v>
      </c>
      <c r="E19" s="915">
        <f t="shared" si="10"/>
        <v>365</v>
      </c>
      <c r="F19" s="916">
        <f t="shared" si="2"/>
        <v>0.67397260273972603</v>
      </c>
      <c r="G19" s="909"/>
      <c r="H19" s="917">
        <f t="shared" si="11"/>
        <v>286963.78915739059</v>
      </c>
      <c r="I19" s="910">
        <f t="shared" si="3"/>
        <v>193405.7318704605</v>
      </c>
      <c r="J19" s="910">
        <f t="shared" si="4"/>
        <v>45554058.281954408</v>
      </c>
      <c r="K19" s="896"/>
      <c r="L19" s="917">
        <f t="shared" si="12"/>
        <v>0</v>
      </c>
      <c r="M19" s="913">
        <f t="shared" si="5"/>
        <v>-286963.78915739059</v>
      </c>
      <c r="N19" s="913">
        <f t="shared" si="6"/>
        <v>0</v>
      </c>
      <c r="O19" s="913">
        <f t="shared" si="7"/>
        <v>193405.7318704605</v>
      </c>
      <c r="P19" s="913">
        <f t="shared" si="8"/>
        <v>193405.7318704605</v>
      </c>
      <c r="Q19" s="913">
        <f t="shared" si="9"/>
        <v>0</v>
      </c>
    </row>
    <row r="20" spans="1:17">
      <c r="A20" s="895">
        <f t="shared" si="0"/>
        <v>12</v>
      </c>
      <c r="B20" s="914" t="s">
        <v>907</v>
      </c>
      <c r="C20" s="910">
        <v>31</v>
      </c>
      <c r="D20" s="915">
        <f t="shared" si="1"/>
        <v>215</v>
      </c>
      <c r="E20" s="915">
        <f t="shared" si="10"/>
        <v>365</v>
      </c>
      <c r="F20" s="916">
        <f t="shared" si="2"/>
        <v>0.58904109589041098</v>
      </c>
      <c r="G20" s="909"/>
      <c r="H20" s="917">
        <f t="shared" si="11"/>
        <v>286963.78915739059</v>
      </c>
      <c r="I20" s="910">
        <f t="shared" si="3"/>
        <v>169033.46484613419</v>
      </c>
      <c r="J20" s="910">
        <f t="shared" si="4"/>
        <v>45723091.746800542</v>
      </c>
      <c r="K20" s="896"/>
      <c r="L20" s="917">
        <f t="shared" si="12"/>
        <v>0</v>
      </c>
      <c r="M20" s="913">
        <f t="shared" si="5"/>
        <v>-286963.78915739059</v>
      </c>
      <c r="N20" s="913">
        <f t="shared" si="6"/>
        <v>0</v>
      </c>
      <c r="O20" s="913">
        <f t="shared" si="7"/>
        <v>169033.46484613419</v>
      </c>
      <c r="P20" s="913">
        <f t="shared" si="8"/>
        <v>169033.46484613419</v>
      </c>
      <c r="Q20" s="913">
        <f t="shared" si="9"/>
        <v>0</v>
      </c>
    </row>
    <row r="21" spans="1:17">
      <c r="A21" s="895">
        <f t="shared" si="0"/>
        <v>13</v>
      </c>
      <c r="B21" s="914" t="s">
        <v>908</v>
      </c>
      <c r="C21" s="910">
        <v>30</v>
      </c>
      <c r="D21" s="915">
        <f t="shared" si="1"/>
        <v>185</v>
      </c>
      <c r="E21" s="915">
        <f t="shared" si="10"/>
        <v>365</v>
      </c>
      <c r="F21" s="916">
        <f t="shared" si="2"/>
        <v>0.50684931506849318</v>
      </c>
      <c r="G21" s="909"/>
      <c r="H21" s="917">
        <f t="shared" si="11"/>
        <v>286963.78915739059</v>
      </c>
      <c r="I21" s="910">
        <f t="shared" si="3"/>
        <v>145447.3999838829</v>
      </c>
      <c r="J21" s="910">
        <f t="shared" si="4"/>
        <v>45868539.146784425</v>
      </c>
      <c r="K21" s="896"/>
      <c r="L21" s="917">
        <f t="shared" si="12"/>
        <v>0</v>
      </c>
      <c r="M21" s="913">
        <f t="shared" si="5"/>
        <v>-286963.78915739059</v>
      </c>
      <c r="N21" s="913">
        <f t="shared" si="6"/>
        <v>0</v>
      </c>
      <c r="O21" s="913">
        <f t="shared" si="7"/>
        <v>145447.3999838829</v>
      </c>
      <c r="P21" s="913">
        <f t="shared" si="8"/>
        <v>145447.3999838829</v>
      </c>
      <c r="Q21" s="913">
        <f t="shared" si="9"/>
        <v>0</v>
      </c>
    </row>
    <row r="22" spans="1:17">
      <c r="A22" s="895">
        <f t="shared" si="0"/>
        <v>14</v>
      </c>
      <c r="B22" s="914" t="s">
        <v>909</v>
      </c>
      <c r="C22" s="910">
        <v>31</v>
      </c>
      <c r="D22" s="915">
        <f t="shared" si="1"/>
        <v>154</v>
      </c>
      <c r="E22" s="915">
        <f t="shared" si="10"/>
        <v>365</v>
      </c>
      <c r="F22" s="916">
        <f t="shared" si="2"/>
        <v>0.42191780821917807</v>
      </c>
      <c r="G22" s="909"/>
      <c r="H22" s="917">
        <f t="shared" si="11"/>
        <v>286963.78915739059</v>
      </c>
      <c r="I22" s="910">
        <f t="shared" si="3"/>
        <v>121075.13295955658</v>
      </c>
      <c r="J22" s="910">
        <f t="shared" si="4"/>
        <v>45989614.279743984</v>
      </c>
      <c r="K22" s="896"/>
      <c r="L22" s="917">
        <f t="shared" si="12"/>
        <v>0</v>
      </c>
      <c r="M22" s="913">
        <f t="shared" si="5"/>
        <v>-286963.78915739059</v>
      </c>
      <c r="N22" s="913">
        <f t="shared" si="6"/>
        <v>0</v>
      </c>
      <c r="O22" s="913">
        <f t="shared" si="7"/>
        <v>121075.13295955658</v>
      </c>
      <c r="P22" s="913">
        <f t="shared" si="8"/>
        <v>121075.13295955658</v>
      </c>
      <c r="Q22" s="913">
        <f t="shared" si="9"/>
        <v>0</v>
      </c>
    </row>
    <row r="23" spans="1:17">
      <c r="A23" s="895">
        <f t="shared" si="0"/>
        <v>15</v>
      </c>
      <c r="B23" s="914" t="s">
        <v>910</v>
      </c>
      <c r="C23" s="910">
        <v>31</v>
      </c>
      <c r="D23" s="915">
        <f t="shared" si="1"/>
        <v>123</v>
      </c>
      <c r="E23" s="915">
        <f t="shared" si="10"/>
        <v>365</v>
      </c>
      <c r="F23" s="916">
        <f t="shared" si="2"/>
        <v>0.33698630136986302</v>
      </c>
      <c r="G23" s="909"/>
      <c r="H23" s="917">
        <f t="shared" si="11"/>
        <v>286963.78915739059</v>
      </c>
      <c r="I23" s="910">
        <f t="shared" si="3"/>
        <v>96702.865935230249</v>
      </c>
      <c r="J23" s="910">
        <f t="shared" si="4"/>
        <v>46086317.145679213</v>
      </c>
      <c r="K23" s="896"/>
      <c r="L23" s="917">
        <f t="shared" si="12"/>
        <v>0</v>
      </c>
      <c r="M23" s="913">
        <f t="shared" si="5"/>
        <v>-286963.78915739059</v>
      </c>
      <c r="N23" s="913">
        <f t="shared" si="6"/>
        <v>0</v>
      </c>
      <c r="O23" s="913">
        <f t="shared" si="7"/>
        <v>96702.865935230249</v>
      </c>
      <c r="P23" s="913">
        <f t="shared" si="8"/>
        <v>96702.865935230249</v>
      </c>
      <c r="Q23" s="913">
        <f t="shared" si="9"/>
        <v>0</v>
      </c>
    </row>
    <row r="24" spans="1:17">
      <c r="A24" s="895">
        <f t="shared" si="0"/>
        <v>16</v>
      </c>
      <c r="B24" s="914" t="s">
        <v>911</v>
      </c>
      <c r="C24" s="910">
        <v>30</v>
      </c>
      <c r="D24" s="915">
        <f t="shared" si="1"/>
        <v>93</v>
      </c>
      <c r="E24" s="915">
        <f t="shared" si="10"/>
        <v>365</v>
      </c>
      <c r="F24" s="916">
        <f t="shared" si="2"/>
        <v>0.25479452054794521</v>
      </c>
      <c r="G24" s="909"/>
      <c r="H24" s="917">
        <f t="shared" si="11"/>
        <v>286963.78915739059</v>
      </c>
      <c r="I24" s="910">
        <f t="shared" si="3"/>
        <v>73116.801072978982</v>
      </c>
      <c r="J24" s="910">
        <f t="shared" si="4"/>
        <v>46159433.946752191</v>
      </c>
      <c r="K24" s="896"/>
      <c r="L24" s="917">
        <f t="shared" si="12"/>
        <v>0</v>
      </c>
      <c r="M24" s="913">
        <f t="shared" si="5"/>
        <v>-286963.78915739059</v>
      </c>
      <c r="N24" s="913">
        <f t="shared" si="6"/>
        <v>0</v>
      </c>
      <c r="O24" s="913">
        <f t="shared" si="7"/>
        <v>73116.801072978982</v>
      </c>
      <c r="P24" s="913">
        <f t="shared" si="8"/>
        <v>73116.801072978982</v>
      </c>
      <c r="Q24" s="913">
        <f t="shared" si="9"/>
        <v>0</v>
      </c>
    </row>
    <row r="25" spans="1:17">
      <c r="A25" s="895">
        <f t="shared" si="0"/>
        <v>17</v>
      </c>
      <c r="B25" s="914" t="s">
        <v>912</v>
      </c>
      <c r="C25" s="910">
        <v>31</v>
      </c>
      <c r="D25" s="915">
        <f>D26+C26</f>
        <v>62</v>
      </c>
      <c r="E25" s="915">
        <f t="shared" si="10"/>
        <v>365</v>
      </c>
      <c r="F25" s="916">
        <f t="shared" si="2"/>
        <v>0.16986301369863013</v>
      </c>
      <c r="G25" s="909"/>
      <c r="H25" s="917">
        <f t="shared" si="11"/>
        <v>286963.78915739059</v>
      </c>
      <c r="I25" s="910">
        <f t="shared" si="3"/>
        <v>48744.534048652647</v>
      </c>
      <c r="J25" s="910">
        <f t="shared" si="4"/>
        <v>46208178.480800845</v>
      </c>
      <c r="K25" s="896"/>
      <c r="L25" s="917">
        <f t="shared" si="12"/>
        <v>0</v>
      </c>
      <c r="M25" s="913">
        <f t="shared" si="5"/>
        <v>-286963.78915739059</v>
      </c>
      <c r="N25" s="913">
        <f t="shared" si="6"/>
        <v>0</v>
      </c>
      <c r="O25" s="913">
        <f t="shared" si="7"/>
        <v>48744.534048652647</v>
      </c>
      <c r="P25" s="913">
        <f t="shared" si="8"/>
        <v>48744.534048652647</v>
      </c>
      <c r="Q25" s="913">
        <f t="shared" si="9"/>
        <v>0</v>
      </c>
    </row>
    <row r="26" spans="1:17">
      <c r="A26" s="895">
        <f t="shared" si="0"/>
        <v>18</v>
      </c>
      <c r="B26" s="914" t="s">
        <v>913</v>
      </c>
      <c r="C26" s="910">
        <v>30</v>
      </c>
      <c r="D26" s="915">
        <f>D27+C27</f>
        <v>32</v>
      </c>
      <c r="E26" s="915">
        <f t="shared" si="10"/>
        <v>365</v>
      </c>
      <c r="F26" s="916">
        <f t="shared" si="2"/>
        <v>8.7671232876712329E-2</v>
      </c>
      <c r="G26" s="909"/>
      <c r="H26" s="917">
        <f t="shared" si="11"/>
        <v>286963.78915739059</v>
      </c>
      <c r="I26" s="910">
        <f t="shared" si="3"/>
        <v>25158.469186401366</v>
      </c>
      <c r="J26" s="910">
        <f t="shared" si="4"/>
        <v>46233336.949987248</v>
      </c>
      <c r="K26" s="896"/>
      <c r="L26" s="917">
        <f t="shared" si="12"/>
        <v>0</v>
      </c>
      <c r="M26" s="913">
        <f t="shared" si="5"/>
        <v>-286963.78915739059</v>
      </c>
      <c r="N26" s="913">
        <f t="shared" si="6"/>
        <v>0</v>
      </c>
      <c r="O26" s="913">
        <f t="shared" si="7"/>
        <v>25158.469186401366</v>
      </c>
      <c r="P26" s="913">
        <f t="shared" si="8"/>
        <v>25158.469186401366</v>
      </c>
      <c r="Q26" s="913">
        <f t="shared" si="9"/>
        <v>0</v>
      </c>
    </row>
    <row r="27" spans="1:17">
      <c r="A27" s="895">
        <f t="shared" si="0"/>
        <v>19</v>
      </c>
      <c r="B27" s="914" t="s">
        <v>914</v>
      </c>
      <c r="C27" s="910">
        <v>31</v>
      </c>
      <c r="D27" s="915">
        <v>1</v>
      </c>
      <c r="E27" s="915">
        <f t="shared" si="10"/>
        <v>365</v>
      </c>
      <c r="F27" s="916">
        <f t="shared" si="2"/>
        <v>2.7397260273972603E-3</v>
      </c>
      <c r="G27" s="909"/>
      <c r="H27" s="917">
        <f t="shared" si="11"/>
        <v>286963.78915739059</v>
      </c>
      <c r="I27" s="910">
        <f t="shared" si="3"/>
        <v>786.20216207504268</v>
      </c>
      <c r="J27" s="910">
        <f t="shared" si="4"/>
        <v>46234123.15214932</v>
      </c>
      <c r="K27" s="896"/>
      <c r="L27" s="917">
        <f t="shared" si="12"/>
        <v>0</v>
      </c>
      <c r="M27" s="913">
        <f t="shared" si="5"/>
        <v>-286963.78915739059</v>
      </c>
      <c r="N27" s="913">
        <f t="shared" si="6"/>
        <v>0</v>
      </c>
      <c r="O27" s="913">
        <f t="shared" si="7"/>
        <v>786.20216207504268</v>
      </c>
      <c r="P27" s="913">
        <f t="shared" si="8"/>
        <v>786.20216207504268</v>
      </c>
      <c r="Q27" s="913">
        <f t="shared" si="9"/>
        <v>0</v>
      </c>
    </row>
    <row r="28" spans="1:17">
      <c r="A28" s="895">
        <f t="shared" si="0"/>
        <v>20</v>
      </c>
      <c r="B28" s="918"/>
      <c r="C28" s="918" t="s">
        <v>795</v>
      </c>
      <c r="D28" s="919">
        <f>+SUM(D16:D27)</f>
        <v>2029</v>
      </c>
      <c r="E28" s="919">
        <f>+SUM(E16:E27)</f>
        <v>4380</v>
      </c>
      <c r="F28" s="920"/>
      <c r="G28" s="909"/>
      <c r="H28" s="921">
        <f>SUM(H16:H27)</f>
        <v>3443565.4698886871</v>
      </c>
      <c r="I28" s="921">
        <f>SUM(I16:I27)</f>
        <v>1595204.1868502616</v>
      </c>
      <c r="J28" s="920"/>
      <c r="K28" s="896"/>
      <c r="L28" s="922">
        <f>SUM(L16:L27)</f>
        <v>0</v>
      </c>
      <c r="M28" s="922">
        <f>SUM(M16:M27)</f>
        <v>-3443565.4698886871</v>
      </c>
      <c r="N28" s="922">
        <f>SUM(N16:N27)</f>
        <v>0</v>
      </c>
      <c r="O28" s="923">
        <f>SUM(O16:O27)</f>
        <v>1595204.1868502616</v>
      </c>
      <c r="P28" s="923">
        <f>SUM(P16:P27)</f>
        <v>1595204.1868502616</v>
      </c>
      <c r="Q28" s="922"/>
    </row>
    <row r="29" spans="1:17">
      <c r="A29" s="895">
        <f t="shared" si="0"/>
        <v>21</v>
      </c>
      <c r="B29" s="924"/>
      <c r="C29" s="924"/>
      <c r="D29" s="925"/>
      <c r="E29" s="925"/>
      <c r="F29" s="926"/>
      <c r="G29" s="909"/>
      <c r="H29" s="910"/>
      <c r="I29" s="910"/>
      <c r="J29" s="927"/>
      <c r="K29" s="896"/>
      <c r="L29" s="928"/>
      <c r="M29" s="928"/>
      <c r="N29" s="928"/>
      <c r="O29" s="928"/>
      <c r="P29" s="928"/>
      <c r="Q29" s="928"/>
    </row>
    <row r="30" spans="1:17">
      <c r="A30" s="895">
        <f t="shared" si="0"/>
        <v>22</v>
      </c>
      <c r="B30" s="896" t="s">
        <v>1677</v>
      </c>
      <c r="C30" s="924"/>
      <c r="D30" s="925"/>
      <c r="E30" s="929">
        <f>1-(D28/E28)</f>
        <v>0.53675799086757991</v>
      </c>
      <c r="F30" s="926"/>
      <c r="G30" s="909"/>
      <c r="H30" s="910"/>
      <c r="I30" s="910"/>
      <c r="J30" s="926"/>
      <c r="K30" s="896"/>
      <c r="L30" s="928"/>
      <c r="M30" s="928"/>
      <c r="N30" s="928"/>
      <c r="O30" s="928"/>
      <c r="P30" s="928"/>
      <c r="Q30" s="928"/>
    </row>
    <row r="31" spans="1:17">
      <c r="A31" s="895">
        <f t="shared" si="0"/>
        <v>23</v>
      </c>
      <c r="B31" s="924"/>
      <c r="C31" s="924"/>
      <c r="D31" s="925"/>
      <c r="E31" s="929"/>
      <c r="F31" s="926"/>
      <c r="G31" s="909"/>
      <c r="H31" s="910"/>
      <c r="I31" s="910"/>
      <c r="J31" s="926"/>
      <c r="K31" s="896"/>
      <c r="L31" s="928"/>
      <c r="M31" s="928"/>
      <c r="N31" s="928"/>
      <c r="O31" s="928"/>
      <c r="P31" s="928"/>
      <c r="Q31" s="928"/>
    </row>
    <row r="32" spans="1:17">
      <c r="A32" s="895">
        <f t="shared" si="0"/>
        <v>24</v>
      </c>
      <c r="B32" s="930"/>
      <c r="C32" s="924"/>
      <c r="D32" s="896"/>
      <c r="E32" s="924"/>
      <c r="F32" s="896"/>
      <c r="G32" s="926"/>
      <c r="H32" s="931"/>
      <c r="I32" s="932"/>
      <c r="J32" s="925"/>
      <c r="K32" s="896"/>
      <c r="L32" s="896"/>
      <c r="M32" s="896"/>
      <c r="N32" s="896"/>
      <c r="O32" s="896"/>
      <c r="P32" s="896"/>
      <c r="Q32" s="925"/>
    </row>
    <row r="33" spans="1:18" customFormat="1">
      <c r="A33" s="895">
        <f t="shared" si="0"/>
        <v>25</v>
      </c>
      <c r="B33" s="933" t="s">
        <v>1678</v>
      </c>
      <c r="C33" s="933"/>
      <c r="D33" s="933"/>
      <c r="E33" s="933"/>
      <c r="F33" s="934" t="str">
        <f>"(Line "&amp;A15&amp;", Col H)"</f>
        <v>(Line 7, Col H)</v>
      </c>
      <c r="G33" s="935"/>
      <c r="H33" s="933"/>
      <c r="I33" s="935"/>
      <c r="J33" s="913">
        <f>J15</f>
        <v>44638918.965299062</v>
      </c>
      <c r="K33" s="933"/>
      <c r="L33" s="933"/>
      <c r="M33" s="933"/>
      <c r="N33" s="934" t="str">
        <f>"(Line "&amp;A15&amp;", Col N)"</f>
        <v>(Line 7, Col N)</v>
      </c>
      <c r="O33" s="933"/>
      <c r="P33" s="933"/>
      <c r="Q33" s="913">
        <f>Q15</f>
        <v>0</v>
      </c>
    </row>
    <row r="34" spans="1:18" customFormat="1">
      <c r="A34" s="895">
        <f t="shared" si="0"/>
        <v>26</v>
      </c>
      <c r="B34" s="933" t="s">
        <v>1679</v>
      </c>
      <c r="C34" s="933"/>
      <c r="D34" s="933"/>
      <c r="E34" s="933"/>
      <c r="F34" s="934" t="str">
        <f>"(Line "&amp;A27&amp;", Col H)"</f>
        <v>(Line 19, Col H)</v>
      </c>
      <c r="G34" s="935"/>
      <c r="H34" s="933"/>
      <c r="I34" s="935"/>
      <c r="J34" s="910">
        <f>J27</f>
        <v>46234123.15214932</v>
      </c>
      <c r="K34" s="933"/>
      <c r="L34" s="936"/>
      <c r="M34" s="933"/>
      <c r="N34" s="934" t="str">
        <f>"(Line "&amp;A27&amp;", Col N)"</f>
        <v>(Line 19, Col N)</v>
      </c>
      <c r="O34" s="933"/>
      <c r="P34" s="933"/>
      <c r="Q34" s="910">
        <f>Q27</f>
        <v>0</v>
      </c>
    </row>
    <row r="35" spans="1:18" customFormat="1">
      <c r="A35" s="895">
        <f t="shared" si="0"/>
        <v>27</v>
      </c>
      <c r="B35" s="933" t="s">
        <v>1680</v>
      </c>
      <c r="C35" s="933"/>
      <c r="D35" s="933"/>
      <c r="E35" s="933"/>
      <c r="F35" s="933" t="str">
        <f>"(Average of Line "&amp;A33&amp;" &amp; Line "&amp;A34&amp;")"</f>
        <v>(Average of Line 25 &amp; Line 26)</v>
      </c>
      <c r="G35" s="935"/>
      <c r="H35" s="933"/>
      <c r="I35" s="937"/>
      <c r="J35" s="938">
        <f>(J33+J34)/2</f>
        <v>45436521.058724195</v>
      </c>
      <c r="K35" s="933"/>
      <c r="L35" s="939"/>
      <c r="M35" s="933"/>
      <c r="N35" s="933" t="str">
        <f>"(Average of Line "&amp;A33&amp;" &amp; Line "&amp;A34&amp;")"</f>
        <v>(Average of Line 25 &amp; Line 26)</v>
      </c>
      <c r="O35" s="933"/>
      <c r="P35" s="933"/>
      <c r="Q35" s="938">
        <f>(Q33+Q34)/2</f>
        <v>0</v>
      </c>
    </row>
    <row r="36" spans="1:18" customFormat="1" ht="13.5" customHeight="1">
      <c r="A36" s="895">
        <f t="shared" si="0"/>
        <v>28</v>
      </c>
      <c r="B36" s="933" t="s">
        <v>1681</v>
      </c>
      <c r="C36" s="933"/>
      <c r="D36" s="933"/>
      <c r="E36" s="933"/>
      <c r="F36" s="933" t="s">
        <v>1823</v>
      </c>
      <c r="G36" s="933"/>
      <c r="H36" s="933"/>
      <c r="I36" s="933"/>
      <c r="J36" s="940">
        <f>AVERAGE(J15, (SUM(H16:H27)+J15))</f>
        <v>46360701.700243406</v>
      </c>
      <c r="K36" s="933"/>
      <c r="L36" s="933"/>
      <c r="M36" s="933"/>
      <c r="N36" s="933" t="s">
        <v>1823</v>
      </c>
      <c r="O36" s="933"/>
      <c r="P36" s="933"/>
      <c r="Q36" s="940">
        <f>AVERAGE(Q15, (SUM(L16:L27)+Q15))</f>
        <v>0</v>
      </c>
    </row>
    <row r="37" spans="1:18" customFormat="1" ht="13.5" customHeight="1">
      <c r="A37" s="895">
        <f t="shared" si="0"/>
        <v>29</v>
      </c>
      <c r="B37" s="933" t="s">
        <v>1682</v>
      </c>
      <c r="C37" s="933"/>
      <c r="D37" s="933"/>
      <c r="E37" s="933"/>
      <c r="F37" s="933"/>
      <c r="G37" s="933"/>
      <c r="H37" s="933"/>
      <c r="I37" s="933"/>
      <c r="J37" s="936">
        <f>J35-J36</f>
        <v>-924180.64151921123</v>
      </c>
      <c r="K37" s="933"/>
      <c r="L37" s="933"/>
      <c r="M37" s="933"/>
      <c r="N37" s="933"/>
      <c r="O37" s="933"/>
      <c r="P37" s="933"/>
      <c r="Q37" s="936">
        <f>Q35-Q36</f>
        <v>0</v>
      </c>
    </row>
    <row r="38" spans="1:18">
      <c r="A38" s="895">
        <f t="shared" si="0"/>
        <v>30</v>
      </c>
      <c r="B38" s="941"/>
      <c r="C38" s="941"/>
      <c r="D38" s="941"/>
      <c r="E38" s="941"/>
      <c r="F38" s="941"/>
      <c r="G38" s="941"/>
      <c r="H38" s="941"/>
      <c r="I38" s="941"/>
      <c r="J38" s="941"/>
      <c r="K38" s="896"/>
      <c r="L38" s="896"/>
      <c r="M38" s="896"/>
      <c r="N38" s="896"/>
      <c r="O38" s="896"/>
      <c r="P38" s="896"/>
      <c r="Q38" s="941"/>
    </row>
    <row r="39" spans="1:18">
      <c r="A39" s="895">
        <f t="shared" si="0"/>
        <v>31</v>
      </c>
      <c r="B39" s="941"/>
      <c r="C39" s="941"/>
      <c r="D39" s="941"/>
      <c r="E39" s="941"/>
      <c r="F39" s="941"/>
      <c r="G39" s="941"/>
      <c r="H39" s="941"/>
      <c r="I39" s="941"/>
      <c r="J39" s="941"/>
      <c r="K39" s="896"/>
      <c r="L39" s="896"/>
      <c r="M39" s="896"/>
      <c r="N39" s="896"/>
      <c r="O39" s="896"/>
      <c r="P39" s="896"/>
      <c r="Q39" s="941"/>
    </row>
    <row r="40" spans="1:18">
      <c r="A40" s="895">
        <f t="shared" si="0"/>
        <v>32</v>
      </c>
      <c r="B40" s="1252" t="s">
        <v>1660</v>
      </c>
      <c r="C40" s="1252"/>
      <c r="D40" s="1252"/>
      <c r="E40" s="1252"/>
      <c r="F40" s="896"/>
      <c r="G40" s="896"/>
      <c r="H40" s="942"/>
      <c r="I40" s="942"/>
      <c r="J40" s="942"/>
      <c r="K40" s="896"/>
      <c r="L40" s="943"/>
      <c r="M40" s="944"/>
      <c r="N40" s="944"/>
      <c r="O40" s="944"/>
      <c r="P40" s="944"/>
      <c r="Q40" s="944"/>
      <c r="R40" s="901"/>
    </row>
    <row r="41" spans="1:18">
      <c r="A41" s="895">
        <f t="shared" si="0"/>
        <v>33</v>
      </c>
      <c r="B41" s="1253" t="s">
        <v>1306</v>
      </c>
      <c r="C41" s="1253"/>
      <c r="D41" s="1253"/>
      <c r="E41" s="1253"/>
      <c r="F41" s="896"/>
      <c r="G41" s="896"/>
      <c r="H41" s="942"/>
      <c r="I41" s="942"/>
      <c r="J41" s="942"/>
      <c r="K41" s="896"/>
      <c r="L41" s="943"/>
      <c r="M41" s="944"/>
      <c r="N41" s="944"/>
      <c r="O41" s="944"/>
      <c r="P41" s="944"/>
      <c r="Q41" s="944"/>
      <c r="R41" s="901"/>
    </row>
    <row r="42" spans="1:18">
      <c r="A42" s="895">
        <f t="shared" si="0"/>
        <v>34</v>
      </c>
      <c r="B42" s="1254" t="s">
        <v>1661</v>
      </c>
      <c r="C42" s="1255"/>
      <c r="D42" s="1255"/>
      <c r="E42" s="1255"/>
      <c r="F42" s="1256"/>
      <c r="G42" s="902"/>
      <c r="H42" s="1257" t="s">
        <v>1662</v>
      </c>
      <c r="I42" s="1258"/>
      <c r="J42" s="1259"/>
      <c r="K42" s="896"/>
      <c r="L42" s="1257" t="s">
        <v>1663</v>
      </c>
      <c r="M42" s="1258"/>
      <c r="N42" s="1258"/>
      <c r="O42" s="1258"/>
      <c r="P42" s="1258"/>
      <c r="Q42" s="1258"/>
    </row>
    <row r="43" spans="1:18">
      <c r="A43" s="895">
        <f t="shared" si="0"/>
        <v>35</v>
      </c>
      <c r="B43" s="903" t="s">
        <v>830</v>
      </c>
      <c r="C43" s="903" t="s">
        <v>831</v>
      </c>
      <c r="D43" s="903" t="s">
        <v>832</v>
      </c>
      <c r="E43" s="903" t="s">
        <v>833</v>
      </c>
      <c r="F43" s="903" t="s">
        <v>834</v>
      </c>
      <c r="G43" s="902"/>
      <c r="H43" s="903" t="s">
        <v>835</v>
      </c>
      <c r="I43" s="903" t="s">
        <v>836</v>
      </c>
      <c r="J43" s="903" t="s">
        <v>837</v>
      </c>
      <c r="K43" s="896"/>
      <c r="L43" s="903" t="s">
        <v>838</v>
      </c>
      <c r="M43" s="903" t="s">
        <v>839</v>
      </c>
      <c r="N43" s="903" t="s">
        <v>840</v>
      </c>
      <c r="O43" s="904" t="s">
        <v>841</v>
      </c>
      <c r="P43" s="904" t="s">
        <v>843</v>
      </c>
      <c r="Q43" s="903" t="s">
        <v>842</v>
      </c>
    </row>
    <row r="44" spans="1:18" ht="45">
      <c r="A44" s="895">
        <f t="shared" si="0"/>
        <v>36</v>
      </c>
      <c r="B44" s="905" t="s">
        <v>1352</v>
      </c>
      <c r="C44" s="905" t="s">
        <v>1587</v>
      </c>
      <c r="D44" s="905" t="s">
        <v>1664</v>
      </c>
      <c r="E44" s="905" t="s">
        <v>1665</v>
      </c>
      <c r="F44" s="905" t="s">
        <v>1666</v>
      </c>
      <c r="G44" s="906"/>
      <c r="H44" s="905" t="s">
        <v>1667</v>
      </c>
      <c r="I44" s="905" t="s">
        <v>1668</v>
      </c>
      <c r="J44" s="905" t="s">
        <v>1669</v>
      </c>
      <c r="K44" s="896"/>
      <c r="L44" s="905" t="s">
        <v>1670</v>
      </c>
      <c r="M44" s="905" t="s">
        <v>1671</v>
      </c>
      <c r="N44" s="907" t="s">
        <v>1672</v>
      </c>
      <c r="O44" s="907" t="s">
        <v>1673</v>
      </c>
      <c r="P44" s="907" t="s">
        <v>1674</v>
      </c>
      <c r="Q44" s="907" t="s">
        <v>1675</v>
      </c>
    </row>
    <row r="45" spans="1:18">
      <c r="A45" s="895">
        <f t="shared" si="0"/>
        <v>37</v>
      </c>
      <c r="B45" s="896"/>
      <c r="C45" s="906"/>
      <c r="D45" s="906"/>
      <c r="E45" s="906"/>
      <c r="F45" s="906"/>
      <c r="G45" s="906"/>
      <c r="H45" s="906"/>
      <c r="I45" s="906"/>
      <c r="J45" s="906"/>
      <c r="K45" s="896"/>
      <c r="L45" s="896"/>
      <c r="M45" s="896"/>
      <c r="N45" s="896"/>
      <c r="O45" s="908"/>
      <c r="P45" s="908"/>
      <c r="Q45" s="896"/>
    </row>
    <row r="46" spans="1:18">
      <c r="A46" s="895">
        <f t="shared" si="0"/>
        <v>38</v>
      </c>
      <c r="B46" s="1260" t="s">
        <v>1676</v>
      </c>
      <c r="C46" s="1260"/>
      <c r="D46" s="1260"/>
      <c r="E46" s="1260"/>
      <c r="F46" s="909"/>
      <c r="G46" s="909"/>
      <c r="H46" s="910"/>
      <c r="I46" s="910"/>
      <c r="J46" s="911">
        <f>'WP_B-3'!C45</f>
        <v>16467089.24760008</v>
      </c>
      <c r="K46" s="912"/>
      <c r="L46" s="910"/>
      <c r="M46" s="913"/>
      <c r="N46" s="913"/>
      <c r="O46" s="913"/>
      <c r="P46" s="913"/>
      <c r="Q46" s="911">
        <f>'WP_B-3'!C145</f>
        <v>0</v>
      </c>
    </row>
    <row r="47" spans="1:18">
      <c r="A47" s="895">
        <f t="shared" si="0"/>
        <v>39</v>
      </c>
      <c r="B47" s="914" t="s">
        <v>956</v>
      </c>
      <c r="C47" s="910">
        <v>31</v>
      </c>
      <c r="D47" s="915">
        <f t="shared" ref="D47:D55" si="13">D48+C48</f>
        <v>335</v>
      </c>
      <c r="E47" s="915">
        <f>SUM(C47:C58)</f>
        <v>365</v>
      </c>
      <c r="F47" s="916">
        <f>D47/E47</f>
        <v>0.9178082191780822</v>
      </c>
      <c r="G47" s="909"/>
      <c r="H47" s="917">
        <f>('WP_B-3'!D45-'WP_B-3'!C45)/12</f>
        <v>-75568.973498814579</v>
      </c>
      <c r="I47" s="910">
        <f>+H47*F47</f>
        <v>-69357.824992062699</v>
      </c>
      <c r="J47" s="910">
        <f>+I47+J46</f>
        <v>16397731.422608018</v>
      </c>
      <c r="K47" s="896"/>
      <c r="L47" s="917">
        <f>('WP_B-3'!D145-'WP_B-3'!C145)/12</f>
        <v>0</v>
      </c>
      <c r="M47" s="913">
        <f>L47-H47</f>
        <v>75568.973498814579</v>
      </c>
      <c r="N47" s="913">
        <f>IF(M47&gt;=0,+M47,0)</f>
        <v>75568.973498814579</v>
      </c>
      <c r="O47" s="913">
        <f>IF(N47&gt;0,0,IF(L47&lt;0,0,(-(M47)*(D47/E47))))</f>
        <v>0</v>
      </c>
      <c r="P47" s="913">
        <f>IF(N47&gt;0,0,IF(L47&gt;0,0,(-(M47)*(D47/E47))))</f>
        <v>0</v>
      </c>
      <c r="Q47" s="913">
        <f>IF(L47&lt;0,Q46+P47,Q46+I47+N47-O47)</f>
        <v>6211.1485067518806</v>
      </c>
    </row>
    <row r="48" spans="1:18">
      <c r="A48" s="895">
        <f t="shared" si="0"/>
        <v>40</v>
      </c>
      <c r="B48" s="914" t="s">
        <v>904</v>
      </c>
      <c r="C48" s="917">
        <f>$C$17</f>
        <v>28</v>
      </c>
      <c r="D48" s="915">
        <f t="shared" si="13"/>
        <v>307</v>
      </c>
      <c r="E48" s="915">
        <f>E47</f>
        <v>365</v>
      </c>
      <c r="F48" s="916">
        <f t="shared" ref="F48:F58" si="14">D48/E48</f>
        <v>0.84109589041095889</v>
      </c>
      <c r="G48" s="909"/>
      <c r="H48" s="917">
        <f>$H$47</f>
        <v>-75568.973498814579</v>
      </c>
      <c r="I48" s="910">
        <f t="shared" ref="I48:I58" si="15">+H48*F48</f>
        <v>-63560.753052427601</v>
      </c>
      <c r="J48" s="910">
        <f t="shared" ref="J48:J58" si="16">+I48+J47</f>
        <v>16334170.66955559</v>
      </c>
      <c r="K48" s="896"/>
      <c r="L48" s="917">
        <f>$L$47</f>
        <v>0</v>
      </c>
      <c r="M48" s="913">
        <f t="shared" ref="M48:M58" si="17">L48-H48</f>
        <v>75568.973498814579</v>
      </c>
      <c r="N48" s="913">
        <f t="shared" ref="N48:N58" si="18">IF(M48&gt;=0,+M48,0)</f>
        <v>75568.973498814579</v>
      </c>
      <c r="O48" s="913">
        <f t="shared" ref="O48:O58" si="19">IF(N48&gt;0,0,IF(L48&lt;0,0,(-(M48)*(D48/E48))))</f>
        <v>0</v>
      </c>
      <c r="P48" s="913">
        <f t="shared" ref="P48:P58" si="20">IF(N48&gt;0,0,IF(L48&gt;0,0,(-(M48)*(D48/E48))))</f>
        <v>0</v>
      </c>
      <c r="Q48" s="913">
        <f t="shared" ref="Q48:Q58" si="21">IF(L48&lt;0,Q47+P48,Q47+I48+N48-O48)</f>
        <v>18219.368953138859</v>
      </c>
    </row>
    <row r="49" spans="1:17">
      <c r="A49" s="895">
        <f t="shared" si="0"/>
        <v>41</v>
      </c>
      <c r="B49" s="914" t="s">
        <v>905</v>
      </c>
      <c r="C49" s="910">
        <v>31</v>
      </c>
      <c r="D49" s="915">
        <f t="shared" si="13"/>
        <v>276</v>
      </c>
      <c r="E49" s="915">
        <f t="shared" ref="E49:E58" si="22">E48</f>
        <v>365</v>
      </c>
      <c r="F49" s="916">
        <f t="shared" si="14"/>
        <v>0.75616438356164384</v>
      </c>
      <c r="G49" s="909"/>
      <c r="H49" s="917">
        <f t="shared" ref="H49:H58" si="23">$H$47</f>
        <v>-75568.973498814579</v>
      </c>
      <c r="I49" s="910">
        <f t="shared" si="15"/>
        <v>-57142.566262117325</v>
      </c>
      <c r="J49" s="910">
        <f t="shared" si="16"/>
        <v>16277028.103293473</v>
      </c>
      <c r="K49" s="896"/>
      <c r="L49" s="917">
        <f t="shared" ref="L49:L58" si="24">$L$47</f>
        <v>0</v>
      </c>
      <c r="M49" s="913">
        <f t="shared" si="17"/>
        <v>75568.973498814579</v>
      </c>
      <c r="N49" s="913">
        <f t="shared" si="18"/>
        <v>75568.973498814579</v>
      </c>
      <c r="O49" s="913">
        <f t="shared" si="19"/>
        <v>0</v>
      </c>
      <c r="P49" s="913">
        <f t="shared" si="20"/>
        <v>0</v>
      </c>
      <c r="Q49" s="913">
        <f t="shared" si="21"/>
        <v>36645.776189836113</v>
      </c>
    </row>
    <row r="50" spans="1:17">
      <c r="A50" s="895">
        <f t="shared" si="0"/>
        <v>42</v>
      </c>
      <c r="B50" s="914" t="s">
        <v>906</v>
      </c>
      <c r="C50" s="910">
        <v>30</v>
      </c>
      <c r="D50" s="915">
        <f t="shared" si="13"/>
        <v>246</v>
      </c>
      <c r="E50" s="915">
        <f t="shared" si="22"/>
        <v>365</v>
      </c>
      <c r="F50" s="916">
        <f t="shared" si="14"/>
        <v>0.67397260273972603</v>
      </c>
      <c r="G50" s="909"/>
      <c r="H50" s="917">
        <f t="shared" si="23"/>
        <v>-75568.973498814579</v>
      </c>
      <c r="I50" s="910">
        <f t="shared" si="15"/>
        <v>-50931.417755365444</v>
      </c>
      <c r="J50" s="910">
        <f t="shared" si="16"/>
        <v>16226096.685538108</v>
      </c>
      <c r="K50" s="896"/>
      <c r="L50" s="917">
        <f t="shared" si="24"/>
        <v>0</v>
      </c>
      <c r="M50" s="913">
        <f t="shared" si="17"/>
        <v>75568.973498814579</v>
      </c>
      <c r="N50" s="913">
        <f t="shared" si="18"/>
        <v>75568.973498814579</v>
      </c>
      <c r="O50" s="913">
        <f t="shared" si="19"/>
        <v>0</v>
      </c>
      <c r="P50" s="913">
        <f t="shared" si="20"/>
        <v>0</v>
      </c>
      <c r="Q50" s="913">
        <f t="shared" si="21"/>
        <v>61283.331933285248</v>
      </c>
    </row>
    <row r="51" spans="1:17">
      <c r="A51" s="895">
        <f t="shared" si="0"/>
        <v>43</v>
      </c>
      <c r="B51" s="914" t="s">
        <v>907</v>
      </c>
      <c r="C51" s="910">
        <v>31</v>
      </c>
      <c r="D51" s="915">
        <f t="shared" si="13"/>
        <v>215</v>
      </c>
      <c r="E51" s="915">
        <f t="shared" si="22"/>
        <v>365</v>
      </c>
      <c r="F51" s="916">
        <f t="shared" si="14"/>
        <v>0.58904109589041098</v>
      </c>
      <c r="G51" s="909"/>
      <c r="H51" s="917">
        <f t="shared" si="23"/>
        <v>-75568.973498814579</v>
      </c>
      <c r="I51" s="910">
        <f t="shared" si="15"/>
        <v>-44513.230965055162</v>
      </c>
      <c r="J51" s="910">
        <f t="shared" si="16"/>
        <v>16181583.454573052</v>
      </c>
      <c r="K51" s="896"/>
      <c r="L51" s="917">
        <f t="shared" si="24"/>
        <v>0</v>
      </c>
      <c r="M51" s="913">
        <f t="shared" si="17"/>
        <v>75568.973498814579</v>
      </c>
      <c r="N51" s="913">
        <f t="shared" si="18"/>
        <v>75568.973498814579</v>
      </c>
      <c r="O51" s="913">
        <f t="shared" si="19"/>
        <v>0</v>
      </c>
      <c r="P51" s="913">
        <f t="shared" si="20"/>
        <v>0</v>
      </c>
      <c r="Q51" s="913">
        <f t="shared" si="21"/>
        <v>92339.074467044673</v>
      </c>
    </row>
    <row r="52" spans="1:17">
      <c r="A52" s="895">
        <f t="shared" si="0"/>
        <v>44</v>
      </c>
      <c r="B52" s="914" t="s">
        <v>908</v>
      </c>
      <c r="C52" s="910">
        <v>30</v>
      </c>
      <c r="D52" s="915">
        <f t="shared" si="13"/>
        <v>185</v>
      </c>
      <c r="E52" s="915">
        <f t="shared" si="22"/>
        <v>365</v>
      </c>
      <c r="F52" s="916">
        <f t="shared" si="14"/>
        <v>0.50684931506849318</v>
      </c>
      <c r="G52" s="909"/>
      <c r="H52" s="917">
        <f t="shared" si="23"/>
        <v>-75568.973498814579</v>
      </c>
      <c r="I52" s="910">
        <f t="shared" si="15"/>
        <v>-38302.082458303281</v>
      </c>
      <c r="J52" s="910">
        <f t="shared" si="16"/>
        <v>16143281.37211475</v>
      </c>
      <c r="K52" s="896"/>
      <c r="L52" s="917">
        <f t="shared" si="24"/>
        <v>0</v>
      </c>
      <c r="M52" s="913">
        <f t="shared" si="17"/>
        <v>75568.973498814579</v>
      </c>
      <c r="N52" s="913">
        <f t="shared" si="18"/>
        <v>75568.973498814579</v>
      </c>
      <c r="O52" s="913">
        <f t="shared" si="19"/>
        <v>0</v>
      </c>
      <c r="P52" s="913">
        <f t="shared" si="20"/>
        <v>0</v>
      </c>
      <c r="Q52" s="913">
        <f t="shared" si="21"/>
        <v>129605.96550755597</v>
      </c>
    </row>
    <row r="53" spans="1:17">
      <c r="A53" s="895">
        <f t="shared" si="0"/>
        <v>45</v>
      </c>
      <c r="B53" s="914" t="s">
        <v>909</v>
      </c>
      <c r="C53" s="910">
        <v>31</v>
      </c>
      <c r="D53" s="915">
        <f t="shared" si="13"/>
        <v>154</v>
      </c>
      <c r="E53" s="915">
        <f t="shared" si="22"/>
        <v>365</v>
      </c>
      <c r="F53" s="916">
        <f t="shared" si="14"/>
        <v>0.42191780821917807</v>
      </c>
      <c r="G53" s="909"/>
      <c r="H53" s="917">
        <f t="shared" si="23"/>
        <v>-75568.973498814579</v>
      </c>
      <c r="I53" s="910">
        <f t="shared" si="15"/>
        <v>-31883.895667992998</v>
      </c>
      <c r="J53" s="910">
        <f t="shared" si="16"/>
        <v>16111397.476446757</v>
      </c>
      <c r="K53" s="896"/>
      <c r="L53" s="917">
        <f t="shared" si="24"/>
        <v>0</v>
      </c>
      <c r="M53" s="913">
        <f t="shared" si="17"/>
        <v>75568.973498814579</v>
      </c>
      <c r="N53" s="913">
        <f t="shared" si="18"/>
        <v>75568.973498814579</v>
      </c>
      <c r="O53" s="913">
        <f t="shared" si="19"/>
        <v>0</v>
      </c>
      <c r="P53" s="913">
        <f t="shared" si="20"/>
        <v>0</v>
      </c>
      <c r="Q53" s="913">
        <f t="shared" si="21"/>
        <v>173291.04333837755</v>
      </c>
    </row>
    <row r="54" spans="1:17">
      <c r="A54" s="895">
        <f t="shared" si="0"/>
        <v>46</v>
      </c>
      <c r="B54" s="914" t="s">
        <v>910</v>
      </c>
      <c r="C54" s="910">
        <v>31</v>
      </c>
      <c r="D54" s="915">
        <f t="shared" si="13"/>
        <v>123</v>
      </c>
      <c r="E54" s="915">
        <f t="shared" si="22"/>
        <v>365</v>
      </c>
      <c r="F54" s="916">
        <f t="shared" si="14"/>
        <v>0.33698630136986302</v>
      </c>
      <c r="G54" s="909"/>
      <c r="H54" s="917">
        <f t="shared" si="23"/>
        <v>-75568.973498814579</v>
      </c>
      <c r="I54" s="910">
        <f t="shared" si="15"/>
        <v>-25465.708877682722</v>
      </c>
      <c r="J54" s="910">
        <f t="shared" si="16"/>
        <v>16085931.767569074</v>
      </c>
      <c r="K54" s="896"/>
      <c r="L54" s="917">
        <f t="shared" si="24"/>
        <v>0</v>
      </c>
      <c r="M54" s="913">
        <f t="shared" si="17"/>
        <v>75568.973498814579</v>
      </c>
      <c r="N54" s="913">
        <f t="shared" si="18"/>
        <v>75568.973498814579</v>
      </c>
      <c r="O54" s="913">
        <f t="shared" si="19"/>
        <v>0</v>
      </c>
      <c r="P54" s="913">
        <f t="shared" si="20"/>
        <v>0</v>
      </c>
      <c r="Q54" s="913">
        <f t="shared" si="21"/>
        <v>223394.30795950943</v>
      </c>
    </row>
    <row r="55" spans="1:17">
      <c r="A55" s="895">
        <f t="shared" si="0"/>
        <v>47</v>
      </c>
      <c r="B55" s="914" t="s">
        <v>911</v>
      </c>
      <c r="C55" s="910">
        <v>30</v>
      </c>
      <c r="D55" s="915">
        <f t="shared" si="13"/>
        <v>93</v>
      </c>
      <c r="E55" s="915">
        <f t="shared" si="22"/>
        <v>365</v>
      </c>
      <c r="F55" s="916">
        <f t="shared" si="14"/>
        <v>0.25479452054794521</v>
      </c>
      <c r="G55" s="909"/>
      <c r="H55" s="917">
        <f t="shared" si="23"/>
        <v>-75568.973498814579</v>
      </c>
      <c r="I55" s="910">
        <f t="shared" si="15"/>
        <v>-19254.560370930838</v>
      </c>
      <c r="J55" s="910">
        <f t="shared" si="16"/>
        <v>16066677.207198143</v>
      </c>
      <c r="K55" s="896"/>
      <c r="L55" s="917">
        <f t="shared" si="24"/>
        <v>0</v>
      </c>
      <c r="M55" s="913">
        <f t="shared" si="17"/>
        <v>75568.973498814579</v>
      </c>
      <c r="N55" s="913">
        <f t="shared" si="18"/>
        <v>75568.973498814579</v>
      </c>
      <c r="O55" s="913">
        <f t="shared" si="19"/>
        <v>0</v>
      </c>
      <c r="P55" s="913">
        <f t="shared" si="20"/>
        <v>0</v>
      </c>
      <c r="Q55" s="913">
        <f t="shared" si="21"/>
        <v>279708.72108739318</v>
      </c>
    </row>
    <row r="56" spans="1:17">
      <c r="A56" s="895">
        <f t="shared" si="0"/>
        <v>48</v>
      </c>
      <c r="B56" s="914" t="s">
        <v>912</v>
      </c>
      <c r="C56" s="910">
        <v>31</v>
      </c>
      <c r="D56" s="915">
        <f>D57+C57</f>
        <v>62</v>
      </c>
      <c r="E56" s="915">
        <f t="shared" si="22"/>
        <v>365</v>
      </c>
      <c r="F56" s="916">
        <f t="shared" si="14"/>
        <v>0.16986301369863013</v>
      </c>
      <c r="G56" s="909"/>
      <c r="H56" s="917">
        <f t="shared" si="23"/>
        <v>-75568.973498814579</v>
      </c>
      <c r="I56" s="910">
        <f t="shared" si="15"/>
        <v>-12836.373580620559</v>
      </c>
      <c r="J56" s="910">
        <f t="shared" si="16"/>
        <v>16053840.833617523</v>
      </c>
      <c r="K56" s="896"/>
      <c r="L56" s="917">
        <f t="shared" si="24"/>
        <v>0</v>
      </c>
      <c r="M56" s="913">
        <f t="shared" si="17"/>
        <v>75568.973498814579</v>
      </c>
      <c r="N56" s="913">
        <f t="shared" si="18"/>
        <v>75568.973498814579</v>
      </c>
      <c r="O56" s="913">
        <f t="shared" si="19"/>
        <v>0</v>
      </c>
      <c r="P56" s="913">
        <f t="shared" si="20"/>
        <v>0</v>
      </c>
      <c r="Q56" s="913">
        <f t="shared" si="21"/>
        <v>342441.32100558718</v>
      </c>
    </row>
    <row r="57" spans="1:17">
      <c r="A57" s="895">
        <f t="shared" si="0"/>
        <v>49</v>
      </c>
      <c r="B57" s="914" t="s">
        <v>913</v>
      </c>
      <c r="C57" s="910">
        <v>30</v>
      </c>
      <c r="D57" s="915">
        <f>D58+C58</f>
        <v>32</v>
      </c>
      <c r="E57" s="915">
        <f t="shared" si="22"/>
        <v>365</v>
      </c>
      <c r="F57" s="916">
        <f t="shared" si="14"/>
        <v>8.7671232876712329E-2</v>
      </c>
      <c r="G57" s="909"/>
      <c r="H57" s="917">
        <f t="shared" si="23"/>
        <v>-75568.973498814579</v>
      </c>
      <c r="I57" s="910">
        <f t="shared" si="15"/>
        <v>-6625.2250738686753</v>
      </c>
      <c r="J57" s="910">
        <f t="shared" si="16"/>
        <v>16047215.608543655</v>
      </c>
      <c r="K57" s="896"/>
      <c r="L57" s="917">
        <f t="shared" si="24"/>
        <v>0</v>
      </c>
      <c r="M57" s="913">
        <f t="shared" si="17"/>
        <v>75568.973498814579</v>
      </c>
      <c r="N57" s="913">
        <f t="shared" si="18"/>
        <v>75568.973498814579</v>
      </c>
      <c r="O57" s="913">
        <f t="shared" si="19"/>
        <v>0</v>
      </c>
      <c r="P57" s="913">
        <f t="shared" si="20"/>
        <v>0</v>
      </c>
      <c r="Q57" s="913">
        <f t="shared" si="21"/>
        <v>411385.06943053304</v>
      </c>
    </row>
    <row r="58" spans="1:17">
      <c r="A58" s="895">
        <f t="shared" si="0"/>
        <v>50</v>
      </c>
      <c r="B58" s="914" t="s">
        <v>914</v>
      </c>
      <c r="C58" s="910">
        <v>31</v>
      </c>
      <c r="D58" s="915">
        <v>1</v>
      </c>
      <c r="E58" s="915">
        <f t="shared" si="22"/>
        <v>365</v>
      </c>
      <c r="F58" s="916">
        <f t="shared" si="14"/>
        <v>2.7397260273972603E-3</v>
      </c>
      <c r="G58" s="909"/>
      <c r="H58" s="917">
        <f t="shared" si="23"/>
        <v>-75568.973498814579</v>
      </c>
      <c r="I58" s="910">
        <f t="shared" si="15"/>
        <v>-207.0382835583961</v>
      </c>
      <c r="J58" s="910">
        <f t="shared" si="16"/>
        <v>16047008.570260096</v>
      </c>
      <c r="K58" s="896"/>
      <c r="L58" s="917">
        <f t="shared" si="24"/>
        <v>0</v>
      </c>
      <c r="M58" s="913">
        <f t="shared" si="17"/>
        <v>75568.973498814579</v>
      </c>
      <c r="N58" s="913">
        <f t="shared" si="18"/>
        <v>75568.973498814579</v>
      </c>
      <c r="O58" s="913">
        <f t="shared" si="19"/>
        <v>0</v>
      </c>
      <c r="P58" s="913">
        <f t="shared" si="20"/>
        <v>0</v>
      </c>
      <c r="Q58" s="913">
        <f t="shared" si="21"/>
        <v>486747.00464578922</v>
      </c>
    </row>
    <row r="59" spans="1:17">
      <c r="A59" s="895">
        <f t="shared" si="0"/>
        <v>51</v>
      </c>
      <c r="B59" s="918"/>
      <c r="C59" s="918" t="s">
        <v>795</v>
      </c>
      <c r="D59" s="919">
        <f>+SUM(D47:D58)</f>
        <v>2029</v>
      </c>
      <c r="E59" s="919">
        <f>+SUM(E47:E58)</f>
        <v>4380</v>
      </c>
      <c r="F59" s="920"/>
      <c r="G59" s="909"/>
      <c r="H59" s="921">
        <f>SUM(H47:H58)</f>
        <v>-906827.68198577513</v>
      </c>
      <c r="I59" s="921">
        <f>SUM(I47:I58)</f>
        <v>-420080.67733998573</v>
      </c>
      <c r="J59" s="920"/>
      <c r="K59" s="896"/>
      <c r="L59" s="922">
        <f>SUM(L47:L58)</f>
        <v>0</v>
      </c>
      <c r="M59" s="922">
        <f>SUM(M47:M58)</f>
        <v>906827.68198577513</v>
      </c>
      <c r="N59" s="922">
        <f>SUM(N47:N58)</f>
        <v>906827.68198577513</v>
      </c>
      <c r="O59" s="923">
        <f>SUM(O47:O58)</f>
        <v>0</v>
      </c>
      <c r="P59" s="923">
        <f>SUM(P47:P58)</f>
        <v>0</v>
      </c>
      <c r="Q59" s="922"/>
    </row>
    <row r="60" spans="1:17">
      <c r="A60" s="895">
        <f t="shared" si="0"/>
        <v>52</v>
      </c>
      <c r="B60" s="924"/>
      <c r="C60" s="924"/>
      <c r="D60" s="925"/>
      <c r="E60" s="925"/>
      <c r="F60" s="926"/>
      <c r="G60" s="909"/>
      <c r="H60" s="910"/>
      <c r="I60" s="910"/>
      <c r="J60" s="927"/>
      <c r="K60" s="896"/>
      <c r="L60" s="928"/>
      <c r="M60" s="928"/>
      <c r="N60" s="928"/>
      <c r="O60" s="928"/>
      <c r="P60" s="928"/>
      <c r="Q60" s="928"/>
    </row>
    <row r="61" spans="1:17">
      <c r="A61" s="895">
        <f t="shared" si="0"/>
        <v>53</v>
      </c>
      <c r="B61" s="896" t="s">
        <v>1677</v>
      </c>
      <c r="C61" s="924"/>
      <c r="D61" s="925"/>
      <c r="E61" s="929">
        <f>1-(D59/E59)</f>
        <v>0.53675799086757991</v>
      </c>
      <c r="F61" s="926"/>
      <c r="G61" s="909"/>
      <c r="H61" s="910"/>
      <c r="I61" s="910"/>
      <c r="J61" s="926"/>
      <c r="K61" s="896"/>
      <c r="L61" s="928"/>
      <c r="M61" s="928"/>
      <c r="N61" s="928"/>
      <c r="O61" s="928"/>
      <c r="P61" s="928"/>
      <c r="Q61" s="928"/>
    </row>
    <row r="62" spans="1:17">
      <c r="A62" s="895">
        <f t="shared" si="0"/>
        <v>54</v>
      </c>
      <c r="B62" s="924"/>
      <c r="C62" s="924"/>
      <c r="D62" s="925"/>
      <c r="E62" s="929"/>
      <c r="F62" s="926"/>
      <c r="G62" s="909"/>
      <c r="H62" s="910"/>
      <c r="I62" s="910"/>
      <c r="J62" s="926"/>
      <c r="K62" s="896"/>
      <c r="L62" s="928"/>
      <c r="M62" s="928"/>
      <c r="N62" s="928"/>
      <c r="O62" s="928"/>
      <c r="P62" s="928"/>
      <c r="Q62" s="928"/>
    </row>
    <row r="63" spans="1:17">
      <c r="A63" s="895">
        <f t="shared" si="0"/>
        <v>55</v>
      </c>
      <c r="B63" s="930"/>
      <c r="C63" s="924"/>
      <c r="D63" s="896"/>
      <c r="E63" s="924"/>
      <c r="F63" s="896"/>
      <c r="G63" s="926"/>
      <c r="H63" s="931"/>
      <c r="I63" s="932"/>
      <c r="J63" s="925"/>
      <c r="K63" s="896"/>
      <c r="L63" s="896"/>
      <c r="M63" s="896"/>
      <c r="N63" s="896"/>
      <c r="O63" s="896"/>
      <c r="P63" s="896"/>
      <c r="Q63" s="925"/>
    </row>
    <row r="64" spans="1:17" customFormat="1">
      <c r="A64" s="895">
        <f t="shared" si="0"/>
        <v>56</v>
      </c>
      <c r="B64" s="933" t="s">
        <v>1678</v>
      </c>
      <c r="C64" s="933"/>
      <c r="D64" s="933"/>
      <c r="E64" s="933"/>
      <c r="F64" s="934" t="str">
        <f>"(Line "&amp;A46&amp;", Col H)"</f>
        <v>(Line 38, Col H)</v>
      </c>
      <c r="G64" s="935"/>
      <c r="H64" s="933"/>
      <c r="I64" s="935"/>
      <c r="J64" s="913">
        <f>J46</f>
        <v>16467089.24760008</v>
      </c>
      <c r="K64" s="933"/>
      <c r="L64" s="933"/>
      <c r="M64" s="933"/>
      <c r="N64" s="934" t="str">
        <f>"(Line "&amp;A46&amp;", Col N)"</f>
        <v>(Line 38, Col N)</v>
      </c>
      <c r="O64" s="933"/>
      <c r="P64" s="933"/>
      <c r="Q64" s="913">
        <f>Q46</f>
        <v>0</v>
      </c>
    </row>
    <row r="65" spans="1:18" customFormat="1">
      <c r="A65" s="895">
        <f t="shared" si="0"/>
        <v>57</v>
      </c>
      <c r="B65" s="933" t="s">
        <v>1679</v>
      </c>
      <c r="C65" s="933"/>
      <c r="D65" s="933"/>
      <c r="E65" s="933"/>
      <c r="F65" s="934" t="str">
        <f>"(Line "&amp;A58&amp;", Col H)"</f>
        <v>(Line 50, Col H)</v>
      </c>
      <c r="G65" s="935"/>
      <c r="H65" s="933"/>
      <c r="I65" s="935"/>
      <c r="J65" s="910">
        <f>J58</f>
        <v>16047008.570260096</v>
      </c>
      <c r="K65" s="933"/>
      <c r="L65" s="936"/>
      <c r="M65" s="933"/>
      <c r="N65" s="934" t="str">
        <f>"(Line "&amp;A58&amp;", Col N)"</f>
        <v>(Line 50, Col N)</v>
      </c>
      <c r="O65" s="933"/>
      <c r="P65" s="933"/>
      <c r="Q65" s="910">
        <f>Q58</f>
        <v>486747.00464578922</v>
      </c>
    </row>
    <row r="66" spans="1:18" customFormat="1">
      <c r="A66" s="895">
        <f t="shared" si="0"/>
        <v>58</v>
      </c>
      <c r="B66" s="933" t="s">
        <v>1680</v>
      </c>
      <c r="C66" s="933"/>
      <c r="D66" s="933"/>
      <c r="E66" s="933"/>
      <c r="F66" s="933" t="str">
        <f>"(Average of Line "&amp;A64&amp;" &amp; Line "&amp;A65&amp;")"</f>
        <v>(Average of Line 56 &amp; Line 57)</v>
      </c>
      <c r="G66" s="935"/>
      <c r="H66" s="933"/>
      <c r="I66" s="937"/>
      <c r="J66" s="938">
        <f>(J64+J65)/2</f>
        <v>16257048.908930089</v>
      </c>
      <c r="K66" s="933"/>
      <c r="L66" s="939"/>
      <c r="M66" s="933"/>
      <c r="N66" s="933" t="str">
        <f>"(Average of Line "&amp;A64&amp;" &amp; Line "&amp;A65&amp;")"</f>
        <v>(Average of Line 56 &amp; Line 57)</v>
      </c>
      <c r="O66" s="933"/>
      <c r="P66" s="933"/>
      <c r="Q66" s="938">
        <f>(Q64+Q65)/2</f>
        <v>243373.50232289461</v>
      </c>
    </row>
    <row r="67" spans="1:18" customFormat="1" ht="13.5" customHeight="1">
      <c r="A67" s="895">
        <f t="shared" si="0"/>
        <v>59</v>
      </c>
      <c r="B67" s="933" t="s">
        <v>1681</v>
      </c>
      <c r="C67" s="933"/>
      <c r="D67" s="933"/>
      <c r="E67" s="933"/>
      <c r="F67" s="933" t="s">
        <v>1824</v>
      </c>
      <c r="G67" s="933"/>
      <c r="H67" s="933"/>
      <c r="I67" s="933"/>
      <c r="J67" s="940">
        <f>AVERAGE(J46, (SUM(H47:H58)+J46))</f>
        <v>16013675.406607192</v>
      </c>
      <c r="K67" s="933"/>
      <c r="L67" s="933"/>
      <c r="M67" s="933"/>
      <c r="N67" s="933" t="s">
        <v>1824</v>
      </c>
      <c r="O67" s="933"/>
      <c r="P67" s="933"/>
      <c r="Q67" s="940">
        <f>AVERAGE(Q46, (SUM(L47:L58)+Q46))</f>
        <v>0</v>
      </c>
    </row>
    <row r="68" spans="1:18" customFormat="1" ht="13.5" customHeight="1">
      <c r="A68" s="895">
        <f t="shared" si="0"/>
        <v>60</v>
      </c>
      <c r="B68" s="933" t="s">
        <v>1682</v>
      </c>
      <c r="C68" s="933"/>
      <c r="D68" s="933"/>
      <c r="E68" s="933"/>
      <c r="F68" s="933"/>
      <c r="G68" s="933"/>
      <c r="H68" s="933"/>
      <c r="I68" s="933"/>
      <c r="J68" s="936">
        <f>J66-J67</f>
        <v>243373.50232289732</v>
      </c>
      <c r="K68" s="933"/>
      <c r="L68" s="933"/>
      <c r="M68" s="933"/>
      <c r="N68" s="933"/>
      <c r="O68" s="933"/>
      <c r="P68" s="933"/>
      <c r="Q68" s="936">
        <v>0</v>
      </c>
    </row>
    <row r="69" spans="1:18">
      <c r="A69" s="895">
        <f t="shared" si="0"/>
        <v>61</v>
      </c>
      <c r="B69" s="941"/>
      <c r="C69" s="941"/>
      <c r="D69" s="941"/>
      <c r="E69" s="941"/>
      <c r="F69" s="941"/>
      <c r="G69" s="941"/>
      <c r="H69" s="941"/>
      <c r="I69" s="941"/>
      <c r="J69" s="941"/>
      <c r="K69" s="896"/>
      <c r="L69" s="896"/>
      <c r="M69" s="896"/>
      <c r="N69" s="896"/>
      <c r="O69" s="896"/>
      <c r="P69" s="896"/>
      <c r="Q69" s="941"/>
    </row>
    <row r="70" spans="1:18">
      <c r="A70" s="895">
        <f t="shared" si="0"/>
        <v>62</v>
      </c>
      <c r="B70" s="941"/>
      <c r="C70" s="941"/>
      <c r="D70" s="941"/>
      <c r="E70" s="941"/>
      <c r="F70" s="941"/>
      <c r="G70" s="941"/>
      <c r="H70" s="941"/>
      <c r="I70" s="941"/>
      <c r="J70" s="941"/>
      <c r="K70" s="896"/>
      <c r="L70" s="896"/>
      <c r="M70" s="896"/>
      <c r="N70" s="896"/>
      <c r="O70" s="896"/>
      <c r="P70" s="896"/>
      <c r="Q70" s="941"/>
    </row>
    <row r="71" spans="1:18">
      <c r="A71" s="895">
        <f t="shared" si="0"/>
        <v>63</v>
      </c>
      <c r="B71" s="1252" t="s">
        <v>1660</v>
      </c>
      <c r="C71" s="1252"/>
      <c r="D71" s="1252"/>
      <c r="E71" s="1252"/>
      <c r="F71" s="896"/>
      <c r="G71" s="896"/>
      <c r="H71" s="942"/>
      <c r="I71" s="942"/>
      <c r="J71" s="942"/>
      <c r="K71" s="896"/>
      <c r="L71" s="943"/>
      <c r="M71" s="944"/>
      <c r="N71" s="944"/>
      <c r="O71" s="944"/>
      <c r="P71" s="944"/>
      <c r="Q71" s="944"/>
      <c r="R71" s="901"/>
    </row>
    <row r="72" spans="1:18">
      <c r="A72" s="895">
        <f t="shared" si="0"/>
        <v>64</v>
      </c>
      <c r="B72" s="1253" t="s">
        <v>1013</v>
      </c>
      <c r="C72" s="1253"/>
      <c r="D72" s="1253"/>
      <c r="E72" s="1253"/>
      <c r="F72" s="896"/>
      <c r="G72" s="896"/>
      <c r="H72" s="942"/>
      <c r="I72" s="942"/>
      <c r="J72" s="942"/>
      <c r="K72" s="896"/>
      <c r="L72" s="943"/>
      <c r="M72" s="944"/>
      <c r="N72" s="944"/>
      <c r="O72" s="944"/>
      <c r="P72" s="944"/>
      <c r="Q72" s="944"/>
      <c r="R72" s="901"/>
    </row>
    <row r="73" spans="1:18">
      <c r="A73" s="895">
        <f t="shared" si="0"/>
        <v>65</v>
      </c>
      <c r="B73" s="1254" t="s">
        <v>1661</v>
      </c>
      <c r="C73" s="1255"/>
      <c r="D73" s="1255"/>
      <c r="E73" s="1255"/>
      <c r="F73" s="1256"/>
      <c r="G73" s="902"/>
      <c r="H73" s="1257" t="s">
        <v>1662</v>
      </c>
      <c r="I73" s="1258"/>
      <c r="J73" s="1259"/>
      <c r="K73" s="896"/>
      <c r="L73" s="1257" t="s">
        <v>1663</v>
      </c>
      <c r="M73" s="1258"/>
      <c r="N73" s="1258"/>
      <c r="O73" s="1258"/>
      <c r="P73" s="1258"/>
      <c r="Q73" s="1258"/>
    </row>
    <row r="74" spans="1:18">
      <c r="A74" s="895">
        <f t="shared" si="0"/>
        <v>66</v>
      </c>
      <c r="B74" s="903" t="s">
        <v>830</v>
      </c>
      <c r="C74" s="903" t="s">
        <v>831</v>
      </c>
      <c r="D74" s="903" t="s">
        <v>832</v>
      </c>
      <c r="E74" s="903" t="s">
        <v>833</v>
      </c>
      <c r="F74" s="903" t="s">
        <v>834</v>
      </c>
      <c r="G74" s="902"/>
      <c r="H74" s="903" t="s">
        <v>835</v>
      </c>
      <c r="I74" s="903" t="s">
        <v>836</v>
      </c>
      <c r="J74" s="903" t="s">
        <v>837</v>
      </c>
      <c r="K74" s="896"/>
      <c r="L74" s="903" t="s">
        <v>838</v>
      </c>
      <c r="M74" s="903" t="s">
        <v>839</v>
      </c>
      <c r="N74" s="903" t="s">
        <v>840</v>
      </c>
      <c r="O74" s="904" t="s">
        <v>841</v>
      </c>
      <c r="P74" s="904" t="s">
        <v>843</v>
      </c>
      <c r="Q74" s="903" t="s">
        <v>842</v>
      </c>
    </row>
    <row r="75" spans="1:18" ht="45">
      <c r="A75" s="895">
        <f t="shared" ref="A75:A138" si="25">+A74+1</f>
        <v>67</v>
      </c>
      <c r="B75" s="905" t="s">
        <v>1352</v>
      </c>
      <c r="C75" s="905" t="s">
        <v>1587</v>
      </c>
      <c r="D75" s="905" t="s">
        <v>1664</v>
      </c>
      <c r="E75" s="905" t="s">
        <v>1665</v>
      </c>
      <c r="F75" s="905" t="s">
        <v>1666</v>
      </c>
      <c r="G75" s="906"/>
      <c r="H75" s="905" t="s">
        <v>1667</v>
      </c>
      <c r="I75" s="905" t="s">
        <v>1668</v>
      </c>
      <c r="J75" s="905" t="s">
        <v>1669</v>
      </c>
      <c r="K75" s="896"/>
      <c r="L75" s="905" t="s">
        <v>1670</v>
      </c>
      <c r="M75" s="905" t="s">
        <v>1671</v>
      </c>
      <c r="N75" s="907" t="s">
        <v>1672</v>
      </c>
      <c r="O75" s="907" t="s">
        <v>1673</v>
      </c>
      <c r="P75" s="907" t="s">
        <v>1674</v>
      </c>
      <c r="Q75" s="907" t="s">
        <v>1675</v>
      </c>
    </row>
    <row r="76" spans="1:18">
      <c r="A76" s="895">
        <f t="shared" si="25"/>
        <v>68</v>
      </c>
      <c r="B76" s="896"/>
      <c r="C76" s="906"/>
      <c r="D76" s="906"/>
      <c r="E76" s="906"/>
      <c r="F76" s="906"/>
      <c r="G76" s="906"/>
      <c r="H76" s="906"/>
      <c r="I76" s="906"/>
      <c r="J76" s="906"/>
      <c r="K76" s="896"/>
      <c r="L76" s="896"/>
      <c r="M76" s="896"/>
      <c r="N76" s="896"/>
      <c r="O76" s="908"/>
      <c r="P76" s="908"/>
      <c r="Q76" s="896"/>
    </row>
    <row r="77" spans="1:18">
      <c r="A77" s="895">
        <f t="shared" si="25"/>
        <v>69</v>
      </c>
      <c r="B77" s="1260" t="s">
        <v>1676</v>
      </c>
      <c r="C77" s="1260"/>
      <c r="D77" s="1260"/>
      <c r="E77" s="1260"/>
      <c r="F77" s="909"/>
      <c r="G77" s="909"/>
      <c r="H77" s="910"/>
      <c r="I77" s="910"/>
      <c r="J77" s="911">
        <f>'WP_B-3'!C57</f>
        <v>30396108.259810496</v>
      </c>
      <c r="K77" s="912"/>
      <c r="L77" s="910"/>
      <c r="M77" s="913"/>
      <c r="N77" s="913"/>
      <c r="O77" s="913"/>
      <c r="P77" s="913"/>
      <c r="Q77" s="911">
        <f>SUM('WP_B-3'!C150:C156)</f>
        <v>0</v>
      </c>
    </row>
    <row r="78" spans="1:18">
      <c r="A78" s="895">
        <f t="shared" si="25"/>
        <v>70</v>
      </c>
      <c r="B78" s="914" t="s">
        <v>956</v>
      </c>
      <c r="C78" s="910">
        <v>31</v>
      </c>
      <c r="D78" s="915">
        <f t="shared" ref="D78:D86" si="26">D79+C79</f>
        <v>335</v>
      </c>
      <c r="E78" s="915">
        <f>SUM(C78:C89)</f>
        <v>365</v>
      </c>
      <c r="F78" s="916">
        <f>D78/E78</f>
        <v>0.9178082191780822</v>
      </c>
      <c r="G78" s="909"/>
      <c r="H78" s="917">
        <f>('WP_B-3'!D57-'WP_B-3'!C57)/12</f>
        <v>193004.1850000002</v>
      </c>
      <c r="I78" s="910">
        <f>+H78*F78</f>
        <v>177140.82732876731</v>
      </c>
      <c r="J78" s="910">
        <f t="shared" ref="J78:J89" si="27">+I78+J77</f>
        <v>30573249.087139264</v>
      </c>
      <c r="K78" s="896"/>
      <c r="L78" s="917">
        <f>(SUM('WP_B-3'!D150:D156)-SUM('WP_B-3'!C150:C156))/12</f>
        <v>0</v>
      </c>
      <c r="M78" s="913">
        <f>L78-H78</f>
        <v>-193004.1850000002</v>
      </c>
      <c r="N78" s="913">
        <f>IF(M78&gt;=0,+M78,0)</f>
        <v>0</v>
      </c>
      <c r="O78" s="913">
        <f>IF(N78&gt;0,0,IF(L78&lt;0,0,(-(M78)*(D78/E78))))</f>
        <v>177140.82732876731</v>
      </c>
      <c r="P78" s="913">
        <f>IF(N78&gt;0,0,IF(L78&gt;0,0,(-(M78)*(D78/E78))))</f>
        <v>177140.82732876731</v>
      </c>
      <c r="Q78" s="913">
        <f>IF(L78&lt;0,Q77+P78,Q77+I78+N78-O78)</f>
        <v>0</v>
      </c>
    </row>
    <row r="79" spans="1:18">
      <c r="A79" s="895">
        <f t="shared" si="25"/>
        <v>71</v>
      </c>
      <c r="B79" s="914" t="s">
        <v>904</v>
      </c>
      <c r="C79" s="917">
        <f>$C$17</f>
        <v>28</v>
      </c>
      <c r="D79" s="915">
        <f t="shared" si="26"/>
        <v>307</v>
      </c>
      <c r="E79" s="915">
        <f>E78</f>
        <v>365</v>
      </c>
      <c r="F79" s="916">
        <f t="shared" ref="F79:F89" si="28">D79/E79</f>
        <v>0.84109589041095889</v>
      </c>
      <c r="G79" s="909"/>
      <c r="H79" s="917">
        <f>$H$78</f>
        <v>193004.1850000002</v>
      </c>
      <c r="I79" s="910">
        <f t="shared" ref="I79:I89" si="29">+H79*F79</f>
        <v>162335.02683561659</v>
      </c>
      <c r="J79" s="910">
        <f t="shared" si="27"/>
        <v>30735584.11397488</v>
      </c>
      <c r="K79" s="896"/>
      <c r="L79" s="917">
        <f t="shared" ref="L79:L89" si="30">$L$78</f>
        <v>0</v>
      </c>
      <c r="M79" s="913">
        <f t="shared" ref="M79:M89" si="31">L79-H79</f>
        <v>-193004.1850000002</v>
      </c>
      <c r="N79" s="913">
        <f t="shared" ref="N79:N89" si="32">IF(M79&gt;=0,+M79,0)</f>
        <v>0</v>
      </c>
      <c r="O79" s="913">
        <f t="shared" ref="O79:O89" si="33">IF(N79&gt;0,0,IF(L79&lt;0,0,(-(M79)*(D79/E79))))</f>
        <v>162335.02683561659</v>
      </c>
      <c r="P79" s="913">
        <f t="shared" ref="P79:P89" si="34">IF(N79&gt;0,0,IF(L79&gt;0,0,(-(M79)*(D79/E79))))</f>
        <v>162335.02683561659</v>
      </c>
      <c r="Q79" s="913">
        <f t="shared" ref="Q79:Q89" si="35">IF(L79&lt;0,Q78+P79,Q78+I79+N79-O79)</f>
        <v>0</v>
      </c>
    </row>
    <row r="80" spans="1:18">
      <c r="A80" s="895">
        <f t="shared" si="25"/>
        <v>72</v>
      </c>
      <c r="B80" s="914" t="s">
        <v>905</v>
      </c>
      <c r="C80" s="910">
        <v>31</v>
      </c>
      <c r="D80" s="915">
        <f t="shared" si="26"/>
        <v>276</v>
      </c>
      <c r="E80" s="915">
        <f t="shared" ref="E80:E89" si="36">E79</f>
        <v>365</v>
      </c>
      <c r="F80" s="916">
        <f t="shared" si="28"/>
        <v>0.75616438356164384</v>
      </c>
      <c r="G80" s="909"/>
      <c r="H80" s="917">
        <f t="shared" ref="H80:H89" si="37">$H$78</f>
        <v>193004.1850000002</v>
      </c>
      <c r="I80" s="910">
        <f t="shared" si="29"/>
        <v>145942.89057534261</v>
      </c>
      <c r="J80" s="910">
        <f t="shared" si="27"/>
        <v>30881527.004550222</v>
      </c>
      <c r="K80" s="896"/>
      <c r="L80" s="917">
        <f t="shared" si="30"/>
        <v>0</v>
      </c>
      <c r="M80" s="913">
        <f t="shared" si="31"/>
        <v>-193004.1850000002</v>
      </c>
      <c r="N80" s="913">
        <f t="shared" si="32"/>
        <v>0</v>
      </c>
      <c r="O80" s="913">
        <f t="shared" si="33"/>
        <v>145942.89057534261</v>
      </c>
      <c r="P80" s="913">
        <f t="shared" si="34"/>
        <v>145942.89057534261</v>
      </c>
      <c r="Q80" s="913">
        <f t="shared" si="35"/>
        <v>0</v>
      </c>
    </row>
    <row r="81" spans="1:17">
      <c r="A81" s="895">
        <f t="shared" si="25"/>
        <v>73</v>
      </c>
      <c r="B81" s="914" t="s">
        <v>906</v>
      </c>
      <c r="C81" s="910">
        <v>30</v>
      </c>
      <c r="D81" s="915">
        <f t="shared" si="26"/>
        <v>246</v>
      </c>
      <c r="E81" s="915">
        <f t="shared" si="36"/>
        <v>365</v>
      </c>
      <c r="F81" s="916">
        <f t="shared" si="28"/>
        <v>0.67397260273972603</v>
      </c>
      <c r="G81" s="909"/>
      <c r="H81" s="917">
        <f t="shared" si="37"/>
        <v>193004.1850000002</v>
      </c>
      <c r="I81" s="910">
        <f t="shared" si="29"/>
        <v>130079.53290410973</v>
      </c>
      <c r="J81" s="910">
        <f t="shared" si="27"/>
        <v>31011606.537454333</v>
      </c>
      <c r="K81" s="896"/>
      <c r="L81" s="917">
        <f t="shared" si="30"/>
        <v>0</v>
      </c>
      <c r="M81" s="913">
        <f t="shared" si="31"/>
        <v>-193004.1850000002</v>
      </c>
      <c r="N81" s="913">
        <f t="shared" si="32"/>
        <v>0</v>
      </c>
      <c r="O81" s="913">
        <f t="shared" si="33"/>
        <v>130079.53290410973</v>
      </c>
      <c r="P81" s="913">
        <f t="shared" si="34"/>
        <v>130079.53290410973</v>
      </c>
      <c r="Q81" s="913">
        <f t="shared" si="35"/>
        <v>0</v>
      </c>
    </row>
    <row r="82" spans="1:17">
      <c r="A82" s="895">
        <f t="shared" si="25"/>
        <v>74</v>
      </c>
      <c r="B82" s="914" t="s">
        <v>907</v>
      </c>
      <c r="C82" s="910">
        <v>31</v>
      </c>
      <c r="D82" s="915">
        <f t="shared" si="26"/>
        <v>215</v>
      </c>
      <c r="E82" s="915">
        <f t="shared" si="36"/>
        <v>365</v>
      </c>
      <c r="F82" s="916">
        <f t="shared" si="28"/>
        <v>0.58904109589041098</v>
      </c>
      <c r="G82" s="909"/>
      <c r="H82" s="917">
        <f t="shared" si="37"/>
        <v>193004.1850000002</v>
      </c>
      <c r="I82" s="910">
        <f t="shared" si="29"/>
        <v>113687.39664383575</v>
      </c>
      <c r="J82" s="910">
        <f t="shared" si="27"/>
        <v>31125293.934098169</v>
      </c>
      <c r="K82" s="896"/>
      <c r="L82" s="917">
        <f t="shared" si="30"/>
        <v>0</v>
      </c>
      <c r="M82" s="913">
        <f t="shared" si="31"/>
        <v>-193004.1850000002</v>
      </c>
      <c r="N82" s="913">
        <f t="shared" si="32"/>
        <v>0</v>
      </c>
      <c r="O82" s="913">
        <f t="shared" si="33"/>
        <v>113687.39664383575</v>
      </c>
      <c r="P82" s="913">
        <f t="shared" si="34"/>
        <v>113687.39664383575</v>
      </c>
      <c r="Q82" s="913">
        <f t="shared" si="35"/>
        <v>0</v>
      </c>
    </row>
    <row r="83" spans="1:17">
      <c r="A83" s="895">
        <f t="shared" si="25"/>
        <v>75</v>
      </c>
      <c r="B83" s="914" t="s">
        <v>908</v>
      </c>
      <c r="C83" s="910">
        <v>30</v>
      </c>
      <c r="D83" s="915">
        <f t="shared" si="26"/>
        <v>185</v>
      </c>
      <c r="E83" s="915">
        <f t="shared" si="36"/>
        <v>365</v>
      </c>
      <c r="F83" s="916">
        <f t="shared" si="28"/>
        <v>0.50684931506849318</v>
      </c>
      <c r="G83" s="909"/>
      <c r="H83" s="917">
        <f t="shared" si="37"/>
        <v>193004.1850000002</v>
      </c>
      <c r="I83" s="910">
        <f t="shared" si="29"/>
        <v>97824.038972602852</v>
      </c>
      <c r="J83" s="910">
        <f t="shared" si="27"/>
        <v>31223117.973070771</v>
      </c>
      <c r="K83" s="896"/>
      <c r="L83" s="917">
        <f t="shared" si="30"/>
        <v>0</v>
      </c>
      <c r="M83" s="913">
        <f t="shared" si="31"/>
        <v>-193004.1850000002</v>
      </c>
      <c r="N83" s="913">
        <f t="shared" si="32"/>
        <v>0</v>
      </c>
      <c r="O83" s="913">
        <f t="shared" si="33"/>
        <v>97824.038972602852</v>
      </c>
      <c r="P83" s="913">
        <f t="shared" si="34"/>
        <v>97824.038972602852</v>
      </c>
      <c r="Q83" s="913">
        <f t="shared" si="35"/>
        <v>0</v>
      </c>
    </row>
    <row r="84" spans="1:17">
      <c r="A84" s="895">
        <f t="shared" si="25"/>
        <v>76</v>
      </c>
      <c r="B84" s="914" t="s">
        <v>909</v>
      </c>
      <c r="C84" s="910">
        <v>31</v>
      </c>
      <c r="D84" s="915">
        <f t="shared" si="26"/>
        <v>154</v>
      </c>
      <c r="E84" s="915">
        <f t="shared" si="36"/>
        <v>365</v>
      </c>
      <c r="F84" s="916">
        <f t="shared" si="28"/>
        <v>0.42191780821917807</v>
      </c>
      <c r="G84" s="909"/>
      <c r="H84" s="917">
        <f t="shared" si="37"/>
        <v>193004.1850000002</v>
      </c>
      <c r="I84" s="910">
        <f t="shared" si="29"/>
        <v>81431.902712328854</v>
      </c>
      <c r="J84" s="910">
        <f t="shared" si="27"/>
        <v>31304549.875783101</v>
      </c>
      <c r="K84" s="896"/>
      <c r="L84" s="917">
        <f t="shared" si="30"/>
        <v>0</v>
      </c>
      <c r="M84" s="913">
        <f t="shared" si="31"/>
        <v>-193004.1850000002</v>
      </c>
      <c r="N84" s="913">
        <f t="shared" si="32"/>
        <v>0</v>
      </c>
      <c r="O84" s="913">
        <f t="shared" si="33"/>
        <v>81431.902712328854</v>
      </c>
      <c r="P84" s="913">
        <f t="shared" si="34"/>
        <v>81431.902712328854</v>
      </c>
      <c r="Q84" s="913">
        <f t="shared" si="35"/>
        <v>0</v>
      </c>
    </row>
    <row r="85" spans="1:17">
      <c r="A85" s="895">
        <f t="shared" si="25"/>
        <v>77</v>
      </c>
      <c r="B85" s="914" t="s">
        <v>910</v>
      </c>
      <c r="C85" s="910">
        <v>31</v>
      </c>
      <c r="D85" s="915">
        <f t="shared" si="26"/>
        <v>123</v>
      </c>
      <c r="E85" s="915">
        <f t="shared" si="36"/>
        <v>365</v>
      </c>
      <c r="F85" s="916">
        <f t="shared" si="28"/>
        <v>0.33698630136986302</v>
      </c>
      <c r="G85" s="909"/>
      <c r="H85" s="917">
        <f t="shared" si="37"/>
        <v>193004.1850000002</v>
      </c>
      <c r="I85" s="910">
        <f t="shared" si="29"/>
        <v>65039.766452054864</v>
      </c>
      <c r="J85" s="910">
        <f t="shared" si="27"/>
        <v>31369589.642235156</v>
      </c>
      <c r="K85" s="896"/>
      <c r="L85" s="917">
        <f t="shared" si="30"/>
        <v>0</v>
      </c>
      <c r="M85" s="913">
        <f t="shared" si="31"/>
        <v>-193004.1850000002</v>
      </c>
      <c r="N85" s="913">
        <f t="shared" si="32"/>
        <v>0</v>
      </c>
      <c r="O85" s="913">
        <f t="shared" si="33"/>
        <v>65039.766452054864</v>
      </c>
      <c r="P85" s="913">
        <f t="shared" si="34"/>
        <v>65039.766452054864</v>
      </c>
      <c r="Q85" s="913">
        <f t="shared" si="35"/>
        <v>0</v>
      </c>
    </row>
    <row r="86" spans="1:17">
      <c r="A86" s="895">
        <f t="shared" si="25"/>
        <v>78</v>
      </c>
      <c r="B86" s="914" t="s">
        <v>911</v>
      </c>
      <c r="C86" s="910">
        <v>30</v>
      </c>
      <c r="D86" s="915">
        <f t="shared" si="26"/>
        <v>93</v>
      </c>
      <c r="E86" s="915">
        <f t="shared" si="36"/>
        <v>365</v>
      </c>
      <c r="F86" s="916">
        <f t="shared" si="28"/>
        <v>0.25479452054794521</v>
      </c>
      <c r="G86" s="909"/>
      <c r="H86" s="917">
        <f t="shared" si="37"/>
        <v>193004.1850000002</v>
      </c>
      <c r="I86" s="910">
        <f t="shared" si="29"/>
        <v>49176.40878082197</v>
      </c>
      <c r="J86" s="910">
        <f t="shared" si="27"/>
        <v>31418766.051015977</v>
      </c>
      <c r="K86" s="896"/>
      <c r="L86" s="917">
        <f t="shared" si="30"/>
        <v>0</v>
      </c>
      <c r="M86" s="913">
        <f t="shared" si="31"/>
        <v>-193004.1850000002</v>
      </c>
      <c r="N86" s="913">
        <f t="shared" si="32"/>
        <v>0</v>
      </c>
      <c r="O86" s="913">
        <f t="shared" si="33"/>
        <v>49176.40878082197</v>
      </c>
      <c r="P86" s="913">
        <f t="shared" si="34"/>
        <v>49176.40878082197</v>
      </c>
      <c r="Q86" s="913">
        <f t="shared" si="35"/>
        <v>0</v>
      </c>
    </row>
    <row r="87" spans="1:17">
      <c r="A87" s="895">
        <f t="shared" si="25"/>
        <v>79</v>
      </c>
      <c r="B87" s="914" t="s">
        <v>912</v>
      </c>
      <c r="C87" s="910">
        <v>31</v>
      </c>
      <c r="D87" s="915">
        <f>D88+C88</f>
        <v>62</v>
      </c>
      <c r="E87" s="915">
        <f t="shared" si="36"/>
        <v>365</v>
      </c>
      <c r="F87" s="916">
        <f t="shared" si="28"/>
        <v>0.16986301369863013</v>
      </c>
      <c r="G87" s="909"/>
      <c r="H87" s="917">
        <f t="shared" si="37"/>
        <v>193004.1850000002</v>
      </c>
      <c r="I87" s="910">
        <f t="shared" si="29"/>
        <v>32784.27252054798</v>
      </c>
      <c r="J87" s="910">
        <f t="shared" si="27"/>
        <v>31451550.323536526</v>
      </c>
      <c r="K87" s="896"/>
      <c r="L87" s="917">
        <f t="shared" si="30"/>
        <v>0</v>
      </c>
      <c r="M87" s="913">
        <f t="shared" si="31"/>
        <v>-193004.1850000002</v>
      </c>
      <c r="N87" s="913">
        <f t="shared" si="32"/>
        <v>0</v>
      </c>
      <c r="O87" s="913">
        <f t="shared" si="33"/>
        <v>32784.27252054798</v>
      </c>
      <c r="P87" s="913">
        <f t="shared" si="34"/>
        <v>32784.27252054798</v>
      </c>
      <c r="Q87" s="913">
        <f t="shared" si="35"/>
        <v>0</v>
      </c>
    </row>
    <row r="88" spans="1:17">
      <c r="A88" s="895">
        <f t="shared" si="25"/>
        <v>80</v>
      </c>
      <c r="B88" s="914" t="s">
        <v>913</v>
      </c>
      <c r="C88" s="910">
        <v>30</v>
      </c>
      <c r="D88" s="915">
        <f>D89+C89</f>
        <v>32</v>
      </c>
      <c r="E88" s="915">
        <f t="shared" si="36"/>
        <v>365</v>
      </c>
      <c r="F88" s="916">
        <f t="shared" si="28"/>
        <v>8.7671232876712329E-2</v>
      </c>
      <c r="G88" s="909"/>
      <c r="H88" s="917">
        <f t="shared" si="37"/>
        <v>193004.1850000002</v>
      </c>
      <c r="I88" s="910">
        <f t="shared" si="29"/>
        <v>16920.914849315086</v>
      </c>
      <c r="J88" s="910">
        <f t="shared" si="27"/>
        <v>31468471.238385841</v>
      </c>
      <c r="K88" s="896"/>
      <c r="L88" s="917">
        <f t="shared" si="30"/>
        <v>0</v>
      </c>
      <c r="M88" s="913">
        <f t="shared" si="31"/>
        <v>-193004.1850000002</v>
      </c>
      <c r="N88" s="913">
        <f t="shared" si="32"/>
        <v>0</v>
      </c>
      <c r="O88" s="913">
        <f t="shared" si="33"/>
        <v>16920.914849315086</v>
      </c>
      <c r="P88" s="913">
        <f t="shared" si="34"/>
        <v>16920.914849315086</v>
      </c>
      <c r="Q88" s="913">
        <f t="shared" si="35"/>
        <v>0</v>
      </c>
    </row>
    <row r="89" spans="1:17">
      <c r="A89" s="895">
        <f t="shared" si="25"/>
        <v>81</v>
      </c>
      <c r="B89" s="914" t="s">
        <v>914</v>
      </c>
      <c r="C89" s="910">
        <v>31</v>
      </c>
      <c r="D89" s="915">
        <v>1</v>
      </c>
      <c r="E89" s="915">
        <f t="shared" si="36"/>
        <v>365</v>
      </c>
      <c r="F89" s="916">
        <f t="shared" si="28"/>
        <v>2.7397260273972603E-3</v>
      </c>
      <c r="G89" s="909"/>
      <c r="H89" s="917">
        <f t="shared" si="37"/>
        <v>193004.1850000002</v>
      </c>
      <c r="I89" s="910">
        <f t="shared" si="29"/>
        <v>528.77858904109644</v>
      </c>
      <c r="J89" s="910">
        <f t="shared" si="27"/>
        <v>31469000.016974881</v>
      </c>
      <c r="K89" s="896"/>
      <c r="L89" s="917">
        <f t="shared" si="30"/>
        <v>0</v>
      </c>
      <c r="M89" s="913">
        <f t="shared" si="31"/>
        <v>-193004.1850000002</v>
      </c>
      <c r="N89" s="913">
        <f t="shared" si="32"/>
        <v>0</v>
      </c>
      <c r="O89" s="913">
        <f t="shared" si="33"/>
        <v>528.77858904109644</v>
      </c>
      <c r="P89" s="913">
        <f t="shared" si="34"/>
        <v>528.77858904109644</v>
      </c>
      <c r="Q89" s="913">
        <f t="shared" si="35"/>
        <v>0</v>
      </c>
    </row>
    <row r="90" spans="1:17">
      <c r="A90" s="895">
        <f t="shared" si="25"/>
        <v>82</v>
      </c>
      <c r="B90" s="918"/>
      <c r="C90" s="918" t="s">
        <v>795</v>
      </c>
      <c r="D90" s="919">
        <f>+SUM(D78:D89)</f>
        <v>2029</v>
      </c>
      <c r="E90" s="919">
        <f>+SUM(E78:E89)</f>
        <v>4380</v>
      </c>
      <c r="F90" s="920"/>
      <c r="G90" s="909"/>
      <c r="H90" s="921">
        <f>SUM(H78:H89)</f>
        <v>2316050.2200000025</v>
      </c>
      <c r="I90" s="921">
        <f>SUM(I78:I89)</f>
        <v>1072891.7571643847</v>
      </c>
      <c r="J90" s="920"/>
      <c r="K90" s="896"/>
      <c r="L90" s="922">
        <f>SUM(L78:L89)</f>
        <v>0</v>
      </c>
      <c r="M90" s="922">
        <f>SUM(M78:M89)</f>
        <v>-2316050.2200000025</v>
      </c>
      <c r="N90" s="922">
        <f>SUM(N78:N89)</f>
        <v>0</v>
      </c>
      <c r="O90" s="923">
        <f>SUM(O78:O89)</f>
        <v>1072891.7571643847</v>
      </c>
      <c r="P90" s="923">
        <f>SUM(P78:P89)</f>
        <v>1072891.7571643847</v>
      </c>
      <c r="Q90" s="922"/>
    </row>
    <row r="91" spans="1:17">
      <c r="A91" s="895">
        <f t="shared" si="25"/>
        <v>83</v>
      </c>
      <c r="B91" s="924"/>
      <c r="C91" s="924"/>
      <c r="D91" s="925"/>
      <c r="E91" s="925"/>
      <c r="F91" s="926"/>
      <c r="G91" s="909"/>
      <c r="H91" s="910"/>
      <c r="I91" s="910"/>
      <c r="J91" s="927"/>
      <c r="K91" s="896"/>
      <c r="L91" s="928"/>
      <c r="M91" s="928"/>
      <c r="N91" s="928"/>
      <c r="O91" s="928"/>
      <c r="P91" s="928"/>
      <c r="Q91" s="928"/>
    </row>
    <row r="92" spans="1:17">
      <c r="A92" s="895">
        <f t="shared" si="25"/>
        <v>84</v>
      </c>
      <c r="B92" s="896" t="s">
        <v>1677</v>
      </c>
      <c r="C92" s="924"/>
      <c r="D92" s="925"/>
      <c r="E92" s="929">
        <f>1-(D90/E90)</f>
        <v>0.53675799086757991</v>
      </c>
      <c r="F92" s="926"/>
      <c r="G92" s="909"/>
      <c r="H92" s="910"/>
      <c r="I92" s="910"/>
      <c r="J92" s="926"/>
      <c r="K92" s="896"/>
      <c r="L92" s="928"/>
      <c r="M92" s="928"/>
      <c r="N92" s="928"/>
      <c r="O92" s="928"/>
      <c r="P92" s="928"/>
      <c r="Q92" s="928"/>
    </row>
    <row r="93" spans="1:17">
      <c r="A93" s="895">
        <f t="shared" si="25"/>
        <v>85</v>
      </c>
      <c r="B93" s="924"/>
      <c r="C93" s="924"/>
      <c r="D93" s="925"/>
      <c r="E93" s="929"/>
      <c r="F93" s="926"/>
      <c r="G93" s="909"/>
      <c r="H93" s="910"/>
      <c r="I93" s="910"/>
      <c r="J93" s="926"/>
      <c r="K93" s="896"/>
      <c r="L93" s="928"/>
      <c r="M93" s="928"/>
      <c r="N93" s="928"/>
      <c r="O93" s="928"/>
      <c r="P93" s="928"/>
      <c r="Q93" s="928"/>
    </row>
    <row r="94" spans="1:17">
      <c r="A94" s="895">
        <f t="shared" si="25"/>
        <v>86</v>
      </c>
      <c r="B94" s="930"/>
      <c r="C94" s="924"/>
      <c r="D94" s="896"/>
      <c r="E94" s="924"/>
      <c r="F94" s="896"/>
      <c r="G94" s="926"/>
      <c r="H94" s="931"/>
      <c r="I94" s="932"/>
      <c r="J94" s="925"/>
      <c r="K94" s="896"/>
      <c r="L94" s="896"/>
      <c r="M94" s="896"/>
      <c r="N94" s="896"/>
      <c r="O94" s="896"/>
      <c r="P94" s="896"/>
      <c r="Q94" s="925"/>
    </row>
    <row r="95" spans="1:17" customFormat="1">
      <c r="A95" s="895">
        <f t="shared" si="25"/>
        <v>87</v>
      </c>
      <c r="B95" s="933" t="s">
        <v>1678</v>
      </c>
      <c r="C95" s="933"/>
      <c r="D95" s="933"/>
      <c r="E95" s="933"/>
      <c r="F95" s="934" t="str">
        <f>"(Line "&amp;A77&amp;", Col H)"</f>
        <v>(Line 69, Col H)</v>
      </c>
      <c r="G95" s="935"/>
      <c r="H95" s="933"/>
      <c r="I95" s="935"/>
      <c r="J95" s="913">
        <f>J77</f>
        <v>30396108.259810496</v>
      </c>
      <c r="K95" s="933"/>
      <c r="L95" s="933"/>
      <c r="M95" s="933"/>
      <c r="N95" s="934" t="str">
        <f>"(Line "&amp;A77&amp;", Col N)"</f>
        <v>(Line 69, Col N)</v>
      </c>
      <c r="O95" s="933"/>
      <c r="P95" s="933"/>
      <c r="Q95" s="913">
        <f>Q77</f>
        <v>0</v>
      </c>
    </row>
    <row r="96" spans="1:17" customFormat="1">
      <c r="A96" s="895">
        <f t="shared" si="25"/>
        <v>88</v>
      </c>
      <c r="B96" s="933" t="s">
        <v>1679</v>
      </c>
      <c r="C96" s="933"/>
      <c r="D96" s="933"/>
      <c r="E96" s="933"/>
      <c r="F96" s="934" t="str">
        <f>"(Line "&amp;A89&amp;", Col H)"</f>
        <v>(Line 81, Col H)</v>
      </c>
      <c r="G96" s="935"/>
      <c r="H96" s="933"/>
      <c r="I96" s="935"/>
      <c r="J96" s="910">
        <f>J89</f>
        <v>31469000.016974881</v>
      </c>
      <c r="K96" s="933"/>
      <c r="L96" s="936"/>
      <c r="M96" s="933"/>
      <c r="N96" s="934" t="str">
        <f>"(Line "&amp;A89&amp;", Col N)"</f>
        <v>(Line 81, Col N)</v>
      </c>
      <c r="O96" s="933"/>
      <c r="P96" s="933"/>
      <c r="Q96" s="910">
        <f>Q89</f>
        <v>0</v>
      </c>
    </row>
    <row r="97" spans="1:18" customFormat="1">
      <c r="A97" s="895">
        <f t="shared" si="25"/>
        <v>89</v>
      </c>
      <c r="B97" s="933" t="s">
        <v>1680</v>
      </c>
      <c r="C97" s="933"/>
      <c r="D97" s="933"/>
      <c r="E97" s="933"/>
      <c r="F97" s="933" t="str">
        <f>"(Average of Line "&amp;A95&amp;" &amp; Line "&amp;A96&amp;")"</f>
        <v>(Average of Line 87 &amp; Line 88)</v>
      </c>
      <c r="G97" s="935"/>
      <c r="H97" s="933"/>
      <c r="I97" s="937"/>
      <c r="J97" s="938">
        <f>(J95+J96)/2</f>
        <v>30932554.138392687</v>
      </c>
      <c r="K97" s="933"/>
      <c r="L97" s="939"/>
      <c r="M97" s="933"/>
      <c r="N97" s="933" t="str">
        <f>"(Average of Line "&amp;A95&amp;" &amp; Line "&amp;A96&amp;")"</f>
        <v>(Average of Line 87 &amp; Line 88)</v>
      </c>
      <c r="O97" s="933"/>
      <c r="P97" s="933"/>
      <c r="Q97" s="938">
        <f>(Q95+Q96)/2</f>
        <v>0</v>
      </c>
    </row>
    <row r="98" spans="1:18" customFormat="1" ht="13.5" customHeight="1">
      <c r="A98" s="895">
        <f t="shared" si="25"/>
        <v>90</v>
      </c>
      <c r="B98" s="933" t="s">
        <v>1681</v>
      </c>
      <c r="C98" s="933"/>
      <c r="D98" s="933"/>
      <c r="E98" s="933"/>
      <c r="F98" s="933" t="s">
        <v>1825</v>
      </c>
      <c r="G98" s="933"/>
      <c r="H98" s="933"/>
      <c r="I98" s="933"/>
      <c r="J98" s="940">
        <f>AVERAGE(J77, (SUM(H78:H89)+J77))</f>
        <v>31554133.369810499</v>
      </c>
      <c r="K98" s="933"/>
      <c r="L98" s="933"/>
      <c r="M98" s="933"/>
      <c r="N98" s="933" t="s">
        <v>1825</v>
      </c>
      <c r="O98" s="933"/>
      <c r="P98" s="933"/>
      <c r="Q98" s="940">
        <f>AVERAGE(Q77, (SUM(L78:L89)+Q77))</f>
        <v>0</v>
      </c>
    </row>
    <row r="99" spans="1:18" customFormat="1" ht="13.5" customHeight="1">
      <c r="A99" s="895">
        <f t="shared" si="25"/>
        <v>91</v>
      </c>
      <c r="B99" s="933" t="s">
        <v>1682</v>
      </c>
      <c r="C99" s="933"/>
      <c r="D99" s="933"/>
      <c r="E99" s="933"/>
      <c r="F99" s="933"/>
      <c r="G99" s="933"/>
      <c r="H99" s="933"/>
      <c r="I99" s="933"/>
      <c r="J99" s="936">
        <f>J97-J98</f>
        <v>-621579.23141781241</v>
      </c>
      <c r="K99" s="933"/>
      <c r="L99" s="933"/>
      <c r="M99" s="933"/>
      <c r="N99" s="933"/>
      <c r="O99" s="933"/>
      <c r="P99" s="933"/>
      <c r="Q99" s="936">
        <f>Q97-Q98</f>
        <v>0</v>
      </c>
    </row>
    <row r="100" spans="1:18">
      <c r="A100" s="895">
        <f t="shared" si="25"/>
        <v>92</v>
      </c>
      <c r="B100" s="941"/>
      <c r="C100" s="941"/>
      <c r="D100" s="941"/>
      <c r="E100" s="941"/>
      <c r="F100" s="941"/>
      <c r="G100" s="941"/>
      <c r="H100" s="941"/>
      <c r="I100" s="941"/>
      <c r="J100" s="941"/>
      <c r="K100" s="896"/>
      <c r="L100" s="896"/>
      <c r="M100" s="896"/>
      <c r="N100" s="896"/>
      <c r="O100" s="896"/>
      <c r="P100" s="896"/>
      <c r="Q100" s="941"/>
    </row>
    <row r="101" spans="1:18">
      <c r="A101" s="895">
        <f t="shared" si="25"/>
        <v>93</v>
      </c>
      <c r="B101" s="941"/>
      <c r="C101" s="941"/>
      <c r="D101" s="941"/>
      <c r="E101" s="941"/>
      <c r="F101" s="941"/>
      <c r="G101" s="941"/>
      <c r="H101" s="941"/>
      <c r="I101" s="941"/>
      <c r="J101" s="941"/>
      <c r="K101" s="896"/>
      <c r="L101" s="896"/>
      <c r="M101" s="896"/>
      <c r="N101" s="896"/>
      <c r="O101" s="896"/>
      <c r="P101" s="896"/>
      <c r="Q101" s="941"/>
    </row>
    <row r="102" spans="1:18" s="901" customFormat="1">
      <c r="A102" s="945">
        <f t="shared" si="25"/>
        <v>94</v>
      </c>
      <c r="B102" s="908"/>
      <c r="C102" s="908"/>
      <c r="D102" s="908"/>
      <c r="E102" s="908"/>
      <c r="F102" s="908"/>
      <c r="G102" s="908"/>
      <c r="H102" s="908"/>
      <c r="I102" s="908"/>
      <c r="J102" s="908"/>
      <c r="K102" s="908"/>
      <c r="L102" s="908"/>
      <c r="M102" s="908"/>
      <c r="N102" s="908"/>
      <c r="O102" s="908"/>
      <c r="P102" s="908"/>
      <c r="Q102" s="946"/>
    </row>
    <row r="103" spans="1:18">
      <c r="A103" s="895">
        <f t="shared" si="25"/>
        <v>95</v>
      </c>
      <c r="B103" s="1261" t="s">
        <v>1683</v>
      </c>
      <c r="C103" s="1261"/>
      <c r="D103" s="1261"/>
      <c r="E103" s="1261"/>
      <c r="F103" s="1261"/>
      <c r="G103" s="896"/>
      <c r="H103" s="942"/>
      <c r="I103" s="942"/>
      <c r="J103" s="942"/>
      <c r="K103" s="896"/>
      <c r="L103" s="943"/>
      <c r="M103" s="944"/>
      <c r="N103" s="944"/>
      <c r="O103" s="944"/>
      <c r="P103" s="944"/>
      <c r="Q103" s="944"/>
      <c r="R103" s="901"/>
    </row>
    <row r="104" spans="1:18">
      <c r="A104" s="895">
        <f t="shared" si="25"/>
        <v>96</v>
      </c>
      <c r="B104" s="1254" t="s">
        <v>1661</v>
      </c>
      <c r="C104" s="1255"/>
      <c r="D104" s="1255"/>
      <c r="E104" s="1255"/>
      <c r="F104" s="1256"/>
      <c r="G104" s="902"/>
      <c r="H104" s="1257" t="s">
        <v>1662</v>
      </c>
      <c r="I104" s="1258"/>
      <c r="J104" s="1259"/>
      <c r="K104" s="896"/>
      <c r="L104" s="1257" t="s">
        <v>1663</v>
      </c>
      <c r="M104" s="1258"/>
      <c r="N104" s="1258"/>
      <c r="O104" s="1258"/>
      <c r="P104" s="1258"/>
      <c r="Q104" s="1258"/>
    </row>
    <row r="105" spans="1:18">
      <c r="A105" s="895">
        <f t="shared" si="25"/>
        <v>97</v>
      </c>
      <c r="B105" s="903" t="s">
        <v>830</v>
      </c>
      <c r="C105" s="903" t="s">
        <v>831</v>
      </c>
      <c r="D105" s="903" t="s">
        <v>832</v>
      </c>
      <c r="E105" s="903" t="s">
        <v>833</v>
      </c>
      <c r="F105" s="903" t="s">
        <v>834</v>
      </c>
      <c r="G105" s="902"/>
      <c r="H105" s="903" t="s">
        <v>835</v>
      </c>
      <c r="I105" s="903" t="s">
        <v>836</v>
      </c>
      <c r="J105" s="903" t="s">
        <v>837</v>
      </c>
      <c r="K105" s="896"/>
      <c r="L105" s="903" t="s">
        <v>838</v>
      </c>
      <c r="M105" s="903" t="s">
        <v>839</v>
      </c>
      <c r="N105" s="903" t="s">
        <v>840</v>
      </c>
      <c r="O105" s="903" t="s">
        <v>841</v>
      </c>
      <c r="P105" s="903" t="s">
        <v>843</v>
      </c>
      <c r="Q105" s="903" t="s">
        <v>842</v>
      </c>
    </row>
    <row r="106" spans="1:18" ht="45">
      <c r="A106" s="895">
        <f t="shared" si="25"/>
        <v>98</v>
      </c>
      <c r="B106" s="905" t="s">
        <v>1352</v>
      </c>
      <c r="C106" s="905" t="s">
        <v>1587</v>
      </c>
      <c r="D106" s="905" t="s">
        <v>1664</v>
      </c>
      <c r="E106" s="905" t="s">
        <v>1665</v>
      </c>
      <c r="F106" s="905" t="s">
        <v>1666</v>
      </c>
      <c r="G106" s="906"/>
      <c r="H106" s="905" t="s">
        <v>1667</v>
      </c>
      <c r="I106" s="905" t="s">
        <v>1668</v>
      </c>
      <c r="J106" s="905" t="s">
        <v>1669</v>
      </c>
      <c r="K106" s="896"/>
      <c r="L106" s="905" t="s">
        <v>1670</v>
      </c>
      <c r="M106" s="905" t="s">
        <v>1671</v>
      </c>
      <c r="N106" s="905" t="s">
        <v>1672</v>
      </c>
      <c r="O106" s="905" t="s">
        <v>1673</v>
      </c>
      <c r="P106" s="905" t="s">
        <v>1674</v>
      </c>
      <c r="Q106" s="905" t="s">
        <v>1675</v>
      </c>
    </row>
    <row r="107" spans="1:18">
      <c r="A107" s="895">
        <f t="shared" si="25"/>
        <v>99</v>
      </c>
      <c r="B107" s="896"/>
      <c r="C107" s="906"/>
      <c r="D107" s="906"/>
      <c r="E107" s="906"/>
      <c r="F107" s="906"/>
      <c r="G107" s="906"/>
      <c r="H107" s="906"/>
      <c r="I107" s="906"/>
      <c r="J107" s="906"/>
      <c r="K107" s="896"/>
      <c r="L107" s="896"/>
      <c r="M107" s="896"/>
      <c r="N107" s="896"/>
      <c r="O107" s="896"/>
      <c r="P107" s="896"/>
      <c r="Q107" s="896"/>
    </row>
    <row r="108" spans="1:18">
      <c r="A108" s="895">
        <f t="shared" si="25"/>
        <v>100</v>
      </c>
      <c r="B108" s="1260" t="s">
        <v>1676</v>
      </c>
      <c r="C108" s="1260"/>
      <c r="D108" s="1260"/>
      <c r="E108" s="1260"/>
      <c r="F108" s="909"/>
      <c r="G108" s="909"/>
      <c r="H108" s="910"/>
      <c r="I108" s="910"/>
      <c r="J108" s="1163">
        <f>'WP_B-2'!C11</f>
        <v>-135893483.35000002</v>
      </c>
      <c r="K108" s="912"/>
      <c r="L108" s="910"/>
      <c r="M108" s="913"/>
      <c r="N108" s="913"/>
      <c r="O108" s="913"/>
      <c r="P108" s="913"/>
      <c r="Q108" s="911">
        <f>'WP_B-2'!C119</f>
        <v>0</v>
      </c>
    </row>
    <row r="109" spans="1:18">
      <c r="A109" s="895">
        <f t="shared" si="25"/>
        <v>101</v>
      </c>
      <c r="B109" s="914" t="s">
        <v>956</v>
      </c>
      <c r="C109" s="910">
        <v>31</v>
      </c>
      <c r="D109" s="915">
        <f t="shared" ref="D109:D117" si="38">D110+C110</f>
        <v>335</v>
      </c>
      <c r="E109" s="915">
        <f>SUM(C109:C120)</f>
        <v>365</v>
      </c>
      <c r="F109" s="916">
        <f>D109/E109</f>
        <v>0.9178082191780822</v>
      </c>
      <c r="G109" s="909"/>
      <c r="H109" s="1164">
        <f>('WP_B-2'!D11-'WP_B-2'!C11)/12</f>
        <v>208918.77250000215</v>
      </c>
      <c r="I109" s="910">
        <f>+H109*F109</f>
        <v>191747.36654109787</v>
      </c>
      <c r="J109" s="910">
        <f t="shared" ref="J109:J120" si="39">+I109+J108</f>
        <v>-135701735.98345894</v>
      </c>
      <c r="K109" s="896"/>
      <c r="L109" s="917">
        <f>('WP_B-2'!D119-'WP_B-2'!C119)/12</f>
        <v>0</v>
      </c>
      <c r="M109" s="913">
        <f>L109-H109</f>
        <v>-208918.77250000215</v>
      </c>
      <c r="N109" s="913">
        <f>IF(M109&lt;=0,+M109,0)</f>
        <v>-208918.77250000215</v>
      </c>
      <c r="O109" s="913">
        <f>IF(N109&lt;0,0,IF(L109&gt;0,0,(-(M109)*(D109/E109))))</f>
        <v>0</v>
      </c>
      <c r="P109" s="913">
        <f>IF(N109&lt;0,0,IF(L109&lt;0,0,(-(M109)*(D109/E109))))</f>
        <v>0</v>
      </c>
      <c r="Q109" s="913">
        <f>IF(L109&gt;0,Q108+P109,Q108+I109+N109-O109)</f>
        <v>-17171.405958904274</v>
      </c>
    </row>
    <row r="110" spans="1:18">
      <c r="A110" s="895">
        <f t="shared" si="25"/>
        <v>102</v>
      </c>
      <c r="B110" s="914" t="s">
        <v>904</v>
      </c>
      <c r="C110" s="917">
        <f>$C$17</f>
        <v>28</v>
      </c>
      <c r="D110" s="915">
        <f t="shared" si="38"/>
        <v>307</v>
      </c>
      <c r="E110" s="915">
        <f>E109</f>
        <v>365</v>
      </c>
      <c r="F110" s="916">
        <f t="shared" ref="F110:F120" si="40">D110/E110</f>
        <v>0.84109589041095889</v>
      </c>
      <c r="G110" s="909"/>
      <c r="H110" s="917">
        <f>$H$109</f>
        <v>208918.77250000215</v>
      </c>
      <c r="I110" s="910">
        <f t="shared" ref="I110:I120" si="41">+H110*F110</f>
        <v>175720.72097945385</v>
      </c>
      <c r="J110" s="910">
        <f t="shared" si="39"/>
        <v>-135526015.26247948</v>
      </c>
      <c r="K110" s="896"/>
      <c r="L110" s="917">
        <f>$L$109</f>
        <v>0</v>
      </c>
      <c r="M110" s="913">
        <f t="shared" ref="M110:M120" si="42">L110-H110</f>
        <v>-208918.77250000215</v>
      </c>
      <c r="N110" s="913">
        <f t="shared" ref="N110:N120" si="43">IF(M110&lt;=0,+M110,0)</f>
        <v>-208918.77250000215</v>
      </c>
      <c r="O110" s="913">
        <f t="shared" ref="O110:O120" si="44">IF(N110&lt;0,0,IF(L110&gt;0,0,(-(M110)*(D110/E110))))</f>
        <v>0</v>
      </c>
      <c r="P110" s="913">
        <f t="shared" ref="P110:P120" si="45">IF(N110&lt;0,0,IF(L110&lt;0,0,(-(M110)*(D110/E110))))</f>
        <v>0</v>
      </c>
      <c r="Q110" s="913">
        <f t="shared" ref="Q110:Q120" si="46">IF(L110&gt;0,Q109+P110,Q109+I110+N110-O110)</f>
        <v>-50369.457479452569</v>
      </c>
    </row>
    <row r="111" spans="1:18">
      <c r="A111" s="895">
        <f t="shared" si="25"/>
        <v>103</v>
      </c>
      <c r="B111" s="914" t="s">
        <v>905</v>
      </c>
      <c r="C111" s="910">
        <v>31</v>
      </c>
      <c r="D111" s="915">
        <f t="shared" si="38"/>
        <v>276</v>
      </c>
      <c r="E111" s="915">
        <f t="shared" ref="E111:E120" si="47">E110</f>
        <v>365</v>
      </c>
      <c r="F111" s="916">
        <f t="shared" si="40"/>
        <v>0.75616438356164384</v>
      </c>
      <c r="G111" s="909"/>
      <c r="H111" s="917">
        <f t="shared" ref="H111:H120" si="48">$H$109</f>
        <v>208918.77250000215</v>
      </c>
      <c r="I111" s="910">
        <f t="shared" si="41"/>
        <v>157976.93482191942</v>
      </c>
      <c r="J111" s="910">
        <f t="shared" si="39"/>
        <v>-135368038.32765755</v>
      </c>
      <c r="K111" s="896"/>
      <c r="L111" s="917">
        <f t="shared" ref="L111:L120" si="49">$L$109</f>
        <v>0</v>
      </c>
      <c r="M111" s="913">
        <f t="shared" si="42"/>
        <v>-208918.77250000215</v>
      </c>
      <c r="N111" s="913">
        <f t="shared" si="43"/>
        <v>-208918.77250000215</v>
      </c>
      <c r="O111" s="913">
        <f t="shared" si="44"/>
        <v>0</v>
      </c>
      <c r="P111" s="913">
        <f t="shared" si="45"/>
        <v>0</v>
      </c>
      <c r="Q111" s="913">
        <f t="shared" si="46"/>
        <v>-101311.29515753529</v>
      </c>
    </row>
    <row r="112" spans="1:18">
      <c r="A112" s="895">
        <f t="shared" si="25"/>
        <v>104</v>
      </c>
      <c r="B112" s="914" t="s">
        <v>906</v>
      </c>
      <c r="C112" s="910">
        <v>30</v>
      </c>
      <c r="D112" s="915">
        <f t="shared" si="38"/>
        <v>246</v>
      </c>
      <c r="E112" s="915">
        <f t="shared" si="47"/>
        <v>365</v>
      </c>
      <c r="F112" s="916">
        <f t="shared" si="40"/>
        <v>0.67397260273972603</v>
      </c>
      <c r="G112" s="909"/>
      <c r="H112" s="917">
        <f t="shared" si="48"/>
        <v>208918.77250000215</v>
      </c>
      <c r="I112" s="910">
        <f t="shared" si="41"/>
        <v>140805.52886301515</v>
      </c>
      <c r="J112" s="910">
        <f t="shared" si="39"/>
        <v>-135227232.79879454</v>
      </c>
      <c r="K112" s="896"/>
      <c r="L112" s="917">
        <f t="shared" si="49"/>
        <v>0</v>
      </c>
      <c r="M112" s="913">
        <f t="shared" si="42"/>
        <v>-208918.77250000215</v>
      </c>
      <c r="N112" s="913">
        <f t="shared" si="43"/>
        <v>-208918.77250000215</v>
      </c>
      <c r="O112" s="913">
        <f t="shared" si="44"/>
        <v>0</v>
      </c>
      <c r="P112" s="913">
        <f t="shared" si="45"/>
        <v>0</v>
      </c>
      <c r="Q112" s="913">
        <f t="shared" si="46"/>
        <v>-169424.53879452229</v>
      </c>
    </row>
    <row r="113" spans="1:17">
      <c r="A113" s="895">
        <f t="shared" si="25"/>
        <v>105</v>
      </c>
      <c r="B113" s="914" t="s">
        <v>907</v>
      </c>
      <c r="C113" s="910">
        <v>31</v>
      </c>
      <c r="D113" s="915">
        <f t="shared" si="38"/>
        <v>215</v>
      </c>
      <c r="E113" s="915">
        <f t="shared" si="47"/>
        <v>365</v>
      </c>
      <c r="F113" s="916">
        <f t="shared" si="40"/>
        <v>0.58904109589041098</v>
      </c>
      <c r="G113" s="909"/>
      <c r="H113" s="917">
        <f t="shared" si="48"/>
        <v>208918.77250000215</v>
      </c>
      <c r="I113" s="910">
        <f t="shared" si="41"/>
        <v>123061.74270548072</v>
      </c>
      <c r="J113" s="910">
        <f t="shared" si="39"/>
        <v>-135104171.05608904</v>
      </c>
      <c r="K113" s="896"/>
      <c r="L113" s="917">
        <f t="shared" si="49"/>
        <v>0</v>
      </c>
      <c r="M113" s="913">
        <f t="shared" si="42"/>
        <v>-208918.77250000215</v>
      </c>
      <c r="N113" s="913">
        <f t="shared" si="43"/>
        <v>-208918.77250000215</v>
      </c>
      <c r="O113" s="913">
        <f t="shared" si="44"/>
        <v>0</v>
      </c>
      <c r="P113" s="913">
        <f t="shared" si="45"/>
        <v>0</v>
      </c>
      <c r="Q113" s="913">
        <f t="shared" si="46"/>
        <v>-255281.56858904372</v>
      </c>
    </row>
    <row r="114" spans="1:17">
      <c r="A114" s="895">
        <f t="shared" si="25"/>
        <v>106</v>
      </c>
      <c r="B114" s="914" t="s">
        <v>908</v>
      </c>
      <c r="C114" s="910">
        <v>30</v>
      </c>
      <c r="D114" s="915">
        <f t="shared" si="38"/>
        <v>185</v>
      </c>
      <c r="E114" s="915">
        <f t="shared" si="47"/>
        <v>365</v>
      </c>
      <c r="F114" s="916">
        <f t="shared" si="40"/>
        <v>0.50684931506849318</v>
      </c>
      <c r="G114" s="909"/>
      <c r="H114" s="917">
        <f t="shared" si="48"/>
        <v>208918.77250000215</v>
      </c>
      <c r="I114" s="910">
        <f t="shared" si="41"/>
        <v>105890.33674657643</v>
      </c>
      <c r="J114" s="910">
        <f t="shared" si="39"/>
        <v>-134998280.71934247</v>
      </c>
      <c r="K114" s="896"/>
      <c r="L114" s="917">
        <f t="shared" si="49"/>
        <v>0</v>
      </c>
      <c r="M114" s="913">
        <f t="shared" si="42"/>
        <v>-208918.77250000215</v>
      </c>
      <c r="N114" s="913">
        <f t="shared" si="43"/>
        <v>-208918.77250000215</v>
      </c>
      <c r="O114" s="913">
        <f t="shared" si="44"/>
        <v>0</v>
      </c>
      <c r="P114" s="913">
        <f t="shared" si="45"/>
        <v>0</v>
      </c>
      <c r="Q114" s="913">
        <f t="shared" si="46"/>
        <v>-358310.00434246939</v>
      </c>
    </row>
    <row r="115" spans="1:17">
      <c r="A115" s="895">
        <f t="shared" si="25"/>
        <v>107</v>
      </c>
      <c r="B115" s="914" t="s">
        <v>909</v>
      </c>
      <c r="C115" s="910">
        <v>31</v>
      </c>
      <c r="D115" s="915">
        <f t="shared" si="38"/>
        <v>154</v>
      </c>
      <c r="E115" s="915">
        <f t="shared" si="47"/>
        <v>365</v>
      </c>
      <c r="F115" s="916">
        <f t="shared" si="40"/>
        <v>0.42191780821917807</v>
      </c>
      <c r="G115" s="909"/>
      <c r="H115" s="917">
        <f t="shared" si="48"/>
        <v>208918.77250000215</v>
      </c>
      <c r="I115" s="910">
        <f t="shared" si="41"/>
        <v>88146.550589042003</v>
      </c>
      <c r="J115" s="910">
        <f t="shared" si="39"/>
        <v>-134910134.16875342</v>
      </c>
      <c r="K115" s="896"/>
      <c r="L115" s="917">
        <f t="shared" si="49"/>
        <v>0</v>
      </c>
      <c r="M115" s="913">
        <f t="shared" si="42"/>
        <v>-208918.77250000215</v>
      </c>
      <c r="N115" s="913">
        <f t="shared" si="43"/>
        <v>-208918.77250000215</v>
      </c>
      <c r="O115" s="913">
        <f t="shared" si="44"/>
        <v>0</v>
      </c>
      <c r="P115" s="913">
        <f t="shared" si="45"/>
        <v>0</v>
      </c>
      <c r="Q115" s="913">
        <f t="shared" si="46"/>
        <v>-479082.22625342954</v>
      </c>
    </row>
    <row r="116" spans="1:17">
      <c r="A116" s="895">
        <f t="shared" si="25"/>
        <v>108</v>
      </c>
      <c r="B116" s="914" t="s">
        <v>910</v>
      </c>
      <c r="C116" s="910">
        <v>31</v>
      </c>
      <c r="D116" s="915">
        <f t="shared" si="38"/>
        <v>123</v>
      </c>
      <c r="E116" s="915">
        <f t="shared" si="47"/>
        <v>365</v>
      </c>
      <c r="F116" s="916">
        <f t="shared" si="40"/>
        <v>0.33698630136986302</v>
      </c>
      <c r="G116" s="909"/>
      <c r="H116" s="917">
        <f t="shared" si="48"/>
        <v>208918.77250000215</v>
      </c>
      <c r="I116" s="910">
        <f t="shared" si="41"/>
        <v>70402.764431507574</v>
      </c>
      <c r="J116" s="910">
        <f t="shared" si="39"/>
        <v>-134839731.40432191</v>
      </c>
      <c r="K116" s="896"/>
      <c r="L116" s="917">
        <f t="shared" si="49"/>
        <v>0</v>
      </c>
      <c r="M116" s="913">
        <f t="shared" si="42"/>
        <v>-208918.77250000215</v>
      </c>
      <c r="N116" s="913">
        <f t="shared" si="43"/>
        <v>-208918.77250000215</v>
      </c>
      <c r="O116" s="913">
        <f t="shared" si="44"/>
        <v>0</v>
      </c>
      <c r="P116" s="913">
        <f t="shared" si="45"/>
        <v>0</v>
      </c>
      <c r="Q116" s="913">
        <f t="shared" si="46"/>
        <v>-617598.23432192416</v>
      </c>
    </row>
    <row r="117" spans="1:17">
      <c r="A117" s="895">
        <f t="shared" si="25"/>
        <v>109</v>
      </c>
      <c r="B117" s="914" t="s">
        <v>911</v>
      </c>
      <c r="C117" s="910">
        <v>30</v>
      </c>
      <c r="D117" s="915">
        <f t="shared" si="38"/>
        <v>93</v>
      </c>
      <c r="E117" s="915">
        <f t="shared" si="47"/>
        <v>365</v>
      </c>
      <c r="F117" s="916">
        <f t="shared" si="40"/>
        <v>0.25479452054794521</v>
      </c>
      <c r="G117" s="909"/>
      <c r="H117" s="917">
        <f t="shared" si="48"/>
        <v>208918.77250000215</v>
      </c>
      <c r="I117" s="910">
        <f t="shared" si="41"/>
        <v>53231.358472603286</v>
      </c>
      <c r="J117" s="910">
        <f t="shared" si="39"/>
        <v>-134786500.04584929</v>
      </c>
      <c r="K117" s="896"/>
      <c r="L117" s="917">
        <f t="shared" si="49"/>
        <v>0</v>
      </c>
      <c r="M117" s="913">
        <f t="shared" si="42"/>
        <v>-208918.77250000215</v>
      </c>
      <c r="N117" s="913">
        <f t="shared" si="43"/>
        <v>-208918.77250000215</v>
      </c>
      <c r="O117" s="913">
        <f t="shared" si="44"/>
        <v>0</v>
      </c>
      <c r="P117" s="913">
        <f t="shared" si="45"/>
        <v>0</v>
      </c>
      <c r="Q117" s="913">
        <f t="shared" si="46"/>
        <v>-773285.64834932308</v>
      </c>
    </row>
    <row r="118" spans="1:17">
      <c r="A118" s="895">
        <f t="shared" si="25"/>
        <v>110</v>
      </c>
      <c r="B118" s="914" t="s">
        <v>912</v>
      </c>
      <c r="C118" s="910">
        <v>31</v>
      </c>
      <c r="D118" s="915">
        <f>D119+C119</f>
        <v>62</v>
      </c>
      <c r="E118" s="915">
        <f t="shared" si="47"/>
        <v>365</v>
      </c>
      <c r="F118" s="916">
        <f t="shared" si="40"/>
        <v>0.16986301369863013</v>
      </c>
      <c r="G118" s="909"/>
      <c r="H118" s="917">
        <f t="shared" si="48"/>
        <v>208918.77250000215</v>
      </c>
      <c r="I118" s="910">
        <f t="shared" si="41"/>
        <v>35487.572315068857</v>
      </c>
      <c r="J118" s="910">
        <f t="shared" si="39"/>
        <v>-134751012.47353423</v>
      </c>
      <c r="K118" s="896"/>
      <c r="L118" s="917">
        <f t="shared" si="49"/>
        <v>0</v>
      </c>
      <c r="M118" s="913">
        <f t="shared" si="42"/>
        <v>-208918.77250000215</v>
      </c>
      <c r="N118" s="913">
        <f t="shared" si="43"/>
        <v>-208918.77250000215</v>
      </c>
      <c r="O118" s="913">
        <f t="shared" si="44"/>
        <v>0</v>
      </c>
      <c r="P118" s="913">
        <f t="shared" si="45"/>
        <v>0</v>
      </c>
      <c r="Q118" s="913">
        <f t="shared" si="46"/>
        <v>-946716.84853425634</v>
      </c>
    </row>
    <row r="119" spans="1:17">
      <c r="A119" s="895">
        <f t="shared" si="25"/>
        <v>111</v>
      </c>
      <c r="B119" s="914" t="s">
        <v>913</v>
      </c>
      <c r="C119" s="910">
        <v>30</v>
      </c>
      <c r="D119" s="915">
        <f>D120+C120</f>
        <v>32</v>
      </c>
      <c r="E119" s="915">
        <f t="shared" si="47"/>
        <v>365</v>
      </c>
      <c r="F119" s="916">
        <f t="shared" si="40"/>
        <v>8.7671232876712329E-2</v>
      </c>
      <c r="G119" s="909"/>
      <c r="H119" s="917">
        <f t="shared" si="48"/>
        <v>208918.77250000215</v>
      </c>
      <c r="I119" s="910">
        <f t="shared" si="41"/>
        <v>18316.166356164573</v>
      </c>
      <c r="J119" s="910">
        <f t="shared" si="39"/>
        <v>-134732696.30717805</v>
      </c>
      <c r="K119" s="896"/>
      <c r="L119" s="917">
        <f t="shared" si="49"/>
        <v>0</v>
      </c>
      <c r="M119" s="913">
        <f t="shared" si="42"/>
        <v>-208918.77250000215</v>
      </c>
      <c r="N119" s="913">
        <f t="shared" si="43"/>
        <v>-208918.77250000215</v>
      </c>
      <c r="O119" s="913">
        <f t="shared" si="44"/>
        <v>0</v>
      </c>
      <c r="P119" s="913">
        <f t="shared" si="45"/>
        <v>0</v>
      </c>
      <c r="Q119" s="913">
        <f t="shared" si="46"/>
        <v>-1137319.4546780938</v>
      </c>
    </row>
    <row r="120" spans="1:17">
      <c r="A120" s="895">
        <f t="shared" si="25"/>
        <v>112</v>
      </c>
      <c r="B120" s="914" t="s">
        <v>914</v>
      </c>
      <c r="C120" s="910">
        <v>31</v>
      </c>
      <c r="D120" s="915">
        <v>1</v>
      </c>
      <c r="E120" s="915">
        <f t="shared" si="47"/>
        <v>365</v>
      </c>
      <c r="F120" s="916">
        <f t="shared" si="40"/>
        <v>2.7397260273972603E-3</v>
      </c>
      <c r="G120" s="909"/>
      <c r="H120" s="917">
        <f t="shared" si="48"/>
        <v>208918.77250000215</v>
      </c>
      <c r="I120" s="910">
        <f t="shared" si="41"/>
        <v>572.3801986301429</v>
      </c>
      <c r="J120" s="910">
        <f t="shared" si="39"/>
        <v>-134732123.92697942</v>
      </c>
      <c r="K120" s="896"/>
      <c r="L120" s="917">
        <f t="shared" si="49"/>
        <v>0</v>
      </c>
      <c r="M120" s="913">
        <f t="shared" si="42"/>
        <v>-208918.77250000215</v>
      </c>
      <c r="N120" s="913">
        <f t="shared" si="43"/>
        <v>-208918.77250000215</v>
      </c>
      <c r="O120" s="913">
        <f t="shared" si="44"/>
        <v>0</v>
      </c>
      <c r="P120" s="913">
        <f t="shared" si="45"/>
        <v>0</v>
      </c>
      <c r="Q120" s="913">
        <f t="shared" si="46"/>
        <v>-1345665.8469794658</v>
      </c>
    </row>
    <row r="121" spans="1:17">
      <c r="A121" s="895">
        <f t="shared" si="25"/>
        <v>113</v>
      </c>
      <c r="B121" s="918"/>
      <c r="C121" s="918" t="s">
        <v>795</v>
      </c>
      <c r="D121" s="919">
        <f>+SUM(D109:D120)</f>
        <v>2029</v>
      </c>
      <c r="E121" s="919">
        <f>+SUM(E109:E120)</f>
        <v>4380</v>
      </c>
      <c r="F121" s="920"/>
      <c r="G121" s="909"/>
      <c r="H121" s="921">
        <f>SUM(H109:H120)</f>
        <v>2507025.2700000256</v>
      </c>
      <c r="I121" s="921">
        <f>SUM(I109:I120)</f>
        <v>1161359.4230205598</v>
      </c>
      <c r="J121" s="920"/>
      <c r="K121" s="896"/>
      <c r="L121" s="922">
        <f>SUM(L109:L120)</f>
        <v>0</v>
      </c>
      <c r="M121" s="922">
        <f>SUM(M109:M120)</f>
        <v>-2507025.2700000256</v>
      </c>
      <c r="N121" s="922">
        <f>SUM(N109:N120)</f>
        <v>-2507025.2700000256</v>
      </c>
      <c r="O121" s="922">
        <f>SUM(O109:O120)</f>
        <v>0</v>
      </c>
      <c r="P121" s="922">
        <f>SUM(P109:P120)</f>
        <v>0</v>
      </c>
      <c r="Q121" s="922"/>
    </row>
    <row r="122" spans="1:17">
      <c r="A122" s="895">
        <f t="shared" si="25"/>
        <v>114</v>
      </c>
      <c r="B122" s="924"/>
      <c r="C122" s="924"/>
      <c r="D122" s="925"/>
      <c r="E122" s="925"/>
      <c r="F122" s="926"/>
      <c r="G122" s="909"/>
      <c r="H122" s="910"/>
      <c r="I122" s="910"/>
      <c r="J122" s="926"/>
      <c r="K122" s="896"/>
      <c r="L122" s="928"/>
      <c r="M122" s="928"/>
      <c r="N122" s="928"/>
      <c r="O122" s="928"/>
      <c r="P122" s="928"/>
      <c r="Q122" s="928"/>
    </row>
    <row r="123" spans="1:17">
      <c r="A123" s="895">
        <f t="shared" si="25"/>
        <v>115</v>
      </c>
      <c r="B123" s="896" t="s">
        <v>1677</v>
      </c>
      <c r="C123" s="924"/>
      <c r="D123" s="925"/>
      <c r="E123" s="929">
        <f>1-(D121/E121)</f>
        <v>0.53675799086757991</v>
      </c>
      <c r="F123" s="926"/>
      <c r="G123" s="909"/>
      <c r="H123" s="910"/>
      <c r="I123" s="910"/>
      <c r="J123" s="926"/>
      <c r="K123" s="896"/>
      <c r="L123" s="928"/>
      <c r="M123" s="928"/>
      <c r="N123" s="928"/>
      <c r="O123" s="928"/>
      <c r="P123" s="928"/>
      <c r="Q123" s="928"/>
    </row>
    <row r="124" spans="1:17">
      <c r="A124" s="895">
        <f t="shared" si="25"/>
        <v>116</v>
      </c>
      <c r="B124" s="924"/>
      <c r="C124" s="924"/>
      <c r="D124" s="924"/>
      <c r="E124" s="924"/>
      <c r="F124" s="926"/>
      <c r="G124" s="926"/>
      <c r="H124" s="931"/>
      <c r="I124" s="932"/>
      <c r="J124" s="926"/>
      <c r="K124" s="896"/>
      <c r="L124" s="896"/>
      <c r="M124" s="896"/>
      <c r="N124" s="896"/>
      <c r="O124" s="896"/>
      <c r="P124" s="896"/>
      <c r="Q124" s="896"/>
    </row>
    <row r="125" spans="1:17">
      <c r="A125" s="895">
        <f t="shared" si="25"/>
        <v>117</v>
      </c>
      <c r="B125" s="930"/>
      <c r="C125" s="924"/>
      <c r="D125" s="896"/>
      <c r="E125" s="924"/>
      <c r="F125" s="896"/>
      <c r="G125" s="926"/>
      <c r="H125" s="931"/>
      <c r="I125" s="932"/>
      <c r="J125" s="925"/>
      <c r="K125" s="896"/>
      <c r="L125" s="896"/>
      <c r="M125" s="896"/>
      <c r="N125" s="896"/>
      <c r="O125" s="896"/>
      <c r="P125" s="896"/>
      <c r="Q125" s="925"/>
    </row>
    <row r="126" spans="1:17" customFormat="1">
      <c r="A126" s="895">
        <f t="shared" si="25"/>
        <v>118</v>
      </c>
      <c r="B126" s="933" t="s">
        <v>1678</v>
      </c>
      <c r="C126" s="933"/>
      <c r="D126" s="933"/>
      <c r="E126" s="933"/>
      <c r="F126" s="934" t="str">
        <f>"(Line "&amp;A108&amp;", Col H)"</f>
        <v>(Line 100, Col H)</v>
      </c>
      <c r="G126" s="935"/>
      <c r="H126" s="933"/>
      <c r="I126" s="935"/>
      <c r="J126" s="913">
        <f>J108</f>
        <v>-135893483.35000002</v>
      </c>
      <c r="K126" s="933"/>
      <c r="L126" s="933"/>
      <c r="M126" s="933"/>
      <c r="N126" s="934" t="str">
        <f>"(Line "&amp;A108&amp;", Col N)"</f>
        <v>(Line 100, Col N)</v>
      </c>
      <c r="O126" s="933"/>
      <c r="P126" s="933"/>
      <c r="Q126" s="913">
        <f>Q108</f>
        <v>0</v>
      </c>
    </row>
    <row r="127" spans="1:17" customFormat="1">
      <c r="A127" s="895">
        <f t="shared" si="25"/>
        <v>119</v>
      </c>
      <c r="B127" s="933" t="s">
        <v>1679</v>
      </c>
      <c r="C127" s="933"/>
      <c r="D127" s="933"/>
      <c r="E127" s="933"/>
      <c r="F127" s="934" t="str">
        <f>"(Line "&amp;A120&amp;", Col H)"</f>
        <v>(Line 112, Col H)</v>
      </c>
      <c r="G127" s="935"/>
      <c r="H127" s="933"/>
      <c r="I127" s="935"/>
      <c r="J127" s="910">
        <f>J120</f>
        <v>-134732123.92697942</v>
      </c>
      <c r="K127" s="933"/>
      <c r="L127" s="936"/>
      <c r="M127" s="933"/>
      <c r="N127" s="934" t="str">
        <f>"(Line "&amp;A120&amp;", Col N)"</f>
        <v>(Line 112, Col N)</v>
      </c>
      <c r="O127" s="933"/>
      <c r="P127" s="933"/>
      <c r="Q127" s="910">
        <f>Q120</f>
        <v>-1345665.8469794658</v>
      </c>
    </row>
    <row r="128" spans="1:17" customFormat="1">
      <c r="A128" s="895">
        <f t="shared" si="25"/>
        <v>120</v>
      </c>
      <c r="B128" s="933" t="s">
        <v>1680</v>
      </c>
      <c r="C128" s="933"/>
      <c r="D128" s="933"/>
      <c r="E128" s="933"/>
      <c r="F128" s="933" t="str">
        <f>"(Average of Line "&amp;A126&amp;" &amp; Line "&amp;A127&amp;")"</f>
        <v>(Average of Line 118 &amp; Line 119)</v>
      </c>
      <c r="G128" s="935"/>
      <c r="H128" s="933"/>
      <c r="I128" s="937"/>
      <c r="J128" s="938">
        <f>(J126+J127)/2</f>
        <v>-135312803.63848972</v>
      </c>
      <c r="K128" s="933"/>
      <c r="L128" s="939"/>
      <c r="M128" s="933"/>
      <c r="N128" s="933" t="str">
        <f>"(Average of Line "&amp;A126&amp;" &amp; Line "&amp;A127&amp;")"</f>
        <v>(Average of Line 118 &amp; Line 119)</v>
      </c>
      <c r="O128" s="933"/>
      <c r="P128" s="933"/>
      <c r="Q128" s="938">
        <f>(Q126+Q127)/2</f>
        <v>-672832.9234897329</v>
      </c>
    </row>
    <row r="129" spans="1:18" customFormat="1" ht="13.5" customHeight="1">
      <c r="A129" s="895">
        <f t="shared" si="25"/>
        <v>121</v>
      </c>
      <c r="B129" s="933" t="s">
        <v>1681</v>
      </c>
      <c r="C129" s="933"/>
      <c r="D129" s="933"/>
      <c r="E129" s="933"/>
      <c r="F129" s="933" t="s">
        <v>1826</v>
      </c>
      <c r="G129" s="933"/>
      <c r="H129" s="933"/>
      <c r="I129" s="933"/>
      <c r="J129" s="940">
        <f>AVERAGE(J108, (SUM(H109:H120)+J108))</f>
        <v>-134639970.715</v>
      </c>
      <c r="K129" s="933"/>
      <c r="L129" s="933"/>
      <c r="M129" s="933"/>
      <c r="N129" s="933" t="s">
        <v>1826</v>
      </c>
      <c r="O129" s="933"/>
      <c r="P129" s="933"/>
      <c r="Q129" s="940">
        <f>AVERAGE(Q108, (SUM(L109:L120)+Q108))</f>
        <v>0</v>
      </c>
    </row>
    <row r="130" spans="1:18" customFormat="1" ht="13.5" customHeight="1">
      <c r="A130" s="895">
        <f t="shared" si="25"/>
        <v>122</v>
      </c>
      <c r="B130" s="933" t="s">
        <v>1682</v>
      </c>
      <c r="C130" s="933"/>
      <c r="D130" s="933"/>
      <c r="E130" s="933"/>
      <c r="F130" s="933"/>
      <c r="G130" s="933"/>
      <c r="H130" s="933"/>
      <c r="I130" s="933"/>
      <c r="J130" s="936">
        <f>J128-J129</f>
        <v>-672832.92348971963</v>
      </c>
      <c r="K130" s="933"/>
      <c r="L130" s="933"/>
      <c r="M130" s="933"/>
      <c r="N130" s="933"/>
      <c r="O130" s="933"/>
      <c r="P130" s="933"/>
      <c r="Q130" s="936">
        <v>0</v>
      </c>
    </row>
    <row r="131" spans="1:18">
      <c r="A131" s="895">
        <f t="shared" si="25"/>
        <v>123</v>
      </c>
      <c r="B131" s="941"/>
      <c r="C131" s="941"/>
      <c r="D131" s="941"/>
      <c r="E131" s="941"/>
      <c r="F131" s="941"/>
      <c r="G131" s="941"/>
      <c r="H131" s="941"/>
      <c r="I131" s="941"/>
      <c r="J131" s="941"/>
      <c r="K131" s="896"/>
      <c r="L131" s="896"/>
      <c r="M131" s="896"/>
      <c r="N131" s="896"/>
      <c r="O131" s="896"/>
      <c r="P131" s="896"/>
      <c r="Q131" s="941"/>
    </row>
    <row r="132" spans="1:18">
      <c r="A132" s="895">
        <f t="shared" si="25"/>
        <v>124</v>
      </c>
      <c r="B132" s="941"/>
      <c r="C132" s="941"/>
      <c r="D132" s="941"/>
      <c r="E132" s="941"/>
      <c r="F132" s="941"/>
      <c r="G132" s="941"/>
      <c r="H132" s="941"/>
      <c r="I132" s="941"/>
      <c r="J132" s="941"/>
      <c r="K132" s="896"/>
      <c r="L132" s="896"/>
      <c r="M132" s="896"/>
      <c r="N132" s="896"/>
      <c r="O132" s="896"/>
      <c r="P132" s="896"/>
      <c r="Q132" s="941"/>
    </row>
    <row r="133" spans="1:18">
      <c r="A133" s="895">
        <f t="shared" si="25"/>
        <v>125</v>
      </c>
      <c r="B133" s="1252" t="s">
        <v>1684</v>
      </c>
      <c r="C133" s="1252"/>
      <c r="D133" s="1252"/>
      <c r="E133" s="1252"/>
      <c r="F133" s="896"/>
      <c r="G133" s="896"/>
      <c r="H133" s="942"/>
      <c r="I133" s="942"/>
      <c r="J133" s="942"/>
      <c r="K133" s="896"/>
      <c r="L133" s="943"/>
      <c r="M133" s="944"/>
      <c r="N133" s="944"/>
      <c r="O133" s="944"/>
      <c r="P133" s="944"/>
      <c r="Q133" s="944"/>
      <c r="R133" s="901"/>
    </row>
    <row r="134" spans="1:18">
      <c r="A134" s="895">
        <f t="shared" si="25"/>
        <v>126</v>
      </c>
      <c r="B134" s="1253" t="s">
        <v>1305</v>
      </c>
      <c r="C134" s="1253"/>
      <c r="D134" s="1253"/>
      <c r="E134" s="1253"/>
      <c r="F134" s="896"/>
      <c r="G134" s="896"/>
      <c r="H134" s="942"/>
      <c r="I134" s="942"/>
      <c r="J134" s="942"/>
      <c r="K134" s="896"/>
      <c r="L134" s="943"/>
      <c r="M134" s="944"/>
      <c r="N134" s="944"/>
      <c r="O134" s="944"/>
      <c r="P134" s="944"/>
      <c r="Q134" s="944"/>
      <c r="R134" s="901"/>
    </row>
    <row r="135" spans="1:18">
      <c r="A135" s="895">
        <f t="shared" si="25"/>
        <v>127</v>
      </c>
      <c r="B135" s="1254" t="s">
        <v>1661</v>
      </c>
      <c r="C135" s="1255"/>
      <c r="D135" s="1255"/>
      <c r="E135" s="1255"/>
      <c r="F135" s="1256"/>
      <c r="G135" s="902"/>
      <c r="H135" s="1257" t="s">
        <v>1662</v>
      </c>
      <c r="I135" s="1258"/>
      <c r="J135" s="1259"/>
      <c r="K135" s="896"/>
      <c r="L135" s="1257" t="s">
        <v>1663</v>
      </c>
      <c r="M135" s="1258"/>
      <c r="N135" s="1258"/>
      <c r="O135" s="1258"/>
      <c r="P135" s="1258"/>
      <c r="Q135" s="1258"/>
    </row>
    <row r="136" spans="1:18">
      <c r="A136" s="895">
        <f t="shared" si="25"/>
        <v>128</v>
      </c>
      <c r="B136" s="903" t="s">
        <v>830</v>
      </c>
      <c r="C136" s="903" t="s">
        <v>831</v>
      </c>
      <c r="D136" s="903" t="s">
        <v>832</v>
      </c>
      <c r="E136" s="903" t="s">
        <v>833</v>
      </c>
      <c r="F136" s="903" t="s">
        <v>834</v>
      </c>
      <c r="G136" s="902"/>
      <c r="H136" s="903" t="s">
        <v>835</v>
      </c>
      <c r="I136" s="903" t="s">
        <v>836</v>
      </c>
      <c r="J136" s="903" t="s">
        <v>837</v>
      </c>
      <c r="K136" s="896"/>
      <c r="L136" s="903" t="s">
        <v>838</v>
      </c>
      <c r="M136" s="903" t="s">
        <v>839</v>
      </c>
      <c r="N136" s="903" t="s">
        <v>840</v>
      </c>
      <c r="O136" s="903" t="s">
        <v>841</v>
      </c>
      <c r="P136" s="903" t="s">
        <v>843</v>
      </c>
      <c r="Q136" s="903" t="s">
        <v>842</v>
      </c>
    </row>
    <row r="137" spans="1:18" ht="45">
      <c r="A137" s="895">
        <f t="shared" si="25"/>
        <v>129</v>
      </c>
      <c r="B137" s="905" t="s">
        <v>1352</v>
      </c>
      <c r="C137" s="905" t="s">
        <v>1587</v>
      </c>
      <c r="D137" s="905" t="s">
        <v>1664</v>
      </c>
      <c r="E137" s="905" t="s">
        <v>1665</v>
      </c>
      <c r="F137" s="905" t="s">
        <v>1666</v>
      </c>
      <c r="G137" s="906"/>
      <c r="H137" s="905" t="s">
        <v>1667</v>
      </c>
      <c r="I137" s="905" t="s">
        <v>1668</v>
      </c>
      <c r="J137" s="905" t="s">
        <v>1669</v>
      </c>
      <c r="K137" s="896"/>
      <c r="L137" s="905" t="s">
        <v>1670</v>
      </c>
      <c r="M137" s="905" t="s">
        <v>1671</v>
      </c>
      <c r="N137" s="905" t="s">
        <v>1672</v>
      </c>
      <c r="O137" s="905" t="s">
        <v>1673</v>
      </c>
      <c r="P137" s="905" t="s">
        <v>1674</v>
      </c>
      <c r="Q137" s="905" t="s">
        <v>1675</v>
      </c>
    </row>
    <row r="138" spans="1:18">
      <c r="A138" s="895">
        <f t="shared" si="25"/>
        <v>130</v>
      </c>
      <c r="B138" s="896"/>
      <c r="C138" s="906"/>
      <c r="D138" s="906"/>
      <c r="E138" s="906"/>
      <c r="F138" s="906"/>
      <c r="G138" s="906"/>
      <c r="H138" s="906"/>
      <c r="I138" s="906"/>
      <c r="J138" s="906"/>
      <c r="K138" s="896"/>
      <c r="L138" s="896"/>
      <c r="M138" s="896"/>
      <c r="N138" s="896"/>
      <c r="O138" s="896"/>
      <c r="P138" s="896"/>
      <c r="Q138" s="896"/>
    </row>
    <row r="139" spans="1:18">
      <c r="A139" s="895">
        <f t="shared" ref="A139:A202" si="50">+A138+1</f>
        <v>131</v>
      </c>
      <c r="B139" s="1260" t="s">
        <v>1676</v>
      </c>
      <c r="C139" s="1260"/>
      <c r="D139" s="1260"/>
      <c r="E139" s="1260"/>
      <c r="F139" s="909"/>
      <c r="G139" s="909"/>
      <c r="H139" s="910"/>
      <c r="I139" s="910"/>
      <c r="J139" s="1163">
        <f>+'WP_B-2'!C19</f>
        <v>-486931845.82000017</v>
      </c>
      <c r="K139" s="912"/>
      <c r="L139" s="910"/>
      <c r="M139" s="913"/>
      <c r="N139" s="913"/>
      <c r="O139" s="913"/>
      <c r="P139" s="913"/>
      <c r="Q139" s="911">
        <f>'WP_B-2'!C125</f>
        <v>0</v>
      </c>
    </row>
    <row r="140" spans="1:18">
      <c r="A140" s="895">
        <f t="shared" si="50"/>
        <v>132</v>
      </c>
      <c r="B140" s="914" t="s">
        <v>956</v>
      </c>
      <c r="C140" s="910">
        <v>31</v>
      </c>
      <c r="D140" s="915">
        <f t="shared" ref="D140:D148" si="51">D141+C141</f>
        <v>335</v>
      </c>
      <c r="E140" s="915">
        <f>SUM(C140:C151)</f>
        <v>365</v>
      </c>
      <c r="F140" s="916">
        <f>D140/E140</f>
        <v>0.9178082191780822</v>
      </c>
      <c r="G140" s="909"/>
      <c r="H140" s="1164">
        <f>('WP_B-2'!D19-'WP_B-2'!C19)/12</f>
        <v>-4540945.4625000358</v>
      </c>
      <c r="I140" s="910">
        <f>+H140*F140</f>
        <v>-4167717.0683219507</v>
      </c>
      <c r="J140" s="910">
        <f t="shared" ref="J140:J151" si="52">+I140+J139</f>
        <v>-491099562.88832211</v>
      </c>
      <c r="K140" s="896"/>
      <c r="L140" s="917">
        <f>('WP_B-2'!D125-'WP_B-2'!C125)/12</f>
        <v>0</v>
      </c>
      <c r="M140" s="913">
        <f>L140-H140</f>
        <v>4540945.4625000358</v>
      </c>
      <c r="N140" s="913">
        <f>IF(M140&lt;=0,+M140,0)</f>
        <v>0</v>
      </c>
      <c r="O140" s="913">
        <f>IF(N140&lt;0,0,IF(L140&gt;0,0,(-(M140)*(D140/E140))))</f>
        <v>-4167717.0683219507</v>
      </c>
      <c r="P140" s="913">
        <f>IF(N140&lt;0,0,IF(L140&lt;0,0,(-(M140)*(D140/E140))))</f>
        <v>-4167717.0683219507</v>
      </c>
      <c r="Q140" s="913">
        <f>IF(L140&gt;0,Q139+P140,Q139+I140+N140-O140)</f>
        <v>0</v>
      </c>
    </row>
    <row r="141" spans="1:18">
      <c r="A141" s="895">
        <f t="shared" si="50"/>
        <v>133</v>
      </c>
      <c r="B141" s="914" t="s">
        <v>904</v>
      </c>
      <c r="C141" s="917">
        <f>$C$17</f>
        <v>28</v>
      </c>
      <c r="D141" s="915">
        <f t="shared" si="51"/>
        <v>307</v>
      </c>
      <c r="E141" s="915">
        <f>E140</f>
        <v>365</v>
      </c>
      <c r="F141" s="916">
        <f t="shared" ref="F141:F151" si="53">D141/E141</f>
        <v>0.84109589041095889</v>
      </c>
      <c r="G141" s="909"/>
      <c r="H141" s="917">
        <f>$H$140</f>
        <v>-4540945.4625000358</v>
      </c>
      <c r="I141" s="910">
        <f t="shared" ref="I141:I151" si="54">+H141*F141</f>
        <v>-3819370.567089071</v>
      </c>
      <c r="J141" s="910">
        <f t="shared" si="52"/>
        <v>-494918933.4554112</v>
      </c>
      <c r="K141" s="896"/>
      <c r="L141" s="917">
        <f>$L$140</f>
        <v>0</v>
      </c>
      <c r="M141" s="913">
        <f t="shared" ref="M141:M151" si="55">L141-H141</f>
        <v>4540945.4625000358</v>
      </c>
      <c r="N141" s="913">
        <f t="shared" ref="N141:N151" si="56">IF(M141&lt;=0,+M141,0)</f>
        <v>0</v>
      </c>
      <c r="O141" s="913">
        <f t="shared" ref="O141:O151" si="57">IF(N141&lt;0,0,IF(L141&gt;0,0,(-(M141)*(D141/E141))))</f>
        <v>-3819370.567089071</v>
      </c>
      <c r="P141" s="913">
        <f t="shared" ref="P141:P151" si="58">IF(N141&lt;0,0,IF(L141&lt;0,0,(-(M141)*(D141/E141))))</f>
        <v>-3819370.567089071</v>
      </c>
      <c r="Q141" s="913">
        <f t="shared" ref="Q141:Q151" si="59">IF(L141&gt;0,Q140+P141,Q140+I141+N141-O141)</f>
        <v>0</v>
      </c>
    </row>
    <row r="142" spans="1:18">
      <c r="A142" s="895">
        <f t="shared" si="50"/>
        <v>134</v>
      </c>
      <c r="B142" s="914" t="s">
        <v>905</v>
      </c>
      <c r="C142" s="910">
        <v>31</v>
      </c>
      <c r="D142" s="915">
        <f t="shared" si="51"/>
        <v>276</v>
      </c>
      <c r="E142" s="915">
        <f t="shared" ref="E142:E151" si="60">E141</f>
        <v>365</v>
      </c>
      <c r="F142" s="916">
        <f t="shared" si="53"/>
        <v>0.75616438356164384</v>
      </c>
      <c r="G142" s="909"/>
      <c r="H142" s="917">
        <f t="shared" ref="H142:H151" si="61">$H$140</f>
        <v>-4540945.4625000358</v>
      </c>
      <c r="I142" s="910">
        <f t="shared" si="54"/>
        <v>-3433701.2264383831</v>
      </c>
      <c r="J142" s="910">
        <f t="shared" si="52"/>
        <v>-498352634.6818496</v>
      </c>
      <c r="K142" s="896"/>
      <c r="L142" s="917">
        <f t="shared" ref="L142:L151" si="62">$L$140</f>
        <v>0</v>
      </c>
      <c r="M142" s="913">
        <f t="shared" si="55"/>
        <v>4540945.4625000358</v>
      </c>
      <c r="N142" s="913">
        <f t="shared" si="56"/>
        <v>0</v>
      </c>
      <c r="O142" s="913">
        <f t="shared" si="57"/>
        <v>-3433701.2264383831</v>
      </c>
      <c r="P142" s="913">
        <f t="shared" si="58"/>
        <v>-3433701.2264383831</v>
      </c>
      <c r="Q142" s="913">
        <f t="shared" si="59"/>
        <v>0</v>
      </c>
    </row>
    <row r="143" spans="1:18">
      <c r="A143" s="895">
        <f t="shared" si="50"/>
        <v>135</v>
      </c>
      <c r="B143" s="914" t="s">
        <v>906</v>
      </c>
      <c r="C143" s="910">
        <v>30</v>
      </c>
      <c r="D143" s="915">
        <f t="shared" si="51"/>
        <v>246</v>
      </c>
      <c r="E143" s="915">
        <f t="shared" si="60"/>
        <v>365</v>
      </c>
      <c r="F143" s="916">
        <f t="shared" si="53"/>
        <v>0.67397260273972603</v>
      </c>
      <c r="G143" s="909"/>
      <c r="H143" s="917">
        <f t="shared" si="61"/>
        <v>-4540945.4625000358</v>
      </c>
      <c r="I143" s="910">
        <f t="shared" si="54"/>
        <v>-3060472.8322602981</v>
      </c>
      <c r="J143" s="910">
        <f t="shared" si="52"/>
        <v>-501413107.51410991</v>
      </c>
      <c r="K143" s="896"/>
      <c r="L143" s="917">
        <f t="shared" si="62"/>
        <v>0</v>
      </c>
      <c r="M143" s="913">
        <f t="shared" si="55"/>
        <v>4540945.4625000358</v>
      </c>
      <c r="N143" s="913">
        <f t="shared" si="56"/>
        <v>0</v>
      </c>
      <c r="O143" s="913">
        <f t="shared" si="57"/>
        <v>-3060472.8322602981</v>
      </c>
      <c r="P143" s="913">
        <f t="shared" si="58"/>
        <v>-3060472.8322602981</v>
      </c>
      <c r="Q143" s="913">
        <f t="shared" si="59"/>
        <v>0</v>
      </c>
    </row>
    <row r="144" spans="1:18">
      <c r="A144" s="895">
        <f t="shared" si="50"/>
        <v>136</v>
      </c>
      <c r="B144" s="914" t="s">
        <v>907</v>
      </c>
      <c r="C144" s="910">
        <v>31</v>
      </c>
      <c r="D144" s="915">
        <f t="shared" si="51"/>
        <v>215</v>
      </c>
      <c r="E144" s="915">
        <f t="shared" si="60"/>
        <v>365</v>
      </c>
      <c r="F144" s="916">
        <f t="shared" si="53"/>
        <v>0.58904109589041098</v>
      </c>
      <c r="G144" s="909"/>
      <c r="H144" s="917">
        <f t="shared" si="61"/>
        <v>-4540945.4625000358</v>
      </c>
      <c r="I144" s="910">
        <f t="shared" si="54"/>
        <v>-2674803.4916096102</v>
      </c>
      <c r="J144" s="910">
        <f t="shared" si="52"/>
        <v>-504087911.00571954</v>
      </c>
      <c r="K144" s="896"/>
      <c r="L144" s="917">
        <f t="shared" si="62"/>
        <v>0</v>
      </c>
      <c r="M144" s="913">
        <f t="shared" si="55"/>
        <v>4540945.4625000358</v>
      </c>
      <c r="N144" s="913">
        <f t="shared" si="56"/>
        <v>0</v>
      </c>
      <c r="O144" s="913">
        <f t="shared" si="57"/>
        <v>-2674803.4916096102</v>
      </c>
      <c r="P144" s="913">
        <f t="shared" si="58"/>
        <v>-2674803.4916096102</v>
      </c>
      <c r="Q144" s="913">
        <f t="shared" si="59"/>
        <v>0</v>
      </c>
    </row>
    <row r="145" spans="1:17">
      <c r="A145" s="895">
        <f t="shared" si="50"/>
        <v>137</v>
      </c>
      <c r="B145" s="914" t="s">
        <v>908</v>
      </c>
      <c r="C145" s="910">
        <v>30</v>
      </c>
      <c r="D145" s="915">
        <f t="shared" si="51"/>
        <v>185</v>
      </c>
      <c r="E145" s="915">
        <f t="shared" si="60"/>
        <v>365</v>
      </c>
      <c r="F145" s="916">
        <f t="shared" si="53"/>
        <v>0.50684931506849318</v>
      </c>
      <c r="G145" s="909"/>
      <c r="H145" s="917">
        <f t="shared" si="61"/>
        <v>-4540945.4625000358</v>
      </c>
      <c r="I145" s="910">
        <f t="shared" si="54"/>
        <v>-2301575.0974315251</v>
      </c>
      <c r="J145" s="910">
        <f t="shared" si="52"/>
        <v>-506389486.10315108</v>
      </c>
      <c r="K145" s="896"/>
      <c r="L145" s="917">
        <f t="shared" si="62"/>
        <v>0</v>
      </c>
      <c r="M145" s="913">
        <f t="shared" si="55"/>
        <v>4540945.4625000358</v>
      </c>
      <c r="N145" s="913">
        <f t="shared" si="56"/>
        <v>0</v>
      </c>
      <c r="O145" s="913">
        <f t="shared" si="57"/>
        <v>-2301575.0974315251</v>
      </c>
      <c r="P145" s="913">
        <f t="shared" si="58"/>
        <v>-2301575.0974315251</v>
      </c>
      <c r="Q145" s="913">
        <f t="shared" si="59"/>
        <v>0</v>
      </c>
    </row>
    <row r="146" spans="1:17">
      <c r="A146" s="895">
        <f t="shared" si="50"/>
        <v>138</v>
      </c>
      <c r="B146" s="914" t="s">
        <v>909</v>
      </c>
      <c r="C146" s="910">
        <v>31</v>
      </c>
      <c r="D146" s="915">
        <f t="shared" si="51"/>
        <v>154</v>
      </c>
      <c r="E146" s="915">
        <f t="shared" si="60"/>
        <v>365</v>
      </c>
      <c r="F146" s="916">
        <f t="shared" si="53"/>
        <v>0.42191780821917807</v>
      </c>
      <c r="G146" s="909"/>
      <c r="H146" s="917">
        <f t="shared" si="61"/>
        <v>-4540945.4625000358</v>
      </c>
      <c r="I146" s="910">
        <f t="shared" si="54"/>
        <v>-1915905.756780837</v>
      </c>
      <c r="J146" s="910">
        <f t="shared" si="52"/>
        <v>-508305391.85993195</v>
      </c>
      <c r="K146" s="896"/>
      <c r="L146" s="917">
        <f t="shared" si="62"/>
        <v>0</v>
      </c>
      <c r="M146" s="913">
        <f t="shared" si="55"/>
        <v>4540945.4625000358</v>
      </c>
      <c r="N146" s="913">
        <f t="shared" si="56"/>
        <v>0</v>
      </c>
      <c r="O146" s="913">
        <f t="shared" si="57"/>
        <v>-1915905.756780837</v>
      </c>
      <c r="P146" s="913">
        <f t="shared" si="58"/>
        <v>-1915905.756780837</v>
      </c>
      <c r="Q146" s="913">
        <f t="shared" si="59"/>
        <v>0</v>
      </c>
    </row>
    <row r="147" spans="1:17">
      <c r="A147" s="895">
        <f t="shared" si="50"/>
        <v>139</v>
      </c>
      <c r="B147" s="914" t="s">
        <v>910</v>
      </c>
      <c r="C147" s="910">
        <v>31</v>
      </c>
      <c r="D147" s="915">
        <f t="shared" si="51"/>
        <v>123</v>
      </c>
      <c r="E147" s="915">
        <f t="shared" si="60"/>
        <v>365</v>
      </c>
      <c r="F147" s="916">
        <f t="shared" si="53"/>
        <v>0.33698630136986302</v>
      </c>
      <c r="G147" s="909"/>
      <c r="H147" s="917">
        <f t="shared" si="61"/>
        <v>-4540945.4625000358</v>
      </c>
      <c r="I147" s="910">
        <f t="shared" si="54"/>
        <v>-1530236.416130149</v>
      </c>
      <c r="J147" s="910">
        <f t="shared" si="52"/>
        <v>-509835628.27606207</v>
      </c>
      <c r="K147" s="896"/>
      <c r="L147" s="917">
        <f t="shared" si="62"/>
        <v>0</v>
      </c>
      <c r="M147" s="913">
        <f t="shared" si="55"/>
        <v>4540945.4625000358</v>
      </c>
      <c r="N147" s="913">
        <f t="shared" si="56"/>
        <v>0</v>
      </c>
      <c r="O147" s="913">
        <f t="shared" si="57"/>
        <v>-1530236.416130149</v>
      </c>
      <c r="P147" s="913">
        <f t="shared" si="58"/>
        <v>-1530236.416130149</v>
      </c>
      <c r="Q147" s="913">
        <f t="shared" si="59"/>
        <v>0</v>
      </c>
    </row>
    <row r="148" spans="1:17">
      <c r="A148" s="895">
        <f t="shared" si="50"/>
        <v>140</v>
      </c>
      <c r="B148" s="914" t="s">
        <v>911</v>
      </c>
      <c r="C148" s="910">
        <v>30</v>
      </c>
      <c r="D148" s="915">
        <f t="shared" si="51"/>
        <v>93</v>
      </c>
      <c r="E148" s="915">
        <f t="shared" si="60"/>
        <v>365</v>
      </c>
      <c r="F148" s="916">
        <f t="shared" si="53"/>
        <v>0.25479452054794521</v>
      </c>
      <c r="G148" s="909"/>
      <c r="H148" s="917">
        <f t="shared" si="61"/>
        <v>-4540945.4625000358</v>
      </c>
      <c r="I148" s="910">
        <f t="shared" si="54"/>
        <v>-1157008.021952064</v>
      </c>
      <c r="J148" s="910">
        <f t="shared" si="52"/>
        <v>-510992636.29801416</v>
      </c>
      <c r="K148" s="896"/>
      <c r="L148" s="917">
        <f t="shared" si="62"/>
        <v>0</v>
      </c>
      <c r="M148" s="913">
        <f t="shared" si="55"/>
        <v>4540945.4625000358</v>
      </c>
      <c r="N148" s="913">
        <f t="shared" si="56"/>
        <v>0</v>
      </c>
      <c r="O148" s="913">
        <f t="shared" si="57"/>
        <v>-1157008.021952064</v>
      </c>
      <c r="P148" s="913">
        <f t="shared" si="58"/>
        <v>-1157008.021952064</v>
      </c>
      <c r="Q148" s="913">
        <f t="shared" si="59"/>
        <v>0</v>
      </c>
    </row>
    <row r="149" spans="1:17">
      <c r="A149" s="895">
        <f t="shared" si="50"/>
        <v>141</v>
      </c>
      <c r="B149" s="914" t="s">
        <v>912</v>
      </c>
      <c r="C149" s="910">
        <v>31</v>
      </c>
      <c r="D149" s="915">
        <f>D150+C150</f>
        <v>62</v>
      </c>
      <c r="E149" s="915">
        <f t="shared" si="60"/>
        <v>365</v>
      </c>
      <c r="F149" s="916">
        <f t="shared" si="53"/>
        <v>0.16986301369863013</v>
      </c>
      <c r="G149" s="909"/>
      <c r="H149" s="917">
        <f t="shared" si="61"/>
        <v>-4540945.4625000358</v>
      </c>
      <c r="I149" s="910">
        <f t="shared" si="54"/>
        <v>-771338.68130137597</v>
      </c>
      <c r="J149" s="910">
        <f t="shared" si="52"/>
        <v>-511763974.97931552</v>
      </c>
      <c r="K149" s="896"/>
      <c r="L149" s="917">
        <f t="shared" si="62"/>
        <v>0</v>
      </c>
      <c r="M149" s="913">
        <f t="shared" si="55"/>
        <v>4540945.4625000358</v>
      </c>
      <c r="N149" s="913">
        <f t="shared" si="56"/>
        <v>0</v>
      </c>
      <c r="O149" s="913">
        <f t="shared" si="57"/>
        <v>-771338.68130137597</v>
      </c>
      <c r="P149" s="913">
        <f t="shared" si="58"/>
        <v>-771338.68130137597</v>
      </c>
      <c r="Q149" s="913">
        <f t="shared" si="59"/>
        <v>0</v>
      </c>
    </row>
    <row r="150" spans="1:17">
      <c r="A150" s="895">
        <f t="shared" si="50"/>
        <v>142</v>
      </c>
      <c r="B150" s="914" t="s">
        <v>913</v>
      </c>
      <c r="C150" s="910">
        <v>30</v>
      </c>
      <c r="D150" s="915">
        <f>D151+C151</f>
        <v>32</v>
      </c>
      <c r="E150" s="915">
        <f t="shared" si="60"/>
        <v>365</v>
      </c>
      <c r="F150" s="916">
        <f t="shared" si="53"/>
        <v>8.7671232876712329E-2</v>
      </c>
      <c r="G150" s="909"/>
      <c r="H150" s="917">
        <f t="shared" si="61"/>
        <v>-4540945.4625000358</v>
      </c>
      <c r="I150" s="910">
        <f t="shared" si="54"/>
        <v>-398110.28712329082</v>
      </c>
      <c r="J150" s="910">
        <f t="shared" si="52"/>
        <v>-512162085.26643878</v>
      </c>
      <c r="K150" s="896"/>
      <c r="L150" s="917">
        <f t="shared" si="62"/>
        <v>0</v>
      </c>
      <c r="M150" s="913">
        <f t="shared" si="55"/>
        <v>4540945.4625000358</v>
      </c>
      <c r="N150" s="913">
        <f t="shared" si="56"/>
        <v>0</v>
      </c>
      <c r="O150" s="913">
        <f t="shared" si="57"/>
        <v>-398110.28712329082</v>
      </c>
      <c r="P150" s="913">
        <f t="shared" si="58"/>
        <v>-398110.28712329082</v>
      </c>
      <c r="Q150" s="913">
        <f t="shared" si="59"/>
        <v>0</v>
      </c>
    </row>
    <row r="151" spans="1:17">
      <c r="A151" s="895">
        <f t="shared" si="50"/>
        <v>143</v>
      </c>
      <c r="B151" s="914" t="s">
        <v>914</v>
      </c>
      <c r="C151" s="910">
        <v>31</v>
      </c>
      <c r="D151" s="915">
        <v>1</v>
      </c>
      <c r="E151" s="915">
        <f t="shared" si="60"/>
        <v>365</v>
      </c>
      <c r="F151" s="916">
        <f t="shared" si="53"/>
        <v>2.7397260273972603E-3</v>
      </c>
      <c r="G151" s="909"/>
      <c r="H151" s="917">
        <f t="shared" si="61"/>
        <v>-4540945.4625000358</v>
      </c>
      <c r="I151" s="910">
        <f t="shared" si="54"/>
        <v>-12440.946472602838</v>
      </c>
      <c r="J151" s="910">
        <f t="shared" si="52"/>
        <v>-512174526.21291137</v>
      </c>
      <c r="K151" s="896"/>
      <c r="L151" s="917">
        <f t="shared" si="62"/>
        <v>0</v>
      </c>
      <c r="M151" s="913">
        <f t="shared" si="55"/>
        <v>4540945.4625000358</v>
      </c>
      <c r="N151" s="913">
        <f t="shared" si="56"/>
        <v>0</v>
      </c>
      <c r="O151" s="913">
        <f t="shared" si="57"/>
        <v>-12440.946472602838</v>
      </c>
      <c r="P151" s="913">
        <f t="shared" si="58"/>
        <v>-12440.946472602838</v>
      </c>
      <c r="Q151" s="913">
        <f t="shared" si="59"/>
        <v>0</v>
      </c>
    </row>
    <row r="152" spans="1:17">
      <c r="A152" s="895">
        <f t="shared" si="50"/>
        <v>144</v>
      </c>
      <c r="B152" s="918"/>
      <c r="C152" s="918" t="s">
        <v>795</v>
      </c>
      <c r="D152" s="919">
        <f>+SUM(D140:D151)</f>
        <v>2029</v>
      </c>
      <c r="E152" s="919">
        <f>+SUM(E140:E151)</f>
        <v>4380</v>
      </c>
      <c r="F152" s="920"/>
      <c r="G152" s="909"/>
      <c r="H152" s="921">
        <f>SUM(H140:H151)</f>
        <v>-54491345.550000429</v>
      </c>
      <c r="I152" s="921">
        <f>SUM(I140:I151)</f>
        <v>-25242680.392911155</v>
      </c>
      <c r="J152" s="920"/>
      <c r="K152" s="896"/>
      <c r="L152" s="922">
        <f>SUM(L140:L151)</f>
        <v>0</v>
      </c>
      <c r="M152" s="922">
        <f>SUM(M140:M151)</f>
        <v>54491345.550000429</v>
      </c>
      <c r="N152" s="922">
        <f>SUM(N140:N151)</f>
        <v>0</v>
      </c>
      <c r="O152" s="922">
        <f>SUM(O140:O151)</f>
        <v>-25242680.392911155</v>
      </c>
      <c r="P152" s="922">
        <f>SUM(P140:P151)</f>
        <v>-25242680.392911155</v>
      </c>
      <c r="Q152" s="922"/>
    </row>
    <row r="153" spans="1:17">
      <c r="A153" s="895">
        <f t="shared" si="50"/>
        <v>145</v>
      </c>
      <c r="B153" s="924"/>
      <c r="C153" s="924"/>
      <c r="D153" s="925"/>
      <c r="E153" s="925"/>
      <c r="F153" s="926"/>
      <c r="G153" s="909"/>
      <c r="H153" s="910"/>
      <c r="I153" s="910"/>
      <c r="J153" s="926"/>
      <c r="K153" s="896"/>
      <c r="L153" s="928"/>
      <c r="M153" s="928"/>
      <c r="N153" s="928"/>
      <c r="O153" s="928"/>
      <c r="P153" s="928"/>
      <c r="Q153" s="928"/>
    </row>
    <row r="154" spans="1:17">
      <c r="A154" s="895">
        <f t="shared" si="50"/>
        <v>146</v>
      </c>
      <c r="B154" s="896" t="s">
        <v>1677</v>
      </c>
      <c r="C154" s="924"/>
      <c r="D154" s="925"/>
      <c r="E154" s="929">
        <f>1-(D152/E152)</f>
        <v>0.53675799086757991</v>
      </c>
      <c r="F154" s="926"/>
      <c r="G154" s="909"/>
      <c r="H154" s="910"/>
      <c r="I154" s="910"/>
      <c r="J154" s="926"/>
      <c r="K154" s="896"/>
      <c r="L154" s="928"/>
      <c r="M154" s="928"/>
      <c r="N154" s="928"/>
      <c r="O154" s="928"/>
      <c r="P154" s="928"/>
      <c r="Q154" s="928"/>
    </row>
    <row r="155" spans="1:17">
      <c r="A155" s="895">
        <f t="shared" si="50"/>
        <v>147</v>
      </c>
      <c r="B155" s="924"/>
      <c r="C155" s="924"/>
      <c r="D155" s="924"/>
      <c r="E155" s="924"/>
      <c r="F155" s="926"/>
      <c r="G155" s="926"/>
      <c r="H155" s="931"/>
      <c r="I155" s="932"/>
      <c r="J155" s="926"/>
      <c r="K155" s="896"/>
      <c r="L155" s="896"/>
      <c r="M155" s="896"/>
      <c r="N155" s="896"/>
      <c r="O155" s="896"/>
      <c r="P155" s="896"/>
      <c r="Q155" s="896"/>
    </row>
    <row r="156" spans="1:17">
      <c r="A156" s="895">
        <f t="shared" si="50"/>
        <v>148</v>
      </c>
      <c r="B156" s="930"/>
      <c r="C156" s="924"/>
      <c r="D156" s="896"/>
      <c r="E156" s="924"/>
      <c r="F156" s="896"/>
      <c r="G156" s="926"/>
      <c r="H156" s="931"/>
      <c r="I156" s="932"/>
      <c r="J156" s="925"/>
      <c r="K156" s="896"/>
      <c r="L156" s="896"/>
      <c r="M156" s="896"/>
      <c r="N156" s="896"/>
      <c r="O156" s="896"/>
      <c r="P156" s="896"/>
      <c r="Q156" s="925"/>
    </row>
    <row r="157" spans="1:17" customFormat="1">
      <c r="A157" s="895">
        <f t="shared" si="50"/>
        <v>149</v>
      </c>
      <c r="B157" s="933" t="s">
        <v>1678</v>
      </c>
      <c r="C157" s="933"/>
      <c r="D157" s="933"/>
      <c r="E157" s="933"/>
      <c r="F157" s="934" t="str">
        <f>"(Line "&amp;A139&amp;", Col H)"</f>
        <v>(Line 131, Col H)</v>
      </c>
      <c r="G157" s="935"/>
      <c r="H157" s="933"/>
      <c r="I157" s="935"/>
      <c r="J157" s="913">
        <f>J139</f>
        <v>-486931845.82000017</v>
      </c>
      <c r="K157" s="933"/>
      <c r="L157" s="933"/>
      <c r="M157" s="933"/>
      <c r="N157" s="934" t="str">
        <f>"(Line "&amp;A139&amp;", Col N)"</f>
        <v>(Line 131, Col N)</v>
      </c>
      <c r="O157" s="933"/>
      <c r="P157" s="933"/>
      <c r="Q157" s="913">
        <f>Q139</f>
        <v>0</v>
      </c>
    </row>
    <row r="158" spans="1:17" customFormat="1">
      <c r="A158" s="895">
        <f t="shared" si="50"/>
        <v>150</v>
      </c>
      <c r="B158" s="933" t="s">
        <v>1679</v>
      </c>
      <c r="C158" s="933"/>
      <c r="D158" s="933"/>
      <c r="E158" s="933"/>
      <c r="F158" s="934" t="str">
        <f>"(Line "&amp;A151&amp;", Col H)"</f>
        <v>(Line 143, Col H)</v>
      </c>
      <c r="G158" s="935"/>
      <c r="H158" s="933"/>
      <c r="I158" s="935"/>
      <c r="J158" s="910">
        <f>J151</f>
        <v>-512174526.21291137</v>
      </c>
      <c r="K158" s="933"/>
      <c r="L158" s="936"/>
      <c r="M158" s="933"/>
      <c r="N158" s="934" t="str">
        <f>"(Line "&amp;A151&amp;", Col N)"</f>
        <v>(Line 143, Col N)</v>
      </c>
      <c r="O158" s="933"/>
      <c r="P158" s="933"/>
      <c r="Q158" s="910">
        <f>Q151</f>
        <v>0</v>
      </c>
    </row>
    <row r="159" spans="1:17" customFormat="1">
      <c r="A159" s="895">
        <f t="shared" si="50"/>
        <v>151</v>
      </c>
      <c r="B159" s="933" t="s">
        <v>1680</v>
      </c>
      <c r="C159" s="933"/>
      <c r="D159" s="933"/>
      <c r="E159" s="933"/>
      <c r="F159" s="933" t="str">
        <f>"(Average of Line "&amp;A157&amp;" &amp; Line "&amp;A158&amp;")"</f>
        <v>(Average of Line 149 &amp; Line 150)</v>
      </c>
      <c r="G159" s="935"/>
      <c r="H159" s="933"/>
      <c r="I159" s="937"/>
      <c r="J159" s="938">
        <f>(J157+J158)/2</f>
        <v>-499553186.01645577</v>
      </c>
      <c r="K159" s="933"/>
      <c r="L159" s="939"/>
      <c r="M159" s="933"/>
      <c r="N159" s="933" t="str">
        <f>"(Average of Line "&amp;A157&amp;" &amp; Line "&amp;A158&amp;")"</f>
        <v>(Average of Line 149 &amp; Line 150)</v>
      </c>
      <c r="O159" s="933"/>
      <c r="P159" s="933"/>
      <c r="Q159" s="938">
        <f>(Q157+Q158)/2</f>
        <v>0</v>
      </c>
    </row>
    <row r="160" spans="1:17" customFormat="1" ht="13.5" customHeight="1">
      <c r="A160" s="895">
        <f t="shared" si="50"/>
        <v>152</v>
      </c>
      <c r="B160" s="933" t="s">
        <v>1681</v>
      </c>
      <c r="C160" s="933"/>
      <c r="D160" s="933"/>
      <c r="E160" s="933"/>
      <c r="F160" s="933" t="s">
        <v>1827</v>
      </c>
      <c r="G160" s="933"/>
      <c r="H160" s="933"/>
      <c r="I160" s="933"/>
      <c r="J160" s="940">
        <f>AVERAGE(J139, (SUM(H140:H151)+J139))</f>
        <v>-514177518.59500039</v>
      </c>
      <c r="K160" s="933"/>
      <c r="L160" s="933"/>
      <c r="M160" s="933"/>
      <c r="N160" s="933" t="s">
        <v>1827</v>
      </c>
      <c r="O160" s="933"/>
      <c r="P160" s="933"/>
      <c r="Q160" s="940">
        <f>AVERAGE(Q139, (SUM(L140:L151)+Q139))</f>
        <v>0</v>
      </c>
    </row>
    <row r="161" spans="1:18" customFormat="1" ht="13.5" customHeight="1">
      <c r="A161" s="895">
        <f t="shared" si="50"/>
        <v>153</v>
      </c>
      <c r="B161" s="933" t="s">
        <v>1682</v>
      </c>
      <c r="C161" s="933"/>
      <c r="D161" s="933"/>
      <c r="E161" s="933"/>
      <c r="F161" s="933"/>
      <c r="G161" s="933"/>
      <c r="H161" s="933"/>
      <c r="I161" s="933"/>
      <c r="J161" s="936">
        <f>J159-J160</f>
        <v>14624332.578544617</v>
      </c>
      <c r="K161" s="933"/>
      <c r="L161" s="933"/>
      <c r="M161" s="933"/>
      <c r="N161" s="933"/>
      <c r="O161" s="933"/>
      <c r="P161" s="933"/>
      <c r="Q161" s="936">
        <f>Q159-Q160</f>
        <v>0</v>
      </c>
    </row>
    <row r="162" spans="1:18">
      <c r="A162" s="895">
        <f t="shared" si="50"/>
        <v>154</v>
      </c>
      <c r="B162" s="941"/>
      <c r="C162" s="941"/>
      <c r="D162" s="941"/>
      <c r="E162" s="941"/>
      <c r="F162" s="941"/>
      <c r="G162" s="941"/>
      <c r="H162" s="941"/>
      <c r="I162" s="941"/>
      <c r="J162" s="941"/>
      <c r="K162" s="896"/>
      <c r="L162" s="896"/>
      <c r="M162" s="896"/>
      <c r="N162" s="896"/>
      <c r="O162" s="896"/>
      <c r="P162" s="896"/>
      <c r="Q162" s="941"/>
    </row>
    <row r="163" spans="1:18">
      <c r="A163" s="895">
        <f t="shared" si="50"/>
        <v>155</v>
      </c>
      <c r="B163" s="941"/>
      <c r="C163" s="941"/>
      <c r="D163" s="941"/>
      <c r="E163" s="941"/>
      <c r="F163" s="941"/>
      <c r="G163" s="941"/>
      <c r="H163" s="941"/>
      <c r="I163" s="941"/>
      <c r="J163" s="941"/>
      <c r="K163" s="896"/>
      <c r="L163" s="896"/>
      <c r="M163" s="896"/>
      <c r="N163" s="896"/>
      <c r="O163" s="896"/>
      <c r="P163" s="896"/>
      <c r="Q163" s="941"/>
    </row>
    <row r="164" spans="1:18">
      <c r="A164" s="895">
        <f t="shared" si="50"/>
        <v>156</v>
      </c>
      <c r="B164" s="1252" t="s">
        <v>1684</v>
      </c>
      <c r="C164" s="1252"/>
      <c r="D164" s="1252"/>
      <c r="E164" s="1252"/>
      <c r="F164" s="896"/>
      <c r="G164" s="896"/>
      <c r="H164" s="942"/>
      <c r="I164" s="942"/>
      <c r="J164" s="942"/>
      <c r="K164" s="896"/>
      <c r="L164" s="943"/>
      <c r="M164" s="944"/>
      <c r="N164" s="944"/>
      <c r="O164" s="944"/>
      <c r="P164" s="944"/>
      <c r="Q164" s="944"/>
      <c r="R164" s="901"/>
    </row>
    <row r="165" spans="1:18">
      <c r="A165" s="895">
        <f t="shared" si="50"/>
        <v>157</v>
      </c>
      <c r="B165" s="1253" t="s">
        <v>1306</v>
      </c>
      <c r="C165" s="1253"/>
      <c r="D165" s="1253"/>
      <c r="E165" s="1253"/>
      <c r="F165" s="896"/>
      <c r="G165" s="896"/>
      <c r="H165" s="942"/>
      <c r="I165" s="942"/>
      <c r="J165" s="942"/>
      <c r="K165" s="896"/>
      <c r="L165" s="943"/>
      <c r="M165" s="944"/>
      <c r="N165" s="944"/>
      <c r="O165" s="944"/>
      <c r="P165" s="944"/>
      <c r="Q165" s="944"/>
      <c r="R165" s="901"/>
    </row>
    <row r="166" spans="1:18">
      <c r="A166" s="895">
        <f t="shared" si="50"/>
        <v>158</v>
      </c>
      <c r="B166" s="1254" t="s">
        <v>1661</v>
      </c>
      <c r="C166" s="1255"/>
      <c r="D166" s="1255"/>
      <c r="E166" s="1255"/>
      <c r="F166" s="1256"/>
      <c r="G166" s="902"/>
      <c r="H166" s="1257" t="s">
        <v>1662</v>
      </c>
      <c r="I166" s="1258"/>
      <c r="J166" s="1259"/>
      <c r="K166" s="896"/>
      <c r="L166" s="1257" t="s">
        <v>1663</v>
      </c>
      <c r="M166" s="1258"/>
      <c r="N166" s="1258"/>
      <c r="O166" s="1258"/>
      <c r="P166" s="1258"/>
      <c r="Q166" s="1258"/>
    </row>
    <row r="167" spans="1:18">
      <c r="A167" s="895">
        <f t="shared" si="50"/>
        <v>159</v>
      </c>
      <c r="B167" s="903" t="s">
        <v>830</v>
      </c>
      <c r="C167" s="903" t="s">
        <v>831</v>
      </c>
      <c r="D167" s="903" t="s">
        <v>832</v>
      </c>
      <c r="E167" s="903" t="s">
        <v>833</v>
      </c>
      <c r="F167" s="903" t="s">
        <v>834</v>
      </c>
      <c r="G167" s="902"/>
      <c r="H167" s="903" t="s">
        <v>835</v>
      </c>
      <c r="I167" s="903" t="s">
        <v>836</v>
      </c>
      <c r="J167" s="903" t="s">
        <v>837</v>
      </c>
      <c r="K167" s="896"/>
      <c r="L167" s="903" t="s">
        <v>838</v>
      </c>
      <c r="M167" s="903" t="s">
        <v>839</v>
      </c>
      <c r="N167" s="903" t="s">
        <v>840</v>
      </c>
      <c r="O167" s="903" t="s">
        <v>841</v>
      </c>
      <c r="P167" s="903" t="s">
        <v>843</v>
      </c>
      <c r="Q167" s="903" t="s">
        <v>842</v>
      </c>
    </row>
    <row r="168" spans="1:18" ht="45">
      <c r="A168" s="895">
        <f t="shared" si="50"/>
        <v>160</v>
      </c>
      <c r="B168" s="905" t="s">
        <v>1352</v>
      </c>
      <c r="C168" s="905" t="s">
        <v>1587</v>
      </c>
      <c r="D168" s="905" t="s">
        <v>1664</v>
      </c>
      <c r="E168" s="905" t="s">
        <v>1665</v>
      </c>
      <c r="F168" s="905" t="s">
        <v>1666</v>
      </c>
      <c r="G168" s="906"/>
      <c r="H168" s="905" t="s">
        <v>1667</v>
      </c>
      <c r="I168" s="905" t="s">
        <v>1668</v>
      </c>
      <c r="J168" s="905" t="s">
        <v>1669</v>
      </c>
      <c r="K168" s="896"/>
      <c r="L168" s="905" t="s">
        <v>1670</v>
      </c>
      <c r="M168" s="905" t="s">
        <v>1671</v>
      </c>
      <c r="N168" s="905" t="s">
        <v>1672</v>
      </c>
      <c r="O168" s="905" t="s">
        <v>1673</v>
      </c>
      <c r="P168" s="905" t="s">
        <v>1674</v>
      </c>
      <c r="Q168" s="905" t="s">
        <v>1675</v>
      </c>
    </row>
    <row r="169" spans="1:18">
      <c r="A169" s="895">
        <f t="shared" si="50"/>
        <v>161</v>
      </c>
      <c r="B169" s="896"/>
      <c r="C169" s="906"/>
      <c r="D169" s="906"/>
      <c r="E169" s="906"/>
      <c r="F169" s="906"/>
      <c r="G169" s="906"/>
      <c r="H169" s="906"/>
      <c r="I169" s="906"/>
      <c r="J169" s="906"/>
      <c r="K169" s="896"/>
      <c r="L169" s="896"/>
      <c r="M169" s="896"/>
      <c r="N169" s="896"/>
      <c r="O169" s="896"/>
      <c r="P169" s="896"/>
      <c r="Q169" s="896"/>
    </row>
    <row r="170" spans="1:18">
      <c r="A170" s="895">
        <f t="shared" si="50"/>
        <v>162</v>
      </c>
      <c r="B170" s="1260" t="s">
        <v>1676</v>
      </c>
      <c r="C170" s="1260"/>
      <c r="D170" s="1260"/>
      <c r="E170" s="1260"/>
      <c r="F170" s="909"/>
      <c r="G170" s="909"/>
      <c r="H170" s="910"/>
      <c r="I170" s="910"/>
      <c r="J170" s="911">
        <f>+SUM('WP_B-2'!C28:C31,'WP_B-2'!F28:F31)</f>
        <v>-85699486.381152034</v>
      </c>
      <c r="K170" s="912"/>
      <c r="L170" s="910"/>
      <c r="M170" s="913"/>
      <c r="N170" s="913"/>
      <c r="O170" s="913"/>
      <c r="P170" s="913"/>
      <c r="Q170" s="911">
        <f>'WP_B-2'!C141</f>
        <v>0</v>
      </c>
    </row>
    <row r="171" spans="1:18">
      <c r="A171" s="895">
        <f t="shared" si="50"/>
        <v>163</v>
      </c>
      <c r="B171" s="914" t="s">
        <v>956</v>
      </c>
      <c r="C171" s="910">
        <v>31</v>
      </c>
      <c r="D171" s="915">
        <f t="shared" ref="D171:D179" si="63">D172+C172</f>
        <v>335</v>
      </c>
      <c r="E171" s="915">
        <f>SUM(C171:C182)</f>
        <v>365</v>
      </c>
      <c r="F171" s="916">
        <f>D171/E171</f>
        <v>0.9178082191780822</v>
      </c>
      <c r="G171" s="909"/>
      <c r="H171" s="917">
        <f>-(SUM('WP_B-2'!C28:C31,'WP_B-2'!F28:F31)-SUM('WP_B-2'!D28:D31,'WP_B-2'!F28:F31))/12</f>
        <v>-294504.62087847415</v>
      </c>
      <c r="I171" s="910">
        <f>+H171*F171</f>
        <v>-270298.7616281886</v>
      </c>
      <c r="J171" s="910">
        <f t="shared" ref="J171:J182" si="64">+I171+J170</f>
        <v>-85969785.142780229</v>
      </c>
      <c r="K171" s="896"/>
      <c r="L171" s="917">
        <f>('WP_B-2'!D141-'WP_B-2'!C141)/12</f>
        <v>0</v>
      </c>
      <c r="M171" s="913">
        <f>L171-H171</f>
        <v>294504.62087847415</v>
      </c>
      <c r="N171" s="913">
        <f>IF(M171&lt;=0,+M171,0)</f>
        <v>0</v>
      </c>
      <c r="O171" s="913">
        <f>IF(N171&lt;0,0,IF(L171&gt;0,0,(-(M171)*(D171/E171))))</f>
        <v>-270298.7616281886</v>
      </c>
      <c r="P171" s="913">
        <f>IF(N171&lt;0,0,IF(L171&lt;0,0,(-(M171)*(D171/E171))))</f>
        <v>-270298.7616281886</v>
      </c>
      <c r="Q171" s="913">
        <f t="shared" ref="Q171:Q182" si="65">IF(L171&gt;0,Q170+P171,Q170+I171+N171-O171)</f>
        <v>0</v>
      </c>
    </row>
    <row r="172" spans="1:18">
      <c r="A172" s="895">
        <f t="shared" si="50"/>
        <v>164</v>
      </c>
      <c r="B172" s="914" t="s">
        <v>904</v>
      </c>
      <c r="C172" s="917">
        <f>$C$17</f>
        <v>28</v>
      </c>
      <c r="D172" s="915">
        <f t="shared" si="63"/>
        <v>307</v>
      </c>
      <c r="E172" s="915">
        <f>E171</f>
        <v>365</v>
      </c>
      <c r="F172" s="916">
        <f t="shared" ref="F172:F182" si="66">D172/E172</f>
        <v>0.84109589041095889</v>
      </c>
      <c r="G172" s="909"/>
      <c r="H172" s="917">
        <f>$H$171</f>
        <v>-294504.62087847415</v>
      </c>
      <c r="I172" s="910">
        <f t="shared" ref="I172:I182" si="67">+H172*F172</f>
        <v>-247706.62632792207</v>
      </c>
      <c r="J172" s="910">
        <f t="shared" si="64"/>
        <v>-86217491.769108146</v>
      </c>
      <c r="K172" s="896"/>
      <c r="L172" s="917">
        <f>$L$171</f>
        <v>0</v>
      </c>
      <c r="M172" s="913">
        <f t="shared" ref="M172:M182" si="68">L172-H172</f>
        <v>294504.62087847415</v>
      </c>
      <c r="N172" s="913">
        <f t="shared" ref="N172:N182" si="69">IF(M172&lt;=0,+M172,0)</f>
        <v>0</v>
      </c>
      <c r="O172" s="913">
        <f t="shared" ref="O172:O182" si="70">IF(N172&lt;0,0,IF(L172&gt;0,0,(-(M172)*(D172/E172))))</f>
        <v>-247706.62632792207</v>
      </c>
      <c r="P172" s="913">
        <f t="shared" ref="P172:P182" si="71">IF(N172&lt;0,0,IF(L172&lt;0,0,(-(M172)*(D172/E172))))</f>
        <v>-247706.62632792207</v>
      </c>
      <c r="Q172" s="913">
        <f t="shared" si="65"/>
        <v>0</v>
      </c>
    </row>
    <row r="173" spans="1:18">
      <c r="A173" s="895">
        <f t="shared" si="50"/>
        <v>165</v>
      </c>
      <c r="B173" s="914" t="s">
        <v>905</v>
      </c>
      <c r="C173" s="910">
        <v>31</v>
      </c>
      <c r="D173" s="915">
        <f t="shared" si="63"/>
        <v>276</v>
      </c>
      <c r="E173" s="915">
        <f t="shared" ref="E173:E182" si="72">E172</f>
        <v>365</v>
      </c>
      <c r="F173" s="916">
        <f t="shared" si="66"/>
        <v>0.75616438356164384</v>
      </c>
      <c r="G173" s="909"/>
      <c r="H173" s="917">
        <f t="shared" ref="H173:H182" si="73">$H$171</f>
        <v>-294504.62087847415</v>
      </c>
      <c r="I173" s="910">
        <f t="shared" si="67"/>
        <v>-222693.90510262703</v>
      </c>
      <c r="J173" s="910">
        <f t="shared" si="64"/>
        <v>-86440185.674210772</v>
      </c>
      <c r="K173" s="896"/>
      <c r="L173" s="917">
        <f t="shared" ref="L173:L182" si="74">$L$171</f>
        <v>0</v>
      </c>
      <c r="M173" s="913">
        <f t="shared" si="68"/>
        <v>294504.62087847415</v>
      </c>
      <c r="N173" s="913">
        <f t="shared" si="69"/>
        <v>0</v>
      </c>
      <c r="O173" s="913">
        <f t="shared" si="70"/>
        <v>-222693.90510262703</v>
      </c>
      <c r="P173" s="913">
        <f t="shared" si="71"/>
        <v>-222693.90510262703</v>
      </c>
      <c r="Q173" s="913">
        <f t="shared" si="65"/>
        <v>0</v>
      </c>
    </row>
    <row r="174" spans="1:18">
      <c r="A174" s="895">
        <f t="shared" si="50"/>
        <v>166</v>
      </c>
      <c r="B174" s="914" t="s">
        <v>906</v>
      </c>
      <c r="C174" s="910">
        <v>30</v>
      </c>
      <c r="D174" s="915">
        <f t="shared" si="63"/>
        <v>246</v>
      </c>
      <c r="E174" s="915">
        <f t="shared" si="72"/>
        <v>365</v>
      </c>
      <c r="F174" s="916">
        <f t="shared" si="66"/>
        <v>0.67397260273972603</v>
      </c>
      <c r="G174" s="909"/>
      <c r="H174" s="917">
        <f t="shared" si="73"/>
        <v>-294504.62087847415</v>
      </c>
      <c r="I174" s="910">
        <f t="shared" si="67"/>
        <v>-198488.04585234149</v>
      </c>
      <c r="J174" s="910">
        <f t="shared" si="64"/>
        <v>-86638673.72006312</v>
      </c>
      <c r="K174" s="896"/>
      <c r="L174" s="917">
        <f t="shared" si="74"/>
        <v>0</v>
      </c>
      <c r="M174" s="913">
        <f t="shared" si="68"/>
        <v>294504.62087847415</v>
      </c>
      <c r="N174" s="913">
        <f t="shared" si="69"/>
        <v>0</v>
      </c>
      <c r="O174" s="913">
        <f t="shared" si="70"/>
        <v>-198488.04585234149</v>
      </c>
      <c r="P174" s="913">
        <f t="shared" si="71"/>
        <v>-198488.04585234149</v>
      </c>
      <c r="Q174" s="913">
        <f t="shared" si="65"/>
        <v>0</v>
      </c>
    </row>
    <row r="175" spans="1:18">
      <c r="A175" s="895">
        <f t="shared" si="50"/>
        <v>167</v>
      </c>
      <c r="B175" s="914" t="s">
        <v>907</v>
      </c>
      <c r="C175" s="910">
        <v>31</v>
      </c>
      <c r="D175" s="915">
        <f t="shared" si="63"/>
        <v>215</v>
      </c>
      <c r="E175" s="915">
        <f t="shared" si="72"/>
        <v>365</v>
      </c>
      <c r="F175" s="916">
        <f t="shared" si="66"/>
        <v>0.58904109589041098</v>
      </c>
      <c r="G175" s="909"/>
      <c r="H175" s="917">
        <f t="shared" si="73"/>
        <v>-294504.62087847415</v>
      </c>
      <c r="I175" s="910">
        <f t="shared" si="67"/>
        <v>-173475.32462704642</v>
      </c>
      <c r="J175" s="910">
        <f t="shared" si="64"/>
        <v>-86812149.044690162</v>
      </c>
      <c r="K175" s="896"/>
      <c r="L175" s="917">
        <f t="shared" si="74"/>
        <v>0</v>
      </c>
      <c r="M175" s="913">
        <f t="shared" si="68"/>
        <v>294504.62087847415</v>
      </c>
      <c r="N175" s="913">
        <f t="shared" si="69"/>
        <v>0</v>
      </c>
      <c r="O175" s="913">
        <f t="shared" si="70"/>
        <v>-173475.32462704642</v>
      </c>
      <c r="P175" s="913">
        <f t="shared" si="71"/>
        <v>-173475.32462704642</v>
      </c>
      <c r="Q175" s="913">
        <f t="shared" si="65"/>
        <v>0</v>
      </c>
    </row>
    <row r="176" spans="1:18">
      <c r="A176" s="895">
        <f t="shared" si="50"/>
        <v>168</v>
      </c>
      <c r="B176" s="914" t="s">
        <v>908</v>
      </c>
      <c r="C176" s="910">
        <v>30</v>
      </c>
      <c r="D176" s="915">
        <f t="shared" si="63"/>
        <v>185</v>
      </c>
      <c r="E176" s="915">
        <f t="shared" si="72"/>
        <v>365</v>
      </c>
      <c r="F176" s="916">
        <f t="shared" si="66"/>
        <v>0.50684931506849318</v>
      </c>
      <c r="G176" s="909"/>
      <c r="H176" s="917">
        <f t="shared" si="73"/>
        <v>-294504.62087847415</v>
      </c>
      <c r="I176" s="910">
        <f t="shared" si="67"/>
        <v>-149269.46537676087</v>
      </c>
      <c r="J176" s="910">
        <f t="shared" si="64"/>
        <v>-86961418.510066926</v>
      </c>
      <c r="K176" s="896"/>
      <c r="L176" s="917">
        <f t="shared" si="74"/>
        <v>0</v>
      </c>
      <c r="M176" s="913">
        <f t="shared" si="68"/>
        <v>294504.62087847415</v>
      </c>
      <c r="N176" s="913">
        <f t="shared" si="69"/>
        <v>0</v>
      </c>
      <c r="O176" s="913">
        <f t="shared" si="70"/>
        <v>-149269.46537676087</v>
      </c>
      <c r="P176" s="913">
        <f t="shared" si="71"/>
        <v>-149269.46537676087</v>
      </c>
      <c r="Q176" s="913">
        <f t="shared" si="65"/>
        <v>0</v>
      </c>
    </row>
    <row r="177" spans="1:17">
      <c r="A177" s="895">
        <f t="shared" si="50"/>
        <v>169</v>
      </c>
      <c r="B177" s="914" t="s">
        <v>909</v>
      </c>
      <c r="C177" s="910">
        <v>31</v>
      </c>
      <c r="D177" s="915">
        <f t="shared" si="63"/>
        <v>154</v>
      </c>
      <c r="E177" s="915">
        <f t="shared" si="72"/>
        <v>365</v>
      </c>
      <c r="F177" s="916">
        <f t="shared" si="66"/>
        <v>0.42191780821917807</v>
      </c>
      <c r="G177" s="909"/>
      <c r="H177" s="917">
        <f t="shared" si="73"/>
        <v>-294504.62087847415</v>
      </c>
      <c r="I177" s="910">
        <f t="shared" si="67"/>
        <v>-124256.7441514658</v>
      </c>
      <c r="J177" s="910">
        <f t="shared" si="64"/>
        <v>-87085675.2542184</v>
      </c>
      <c r="K177" s="896"/>
      <c r="L177" s="917">
        <f t="shared" si="74"/>
        <v>0</v>
      </c>
      <c r="M177" s="913">
        <f t="shared" si="68"/>
        <v>294504.62087847415</v>
      </c>
      <c r="N177" s="913">
        <f t="shared" si="69"/>
        <v>0</v>
      </c>
      <c r="O177" s="913">
        <f t="shared" si="70"/>
        <v>-124256.7441514658</v>
      </c>
      <c r="P177" s="913">
        <f t="shared" si="71"/>
        <v>-124256.7441514658</v>
      </c>
      <c r="Q177" s="913">
        <f t="shared" si="65"/>
        <v>0</v>
      </c>
    </row>
    <row r="178" spans="1:17">
      <c r="A178" s="895">
        <f t="shared" si="50"/>
        <v>170</v>
      </c>
      <c r="B178" s="914" t="s">
        <v>910</v>
      </c>
      <c r="C178" s="910">
        <v>31</v>
      </c>
      <c r="D178" s="915">
        <f t="shared" si="63"/>
        <v>123</v>
      </c>
      <c r="E178" s="915">
        <f t="shared" si="72"/>
        <v>365</v>
      </c>
      <c r="F178" s="916">
        <f t="shared" si="66"/>
        <v>0.33698630136986302</v>
      </c>
      <c r="G178" s="909"/>
      <c r="H178" s="917">
        <f t="shared" si="73"/>
        <v>-294504.62087847415</v>
      </c>
      <c r="I178" s="910">
        <f t="shared" si="67"/>
        <v>-99244.022926170743</v>
      </c>
      <c r="J178" s="910">
        <f t="shared" si="64"/>
        <v>-87184919.277144566</v>
      </c>
      <c r="K178" s="896"/>
      <c r="L178" s="917">
        <f t="shared" si="74"/>
        <v>0</v>
      </c>
      <c r="M178" s="913">
        <f t="shared" si="68"/>
        <v>294504.62087847415</v>
      </c>
      <c r="N178" s="913">
        <f t="shared" si="69"/>
        <v>0</v>
      </c>
      <c r="O178" s="913">
        <f t="shared" si="70"/>
        <v>-99244.022926170743</v>
      </c>
      <c r="P178" s="913">
        <f t="shared" si="71"/>
        <v>-99244.022926170743</v>
      </c>
      <c r="Q178" s="913">
        <f t="shared" si="65"/>
        <v>0</v>
      </c>
    </row>
    <row r="179" spans="1:17">
      <c r="A179" s="895">
        <f t="shared" si="50"/>
        <v>171</v>
      </c>
      <c r="B179" s="914" t="s">
        <v>911</v>
      </c>
      <c r="C179" s="910">
        <v>30</v>
      </c>
      <c r="D179" s="915">
        <f t="shared" si="63"/>
        <v>93</v>
      </c>
      <c r="E179" s="915">
        <f t="shared" si="72"/>
        <v>365</v>
      </c>
      <c r="F179" s="916">
        <f t="shared" si="66"/>
        <v>0.25479452054794521</v>
      </c>
      <c r="G179" s="909"/>
      <c r="H179" s="917">
        <f t="shared" si="73"/>
        <v>-294504.62087847415</v>
      </c>
      <c r="I179" s="910">
        <f t="shared" si="67"/>
        <v>-75038.163675885196</v>
      </c>
      <c r="J179" s="910">
        <f t="shared" si="64"/>
        <v>-87259957.440820456</v>
      </c>
      <c r="K179" s="896"/>
      <c r="L179" s="917">
        <f t="shared" si="74"/>
        <v>0</v>
      </c>
      <c r="M179" s="913">
        <f t="shared" si="68"/>
        <v>294504.62087847415</v>
      </c>
      <c r="N179" s="913">
        <f t="shared" si="69"/>
        <v>0</v>
      </c>
      <c r="O179" s="913">
        <f t="shared" si="70"/>
        <v>-75038.163675885196</v>
      </c>
      <c r="P179" s="913">
        <f t="shared" si="71"/>
        <v>-75038.163675885196</v>
      </c>
      <c r="Q179" s="913">
        <f t="shared" si="65"/>
        <v>0</v>
      </c>
    </row>
    <row r="180" spans="1:17">
      <c r="A180" s="895">
        <f t="shared" si="50"/>
        <v>172</v>
      </c>
      <c r="B180" s="914" t="s">
        <v>912</v>
      </c>
      <c r="C180" s="910">
        <v>31</v>
      </c>
      <c r="D180" s="915">
        <f>D181+C181</f>
        <v>62</v>
      </c>
      <c r="E180" s="915">
        <f t="shared" si="72"/>
        <v>365</v>
      </c>
      <c r="F180" s="916">
        <f t="shared" si="66"/>
        <v>0.16986301369863013</v>
      </c>
      <c r="G180" s="909"/>
      <c r="H180" s="917">
        <f t="shared" si="73"/>
        <v>-294504.62087847415</v>
      </c>
      <c r="I180" s="910">
        <f t="shared" si="67"/>
        <v>-50025.442450590126</v>
      </c>
      <c r="J180" s="910">
        <f t="shared" si="64"/>
        <v>-87309982.883271039</v>
      </c>
      <c r="K180" s="896"/>
      <c r="L180" s="917">
        <f t="shared" si="74"/>
        <v>0</v>
      </c>
      <c r="M180" s="913">
        <f t="shared" si="68"/>
        <v>294504.62087847415</v>
      </c>
      <c r="N180" s="913">
        <f t="shared" si="69"/>
        <v>0</v>
      </c>
      <c r="O180" s="913">
        <f t="shared" si="70"/>
        <v>-50025.442450590126</v>
      </c>
      <c r="P180" s="913">
        <f t="shared" si="71"/>
        <v>-50025.442450590126</v>
      </c>
      <c r="Q180" s="913">
        <f t="shared" si="65"/>
        <v>0</v>
      </c>
    </row>
    <row r="181" spans="1:17">
      <c r="A181" s="895">
        <f t="shared" si="50"/>
        <v>173</v>
      </c>
      <c r="B181" s="914" t="s">
        <v>913</v>
      </c>
      <c r="C181" s="910">
        <v>30</v>
      </c>
      <c r="D181" s="915">
        <f>D182+C182</f>
        <v>32</v>
      </c>
      <c r="E181" s="915">
        <f t="shared" si="72"/>
        <v>365</v>
      </c>
      <c r="F181" s="916">
        <f t="shared" si="66"/>
        <v>8.7671232876712329E-2</v>
      </c>
      <c r="G181" s="909"/>
      <c r="H181" s="917">
        <f t="shared" si="73"/>
        <v>-294504.62087847415</v>
      </c>
      <c r="I181" s="910">
        <f t="shared" si="67"/>
        <v>-25819.583200304583</v>
      </c>
      <c r="J181" s="910">
        <f t="shared" si="64"/>
        <v>-87335802.466471344</v>
      </c>
      <c r="K181" s="896"/>
      <c r="L181" s="917">
        <f t="shared" si="74"/>
        <v>0</v>
      </c>
      <c r="M181" s="913">
        <f t="shared" si="68"/>
        <v>294504.62087847415</v>
      </c>
      <c r="N181" s="913">
        <f t="shared" si="69"/>
        <v>0</v>
      </c>
      <c r="O181" s="913">
        <f t="shared" si="70"/>
        <v>-25819.583200304583</v>
      </c>
      <c r="P181" s="913">
        <f t="shared" si="71"/>
        <v>-25819.583200304583</v>
      </c>
      <c r="Q181" s="913">
        <f t="shared" si="65"/>
        <v>0</v>
      </c>
    </row>
    <row r="182" spans="1:17">
      <c r="A182" s="895">
        <f t="shared" si="50"/>
        <v>174</v>
      </c>
      <c r="B182" s="914" t="s">
        <v>914</v>
      </c>
      <c r="C182" s="910">
        <v>31</v>
      </c>
      <c r="D182" s="915">
        <v>1</v>
      </c>
      <c r="E182" s="915">
        <f t="shared" si="72"/>
        <v>365</v>
      </c>
      <c r="F182" s="916">
        <f t="shared" si="66"/>
        <v>2.7397260273972603E-3</v>
      </c>
      <c r="G182" s="909"/>
      <c r="H182" s="917">
        <f t="shared" si="73"/>
        <v>-294504.62087847415</v>
      </c>
      <c r="I182" s="910">
        <f t="shared" si="67"/>
        <v>-806.86197500951823</v>
      </c>
      <c r="J182" s="910">
        <f t="shared" si="64"/>
        <v>-87336609.328446358</v>
      </c>
      <c r="K182" s="896"/>
      <c r="L182" s="917">
        <f t="shared" si="74"/>
        <v>0</v>
      </c>
      <c r="M182" s="913">
        <f t="shared" si="68"/>
        <v>294504.62087847415</v>
      </c>
      <c r="N182" s="913">
        <f t="shared" si="69"/>
        <v>0</v>
      </c>
      <c r="O182" s="913">
        <f t="shared" si="70"/>
        <v>-806.86197500951823</v>
      </c>
      <c r="P182" s="913">
        <f t="shared" si="71"/>
        <v>-806.86197500951823</v>
      </c>
      <c r="Q182" s="913">
        <f t="shared" si="65"/>
        <v>0</v>
      </c>
    </row>
    <row r="183" spans="1:17">
      <c r="A183" s="895">
        <f t="shared" si="50"/>
        <v>175</v>
      </c>
      <c r="B183" s="918"/>
      <c r="C183" s="918" t="s">
        <v>795</v>
      </c>
      <c r="D183" s="919">
        <f>+SUM(D171:D182)</f>
        <v>2029</v>
      </c>
      <c r="E183" s="919">
        <f>+SUM(E171:E182)</f>
        <v>4380</v>
      </c>
      <c r="F183" s="920"/>
      <c r="G183" s="909"/>
      <c r="H183" s="921">
        <f>SUM(H171:H182)</f>
        <v>-3534055.4505416905</v>
      </c>
      <c r="I183" s="921">
        <f>SUM(I171:I182)</f>
        <v>-1637122.9472943125</v>
      </c>
      <c r="J183" s="920"/>
      <c r="K183" s="896"/>
      <c r="L183" s="922">
        <f>SUM(L171:L182)</f>
        <v>0</v>
      </c>
      <c r="M183" s="922">
        <f>SUM(M171:M182)</f>
        <v>3534055.4505416905</v>
      </c>
      <c r="N183" s="922">
        <f>SUM(N171:N182)</f>
        <v>0</v>
      </c>
      <c r="O183" s="922">
        <f>SUM(O171:O182)</f>
        <v>-1637122.9472943125</v>
      </c>
      <c r="P183" s="922">
        <f>SUM(P171:P182)</f>
        <v>-1637122.9472943125</v>
      </c>
      <c r="Q183" s="922"/>
    </row>
    <row r="184" spans="1:17">
      <c r="A184" s="895">
        <f t="shared" si="50"/>
        <v>176</v>
      </c>
      <c r="B184" s="924"/>
      <c r="C184" s="924"/>
      <c r="D184" s="925"/>
      <c r="E184" s="925"/>
      <c r="F184" s="926"/>
      <c r="G184" s="909"/>
      <c r="H184" s="910"/>
      <c r="I184" s="910"/>
      <c r="J184" s="926"/>
      <c r="K184" s="896"/>
      <c r="L184" s="928"/>
      <c r="M184" s="928"/>
      <c r="N184" s="928"/>
      <c r="O184" s="928"/>
      <c r="P184" s="928"/>
      <c r="Q184" s="928"/>
    </row>
    <row r="185" spans="1:17">
      <c r="A185" s="895">
        <f t="shared" si="50"/>
        <v>177</v>
      </c>
      <c r="B185" s="896" t="s">
        <v>1677</v>
      </c>
      <c r="C185" s="924"/>
      <c r="D185" s="925"/>
      <c r="E185" s="929">
        <f>1-(D183/E183)</f>
        <v>0.53675799086757991</v>
      </c>
      <c r="F185" s="926"/>
      <c r="G185" s="909"/>
      <c r="H185" s="910"/>
      <c r="I185" s="910"/>
      <c r="J185" s="926"/>
      <c r="K185" s="896"/>
      <c r="L185" s="928"/>
      <c r="M185" s="928"/>
      <c r="N185" s="928"/>
      <c r="O185" s="928"/>
      <c r="P185" s="928"/>
      <c r="Q185" s="928"/>
    </row>
    <row r="186" spans="1:17">
      <c r="A186" s="895">
        <f t="shared" si="50"/>
        <v>178</v>
      </c>
      <c r="B186" s="924"/>
      <c r="C186" s="924"/>
      <c r="D186" s="924"/>
      <c r="E186" s="924"/>
      <c r="F186" s="926"/>
      <c r="G186" s="926"/>
      <c r="H186" s="931"/>
      <c r="I186" s="932"/>
      <c r="J186" s="926"/>
      <c r="K186" s="896"/>
      <c r="L186" s="896"/>
      <c r="M186" s="896"/>
      <c r="N186" s="896"/>
      <c r="O186" s="896"/>
      <c r="P186" s="896"/>
      <c r="Q186" s="896"/>
    </row>
    <row r="187" spans="1:17">
      <c r="A187" s="895">
        <f t="shared" si="50"/>
        <v>179</v>
      </c>
      <c r="B187" s="930"/>
      <c r="C187" s="924"/>
      <c r="D187" s="896"/>
      <c r="E187" s="924"/>
      <c r="F187" s="896"/>
      <c r="G187" s="926"/>
      <c r="H187" s="931"/>
      <c r="I187" s="932"/>
      <c r="J187" s="925"/>
      <c r="K187" s="896"/>
      <c r="L187" s="896"/>
      <c r="M187" s="896"/>
      <c r="N187" s="896"/>
      <c r="O187" s="896"/>
      <c r="P187" s="896"/>
      <c r="Q187" s="925"/>
    </row>
    <row r="188" spans="1:17" customFormat="1">
      <c r="A188" s="895">
        <f t="shared" si="50"/>
        <v>180</v>
      </c>
      <c r="B188" s="933" t="s">
        <v>1678</v>
      </c>
      <c r="C188" s="933"/>
      <c r="D188" s="933"/>
      <c r="E188" s="933"/>
      <c r="F188" s="934" t="str">
        <f>"(Line "&amp;A170&amp;", Col H)"</f>
        <v>(Line 162, Col H)</v>
      </c>
      <c r="G188" s="935"/>
      <c r="H188" s="933"/>
      <c r="I188" s="935"/>
      <c r="J188" s="913">
        <f>J170</f>
        <v>-85699486.381152034</v>
      </c>
      <c r="K188" s="933"/>
      <c r="L188" s="933"/>
      <c r="M188" s="933"/>
      <c r="N188" s="934" t="str">
        <f>"(Line "&amp;A170&amp;", Col N)"</f>
        <v>(Line 162, Col N)</v>
      </c>
      <c r="O188" s="933"/>
      <c r="P188" s="933"/>
      <c r="Q188" s="913">
        <f>Q170</f>
        <v>0</v>
      </c>
    </row>
    <row r="189" spans="1:17" customFormat="1">
      <c r="A189" s="895">
        <f t="shared" si="50"/>
        <v>181</v>
      </c>
      <c r="B189" s="933" t="s">
        <v>1679</v>
      </c>
      <c r="C189" s="933"/>
      <c r="D189" s="933"/>
      <c r="E189" s="933"/>
      <c r="F189" s="934" t="str">
        <f>"(Line "&amp;A182&amp;", Col H)"</f>
        <v>(Line 174, Col H)</v>
      </c>
      <c r="G189" s="935"/>
      <c r="H189" s="933"/>
      <c r="I189" s="935"/>
      <c r="J189" s="910">
        <f>J182</f>
        <v>-87336609.328446358</v>
      </c>
      <c r="K189" s="933"/>
      <c r="L189" s="936"/>
      <c r="M189" s="933"/>
      <c r="N189" s="934" t="str">
        <f>"(Line "&amp;A182&amp;", Col N)"</f>
        <v>(Line 174, Col N)</v>
      </c>
      <c r="O189" s="933"/>
      <c r="P189" s="933"/>
      <c r="Q189" s="910">
        <f>Q182</f>
        <v>0</v>
      </c>
    </row>
    <row r="190" spans="1:17" customFormat="1">
      <c r="A190" s="895">
        <f t="shared" si="50"/>
        <v>182</v>
      </c>
      <c r="B190" s="933" t="s">
        <v>1680</v>
      </c>
      <c r="C190" s="933"/>
      <c r="D190" s="933"/>
      <c r="E190" s="933"/>
      <c r="F190" s="933" t="str">
        <f>"(Average of Line "&amp;A188&amp;" &amp; Line "&amp;A189&amp;")"</f>
        <v>(Average of Line 180 &amp; Line 181)</v>
      </c>
      <c r="G190" s="935"/>
      <c r="H190" s="933"/>
      <c r="I190" s="937"/>
      <c r="J190" s="938">
        <f>(J188+J189)/2</f>
        <v>-86518047.854799196</v>
      </c>
      <c r="K190" s="933"/>
      <c r="L190" s="939"/>
      <c r="M190" s="933"/>
      <c r="N190" s="933" t="str">
        <f>"(Average of Line "&amp;A188&amp;" &amp; Line "&amp;A189&amp;")"</f>
        <v>(Average of Line 180 &amp; Line 181)</v>
      </c>
      <c r="O190" s="933"/>
      <c r="P190" s="933"/>
      <c r="Q190" s="938">
        <f>(Q188+Q189)/2</f>
        <v>0</v>
      </c>
    </row>
    <row r="191" spans="1:17" customFormat="1" ht="13.5" customHeight="1">
      <c r="A191" s="895">
        <f t="shared" si="50"/>
        <v>183</v>
      </c>
      <c r="B191" s="933" t="s">
        <v>1681</v>
      </c>
      <c r="C191" s="933"/>
      <c r="D191" s="933"/>
      <c r="E191" s="933"/>
      <c r="F191" s="933" t="s">
        <v>1828</v>
      </c>
      <c r="G191" s="933"/>
      <c r="H191" s="933"/>
      <c r="I191" s="933"/>
      <c r="J191" s="940">
        <f>AVERAGE(J170, (SUM(H171:H182)+J170))</f>
        <v>-87466514.106422871</v>
      </c>
      <c r="K191" s="933"/>
      <c r="L191" s="933"/>
      <c r="M191" s="933"/>
      <c r="N191" s="933" t="s">
        <v>1828</v>
      </c>
      <c r="O191" s="933"/>
      <c r="P191" s="933"/>
      <c r="Q191" s="940">
        <f>AVERAGE(Q170, (SUM(L171:L182)+Q170))</f>
        <v>0</v>
      </c>
    </row>
    <row r="192" spans="1:17" customFormat="1" ht="13.5" customHeight="1">
      <c r="A192" s="895">
        <f t="shared" si="50"/>
        <v>184</v>
      </c>
      <c r="B192" s="933" t="s">
        <v>1682</v>
      </c>
      <c r="C192" s="933"/>
      <c r="D192" s="933"/>
      <c r="E192" s="933"/>
      <c r="F192" s="933"/>
      <c r="G192" s="933"/>
      <c r="H192" s="933"/>
      <c r="I192" s="933"/>
      <c r="J192" s="936">
        <f>J190-J191</f>
        <v>948466.25162367523</v>
      </c>
      <c r="K192" s="933"/>
      <c r="L192" s="933"/>
      <c r="M192" s="933"/>
      <c r="N192" s="933"/>
      <c r="O192" s="933"/>
      <c r="P192" s="933"/>
      <c r="Q192" s="936">
        <f>Q190-Q191</f>
        <v>0</v>
      </c>
    </row>
    <row r="193" spans="1:18">
      <c r="A193" s="895">
        <f t="shared" si="50"/>
        <v>185</v>
      </c>
      <c r="B193" s="941"/>
      <c r="C193" s="941"/>
      <c r="D193" s="941"/>
      <c r="E193" s="941"/>
      <c r="F193" s="941"/>
      <c r="G193" s="941"/>
      <c r="H193" s="941"/>
      <c r="I193" s="941"/>
      <c r="J193" s="941"/>
      <c r="K193" s="896"/>
      <c r="L193" s="896"/>
      <c r="M193" s="896"/>
      <c r="N193" s="896"/>
      <c r="O193" s="896"/>
      <c r="P193" s="896"/>
      <c r="Q193" s="941"/>
    </row>
    <row r="194" spans="1:18">
      <c r="A194" s="895">
        <f t="shared" si="50"/>
        <v>186</v>
      </c>
      <c r="B194" s="941"/>
      <c r="C194" s="941"/>
      <c r="D194" s="941"/>
      <c r="E194" s="941"/>
      <c r="F194" s="941"/>
      <c r="G194" s="941"/>
      <c r="H194" s="941"/>
      <c r="I194" s="941"/>
      <c r="J194" s="941"/>
      <c r="K194" s="896"/>
      <c r="L194" s="896"/>
      <c r="M194" s="896"/>
      <c r="N194" s="896"/>
      <c r="O194" s="896"/>
      <c r="P194" s="896"/>
      <c r="Q194" s="941"/>
    </row>
    <row r="195" spans="1:18">
      <c r="A195" s="895">
        <f t="shared" si="50"/>
        <v>187</v>
      </c>
      <c r="B195" s="1252" t="s">
        <v>1685</v>
      </c>
      <c r="C195" s="1252"/>
      <c r="D195" s="1252"/>
      <c r="E195" s="1252"/>
      <c r="F195" s="896"/>
      <c r="G195" s="896"/>
      <c r="H195" s="942"/>
      <c r="I195" s="942"/>
      <c r="J195" s="942"/>
      <c r="K195" s="896"/>
      <c r="L195" s="943"/>
      <c r="M195" s="944"/>
      <c r="N195" s="944"/>
      <c r="O195" s="944"/>
      <c r="P195" s="944"/>
      <c r="Q195" s="944"/>
      <c r="R195" s="901"/>
    </row>
    <row r="196" spans="1:18">
      <c r="A196" s="895">
        <f t="shared" si="50"/>
        <v>188</v>
      </c>
      <c r="B196" s="1253" t="s">
        <v>995</v>
      </c>
      <c r="C196" s="1253"/>
      <c r="D196" s="1253"/>
      <c r="E196" s="1253"/>
      <c r="F196" s="896"/>
      <c r="G196" s="896"/>
      <c r="H196" s="942"/>
      <c r="I196" s="942"/>
      <c r="J196" s="942"/>
      <c r="K196" s="896"/>
      <c r="L196" s="943"/>
      <c r="M196" s="944"/>
      <c r="N196" s="944"/>
      <c r="O196" s="944"/>
      <c r="P196" s="944"/>
      <c r="Q196" s="944"/>
      <c r="R196" s="901"/>
    </row>
    <row r="197" spans="1:18">
      <c r="A197" s="895">
        <f t="shared" si="50"/>
        <v>189</v>
      </c>
      <c r="B197" s="1254" t="s">
        <v>1661</v>
      </c>
      <c r="C197" s="1255"/>
      <c r="D197" s="1255"/>
      <c r="E197" s="1255"/>
      <c r="F197" s="1256"/>
      <c r="G197" s="902"/>
      <c r="H197" s="1257" t="s">
        <v>1662</v>
      </c>
      <c r="I197" s="1258"/>
      <c r="J197" s="1259"/>
      <c r="K197" s="896"/>
      <c r="L197" s="1257" t="s">
        <v>1663</v>
      </c>
      <c r="M197" s="1258"/>
      <c r="N197" s="1258"/>
      <c r="O197" s="1258"/>
      <c r="P197" s="1258"/>
      <c r="Q197" s="1258"/>
    </row>
    <row r="198" spans="1:18">
      <c r="A198" s="895">
        <f t="shared" si="50"/>
        <v>190</v>
      </c>
      <c r="B198" s="903" t="s">
        <v>830</v>
      </c>
      <c r="C198" s="903" t="s">
        <v>831</v>
      </c>
      <c r="D198" s="903" t="s">
        <v>832</v>
      </c>
      <c r="E198" s="903" t="s">
        <v>833</v>
      </c>
      <c r="F198" s="903" t="s">
        <v>834</v>
      </c>
      <c r="G198" s="902"/>
      <c r="H198" s="903" t="s">
        <v>835</v>
      </c>
      <c r="I198" s="903" t="s">
        <v>836</v>
      </c>
      <c r="J198" s="903" t="s">
        <v>837</v>
      </c>
      <c r="K198" s="896"/>
      <c r="L198" s="903" t="s">
        <v>838</v>
      </c>
      <c r="M198" s="903" t="s">
        <v>839</v>
      </c>
      <c r="N198" s="903" t="s">
        <v>840</v>
      </c>
      <c r="O198" s="903" t="s">
        <v>841</v>
      </c>
      <c r="P198" s="903" t="s">
        <v>843</v>
      </c>
      <c r="Q198" s="903" t="s">
        <v>842</v>
      </c>
    </row>
    <row r="199" spans="1:18" ht="45">
      <c r="A199" s="895">
        <f t="shared" si="50"/>
        <v>191</v>
      </c>
      <c r="B199" s="905" t="s">
        <v>1352</v>
      </c>
      <c r="C199" s="905" t="s">
        <v>1587</v>
      </c>
      <c r="D199" s="905" t="s">
        <v>1664</v>
      </c>
      <c r="E199" s="905" t="s">
        <v>1665</v>
      </c>
      <c r="F199" s="905" t="s">
        <v>1666</v>
      </c>
      <c r="G199" s="906"/>
      <c r="H199" s="905" t="s">
        <v>1667</v>
      </c>
      <c r="I199" s="905" t="s">
        <v>1668</v>
      </c>
      <c r="J199" s="905" t="s">
        <v>1669</v>
      </c>
      <c r="K199" s="896"/>
      <c r="L199" s="905" t="s">
        <v>1670</v>
      </c>
      <c r="M199" s="905" t="s">
        <v>1671</v>
      </c>
      <c r="N199" s="905" t="s">
        <v>1672</v>
      </c>
      <c r="O199" s="905" t="s">
        <v>1673</v>
      </c>
      <c r="P199" s="905" t="s">
        <v>1674</v>
      </c>
      <c r="Q199" s="905" t="s">
        <v>1675</v>
      </c>
    </row>
    <row r="200" spans="1:18">
      <c r="A200" s="895">
        <f t="shared" si="50"/>
        <v>192</v>
      </c>
      <c r="B200" s="896"/>
      <c r="C200" s="906"/>
      <c r="D200" s="906"/>
      <c r="E200" s="906"/>
      <c r="F200" s="906"/>
      <c r="G200" s="906"/>
      <c r="H200" s="906"/>
      <c r="I200" s="906"/>
      <c r="J200" s="906"/>
      <c r="K200" s="896"/>
      <c r="L200" s="896"/>
      <c r="M200" s="896"/>
      <c r="N200" s="896"/>
      <c r="O200" s="896"/>
      <c r="P200" s="896"/>
      <c r="Q200" s="896"/>
    </row>
    <row r="201" spans="1:18">
      <c r="A201" s="895">
        <f t="shared" si="50"/>
        <v>193</v>
      </c>
      <c r="B201" s="1260" t="s">
        <v>1676</v>
      </c>
      <c r="C201" s="1260"/>
      <c r="D201" s="1260"/>
      <c r="E201" s="1260"/>
      <c r="F201" s="909"/>
      <c r="G201" s="909"/>
      <c r="H201" s="910"/>
      <c r="I201" s="910"/>
      <c r="J201" s="911">
        <v>0</v>
      </c>
      <c r="K201" s="912"/>
      <c r="L201" s="910"/>
      <c r="M201" s="913"/>
      <c r="N201" s="913"/>
      <c r="O201" s="913"/>
      <c r="P201" s="913"/>
      <c r="Q201" s="911">
        <f>'WP_B-2'!C156</f>
        <v>0</v>
      </c>
    </row>
    <row r="202" spans="1:18">
      <c r="A202" s="895">
        <f t="shared" si="50"/>
        <v>194</v>
      </c>
      <c r="B202" s="914" t="s">
        <v>956</v>
      </c>
      <c r="C202" s="910">
        <v>31</v>
      </c>
      <c r="D202" s="915">
        <f t="shared" ref="D202:D210" si="75">D203+C203</f>
        <v>335</v>
      </c>
      <c r="E202" s="915">
        <f>SUM(C202:C213)</f>
        <v>365</v>
      </c>
      <c r="F202" s="916">
        <f>D202/E202</f>
        <v>0.9178082191780822</v>
      </c>
      <c r="G202" s="909"/>
      <c r="H202" s="917">
        <v>0</v>
      </c>
      <c r="I202" s="910">
        <f>+H202*F202</f>
        <v>0</v>
      </c>
      <c r="J202" s="910">
        <f t="shared" ref="J202:J213" si="76">+I202+J201</f>
        <v>0</v>
      </c>
      <c r="K202" s="896"/>
      <c r="L202" s="917">
        <f>('WP_B-2'!D156-'WP_B-2'!C156)/12</f>
        <v>0</v>
      </c>
      <c r="M202" s="913">
        <f>L202-H202</f>
        <v>0</v>
      </c>
      <c r="N202" s="913">
        <f>IF(M202&lt;=0,+M202,0)</f>
        <v>0</v>
      </c>
      <c r="O202" s="913">
        <f>IF(N202&lt;0,0,IF(L202&gt;0,0,(-(M202)*(D202/E202))))</f>
        <v>0</v>
      </c>
      <c r="P202" s="913">
        <f>IF(N202&lt;0,0,IF(L202&lt;0,0,(-(M202)*(D202/E202))))</f>
        <v>0</v>
      </c>
      <c r="Q202" s="913">
        <f t="shared" ref="Q202:Q213" si="77">IF(L202&gt;0,Q201+P202,Q201+I202+N202-O202)</f>
        <v>0</v>
      </c>
    </row>
    <row r="203" spans="1:18">
      <c r="A203" s="895">
        <f t="shared" ref="A203:A266" si="78">+A202+1</f>
        <v>195</v>
      </c>
      <c r="B203" s="914" t="s">
        <v>904</v>
      </c>
      <c r="C203" s="917">
        <f>$C$17</f>
        <v>28</v>
      </c>
      <c r="D203" s="915">
        <f t="shared" si="75"/>
        <v>307</v>
      </c>
      <c r="E203" s="915">
        <f>E202</f>
        <v>365</v>
      </c>
      <c r="F203" s="916">
        <f t="shared" ref="F203:F213" si="79">D203/E203</f>
        <v>0.84109589041095889</v>
      </c>
      <c r="G203" s="909"/>
      <c r="H203" s="917">
        <f>$H$202</f>
        <v>0</v>
      </c>
      <c r="I203" s="910">
        <f t="shared" ref="I203:I213" si="80">+H203*F203</f>
        <v>0</v>
      </c>
      <c r="J203" s="910">
        <f t="shared" si="76"/>
        <v>0</v>
      </c>
      <c r="K203" s="896"/>
      <c r="L203" s="917">
        <f>$L$202</f>
        <v>0</v>
      </c>
      <c r="M203" s="913">
        <f t="shared" ref="M203:M213" si="81">L203-H203</f>
        <v>0</v>
      </c>
      <c r="N203" s="913">
        <f t="shared" ref="N203:N213" si="82">IF(M203&lt;=0,+M203,0)</f>
        <v>0</v>
      </c>
      <c r="O203" s="913">
        <f t="shared" ref="O203:O213" si="83">IF(N203&lt;0,0,IF(L203&gt;0,0,(-(M203)*(D203/E203))))</f>
        <v>0</v>
      </c>
      <c r="P203" s="913">
        <f t="shared" ref="P203:P213" si="84">IF(N203&lt;0,0,IF(L203&lt;0,0,(-(M203)*(D203/E203))))</f>
        <v>0</v>
      </c>
      <c r="Q203" s="913">
        <f t="shared" si="77"/>
        <v>0</v>
      </c>
    </row>
    <row r="204" spans="1:18">
      <c r="A204" s="895">
        <f t="shared" si="78"/>
        <v>196</v>
      </c>
      <c r="B204" s="914" t="s">
        <v>905</v>
      </c>
      <c r="C204" s="910">
        <v>31</v>
      </c>
      <c r="D204" s="915">
        <f t="shared" si="75"/>
        <v>276</v>
      </c>
      <c r="E204" s="915">
        <f t="shared" ref="E204:E213" si="85">E203</f>
        <v>365</v>
      </c>
      <c r="F204" s="916">
        <f t="shared" si="79"/>
        <v>0.75616438356164384</v>
      </c>
      <c r="G204" s="909"/>
      <c r="H204" s="917">
        <f t="shared" ref="H204:H213" si="86">$H$202</f>
        <v>0</v>
      </c>
      <c r="I204" s="910">
        <f t="shared" si="80"/>
        <v>0</v>
      </c>
      <c r="J204" s="910">
        <f t="shared" si="76"/>
        <v>0</v>
      </c>
      <c r="K204" s="896"/>
      <c r="L204" s="917">
        <f t="shared" ref="L204:L213" si="87">$L$202</f>
        <v>0</v>
      </c>
      <c r="M204" s="913">
        <f t="shared" si="81"/>
        <v>0</v>
      </c>
      <c r="N204" s="913">
        <f t="shared" si="82"/>
        <v>0</v>
      </c>
      <c r="O204" s="913">
        <f t="shared" si="83"/>
        <v>0</v>
      </c>
      <c r="P204" s="913">
        <f t="shared" si="84"/>
        <v>0</v>
      </c>
      <c r="Q204" s="913">
        <f t="shared" si="77"/>
        <v>0</v>
      </c>
    </row>
    <row r="205" spans="1:18">
      <c r="A205" s="895">
        <f t="shared" si="78"/>
        <v>197</v>
      </c>
      <c r="B205" s="914" t="s">
        <v>906</v>
      </c>
      <c r="C205" s="910">
        <v>30</v>
      </c>
      <c r="D205" s="915">
        <f t="shared" si="75"/>
        <v>246</v>
      </c>
      <c r="E205" s="915">
        <f t="shared" si="85"/>
        <v>365</v>
      </c>
      <c r="F205" s="916">
        <f t="shared" si="79"/>
        <v>0.67397260273972603</v>
      </c>
      <c r="G205" s="909"/>
      <c r="H205" s="917">
        <f t="shared" si="86"/>
        <v>0</v>
      </c>
      <c r="I205" s="910">
        <f t="shared" si="80"/>
        <v>0</v>
      </c>
      <c r="J205" s="910">
        <f t="shared" si="76"/>
        <v>0</v>
      </c>
      <c r="K205" s="896"/>
      <c r="L205" s="917">
        <f t="shared" si="87"/>
        <v>0</v>
      </c>
      <c r="M205" s="913">
        <f t="shared" si="81"/>
        <v>0</v>
      </c>
      <c r="N205" s="913">
        <f t="shared" si="82"/>
        <v>0</v>
      </c>
      <c r="O205" s="913">
        <f t="shared" si="83"/>
        <v>0</v>
      </c>
      <c r="P205" s="913">
        <f t="shared" si="84"/>
        <v>0</v>
      </c>
      <c r="Q205" s="913">
        <f t="shared" si="77"/>
        <v>0</v>
      </c>
    </row>
    <row r="206" spans="1:18">
      <c r="A206" s="895">
        <f t="shared" si="78"/>
        <v>198</v>
      </c>
      <c r="B206" s="914" t="s">
        <v>907</v>
      </c>
      <c r="C206" s="910">
        <v>31</v>
      </c>
      <c r="D206" s="915">
        <f t="shared" si="75"/>
        <v>215</v>
      </c>
      <c r="E206" s="915">
        <f t="shared" si="85"/>
        <v>365</v>
      </c>
      <c r="F206" s="916">
        <f t="shared" si="79"/>
        <v>0.58904109589041098</v>
      </c>
      <c r="G206" s="909"/>
      <c r="H206" s="917">
        <f t="shared" si="86"/>
        <v>0</v>
      </c>
      <c r="I206" s="910">
        <f t="shared" si="80"/>
        <v>0</v>
      </c>
      <c r="J206" s="910">
        <f t="shared" si="76"/>
        <v>0</v>
      </c>
      <c r="K206" s="896"/>
      <c r="L206" s="917">
        <f t="shared" si="87"/>
        <v>0</v>
      </c>
      <c r="M206" s="913">
        <f t="shared" si="81"/>
        <v>0</v>
      </c>
      <c r="N206" s="913">
        <f t="shared" si="82"/>
        <v>0</v>
      </c>
      <c r="O206" s="913">
        <f t="shared" si="83"/>
        <v>0</v>
      </c>
      <c r="P206" s="913">
        <f t="shared" si="84"/>
        <v>0</v>
      </c>
      <c r="Q206" s="913">
        <f t="shared" si="77"/>
        <v>0</v>
      </c>
    </row>
    <row r="207" spans="1:18">
      <c r="A207" s="895">
        <f t="shared" si="78"/>
        <v>199</v>
      </c>
      <c r="B207" s="914" t="s">
        <v>908</v>
      </c>
      <c r="C207" s="910">
        <v>30</v>
      </c>
      <c r="D207" s="915">
        <f t="shared" si="75"/>
        <v>185</v>
      </c>
      <c r="E207" s="915">
        <f t="shared" si="85"/>
        <v>365</v>
      </c>
      <c r="F207" s="916">
        <f t="shared" si="79"/>
        <v>0.50684931506849318</v>
      </c>
      <c r="G207" s="909"/>
      <c r="H207" s="917">
        <f t="shared" si="86"/>
        <v>0</v>
      </c>
      <c r="I207" s="910">
        <f t="shared" si="80"/>
        <v>0</v>
      </c>
      <c r="J207" s="910">
        <f t="shared" si="76"/>
        <v>0</v>
      </c>
      <c r="K207" s="896"/>
      <c r="L207" s="917">
        <f t="shared" si="87"/>
        <v>0</v>
      </c>
      <c r="M207" s="913">
        <f t="shared" si="81"/>
        <v>0</v>
      </c>
      <c r="N207" s="913">
        <f t="shared" si="82"/>
        <v>0</v>
      </c>
      <c r="O207" s="913">
        <f t="shared" si="83"/>
        <v>0</v>
      </c>
      <c r="P207" s="913">
        <f t="shared" si="84"/>
        <v>0</v>
      </c>
      <c r="Q207" s="913">
        <f t="shared" si="77"/>
        <v>0</v>
      </c>
    </row>
    <row r="208" spans="1:18">
      <c r="A208" s="895">
        <f t="shared" si="78"/>
        <v>200</v>
      </c>
      <c r="B208" s="914" t="s">
        <v>909</v>
      </c>
      <c r="C208" s="910">
        <v>31</v>
      </c>
      <c r="D208" s="915">
        <f t="shared" si="75"/>
        <v>154</v>
      </c>
      <c r="E208" s="915">
        <f t="shared" si="85"/>
        <v>365</v>
      </c>
      <c r="F208" s="916">
        <f t="shared" si="79"/>
        <v>0.42191780821917807</v>
      </c>
      <c r="G208" s="909"/>
      <c r="H208" s="917">
        <f t="shared" si="86"/>
        <v>0</v>
      </c>
      <c r="I208" s="910">
        <f t="shared" si="80"/>
        <v>0</v>
      </c>
      <c r="J208" s="910">
        <f t="shared" si="76"/>
        <v>0</v>
      </c>
      <c r="K208" s="896"/>
      <c r="L208" s="917">
        <f t="shared" si="87"/>
        <v>0</v>
      </c>
      <c r="M208" s="913">
        <f t="shared" si="81"/>
        <v>0</v>
      </c>
      <c r="N208" s="913">
        <f t="shared" si="82"/>
        <v>0</v>
      </c>
      <c r="O208" s="913">
        <f t="shared" si="83"/>
        <v>0</v>
      </c>
      <c r="P208" s="913">
        <f t="shared" si="84"/>
        <v>0</v>
      </c>
      <c r="Q208" s="913">
        <f t="shared" si="77"/>
        <v>0</v>
      </c>
    </row>
    <row r="209" spans="1:17">
      <c r="A209" s="895">
        <f t="shared" si="78"/>
        <v>201</v>
      </c>
      <c r="B209" s="914" t="s">
        <v>910</v>
      </c>
      <c r="C209" s="910">
        <v>31</v>
      </c>
      <c r="D209" s="915">
        <f t="shared" si="75"/>
        <v>123</v>
      </c>
      <c r="E209" s="915">
        <f t="shared" si="85"/>
        <v>365</v>
      </c>
      <c r="F209" s="916">
        <f t="shared" si="79"/>
        <v>0.33698630136986302</v>
      </c>
      <c r="G209" s="909"/>
      <c r="H209" s="917">
        <f t="shared" si="86"/>
        <v>0</v>
      </c>
      <c r="I209" s="910">
        <f t="shared" si="80"/>
        <v>0</v>
      </c>
      <c r="J209" s="910">
        <f t="shared" si="76"/>
        <v>0</v>
      </c>
      <c r="K209" s="896"/>
      <c r="L209" s="917">
        <f t="shared" si="87"/>
        <v>0</v>
      </c>
      <c r="M209" s="913">
        <f t="shared" si="81"/>
        <v>0</v>
      </c>
      <c r="N209" s="913">
        <f t="shared" si="82"/>
        <v>0</v>
      </c>
      <c r="O209" s="913">
        <f t="shared" si="83"/>
        <v>0</v>
      </c>
      <c r="P209" s="913">
        <f t="shared" si="84"/>
        <v>0</v>
      </c>
      <c r="Q209" s="913">
        <f t="shared" si="77"/>
        <v>0</v>
      </c>
    </row>
    <row r="210" spans="1:17">
      <c r="A210" s="895">
        <f t="shared" si="78"/>
        <v>202</v>
      </c>
      <c r="B210" s="914" t="s">
        <v>911</v>
      </c>
      <c r="C210" s="910">
        <v>30</v>
      </c>
      <c r="D210" s="915">
        <f t="shared" si="75"/>
        <v>93</v>
      </c>
      <c r="E210" s="915">
        <f t="shared" si="85"/>
        <v>365</v>
      </c>
      <c r="F210" s="916">
        <f t="shared" si="79"/>
        <v>0.25479452054794521</v>
      </c>
      <c r="G210" s="909"/>
      <c r="H210" s="917">
        <f t="shared" si="86"/>
        <v>0</v>
      </c>
      <c r="I210" s="910">
        <f t="shared" si="80"/>
        <v>0</v>
      </c>
      <c r="J210" s="910">
        <f t="shared" si="76"/>
        <v>0</v>
      </c>
      <c r="K210" s="896"/>
      <c r="L210" s="917">
        <f t="shared" si="87"/>
        <v>0</v>
      </c>
      <c r="M210" s="913">
        <f t="shared" si="81"/>
        <v>0</v>
      </c>
      <c r="N210" s="913">
        <f t="shared" si="82"/>
        <v>0</v>
      </c>
      <c r="O210" s="913">
        <f t="shared" si="83"/>
        <v>0</v>
      </c>
      <c r="P210" s="913">
        <f t="shared" si="84"/>
        <v>0</v>
      </c>
      <c r="Q210" s="913">
        <f t="shared" si="77"/>
        <v>0</v>
      </c>
    </row>
    <row r="211" spans="1:17">
      <c r="A211" s="895">
        <f t="shared" si="78"/>
        <v>203</v>
      </c>
      <c r="B211" s="914" t="s">
        <v>912</v>
      </c>
      <c r="C211" s="910">
        <v>31</v>
      </c>
      <c r="D211" s="915">
        <f>D212+C212</f>
        <v>62</v>
      </c>
      <c r="E211" s="915">
        <f t="shared" si="85"/>
        <v>365</v>
      </c>
      <c r="F211" s="916">
        <f t="shared" si="79"/>
        <v>0.16986301369863013</v>
      </c>
      <c r="G211" s="909"/>
      <c r="H211" s="917">
        <f t="shared" si="86"/>
        <v>0</v>
      </c>
      <c r="I211" s="910">
        <f t="shared" si="80"/>
        <v>0</v>
      </c>
      <c r="J211" s="910">
        <f t="shared" si="76"/>
        <v>0</v>
      </c>
      <c r="K211" s="896"/>
      <c r="L211" s="917">
        <f t="shared" si="87"/>
        <v>0</v>
      </c>
      <c r="M211" s="913">
        <f t="shared" si="81"/>
        <v>0</v>
      </c>
      <c r="N211" s="913">
        <f t="shared" si="82"/>
        <v>0</v>
      </c>
      <c r="O211" s="913">
        <f t="shared" si="83"/>
        <v>0</v>
      </c>
      <c r="P211" s="913">
        <f t="shared" si="84"/>
        <v>0</v>
      </c>
      <c r="Q211" s="913">
        <f t="shared" si="77"/>
        <v>0</v>
      </c>
    </row>
    <row r="212" spans="1:17">
      <c r="A212" s="895">
        <f t="shared" si="78"/>
        <v>204</v>
      </c>
      <c r="B212" s="914" t="s">
        <v>913</v>
      </c>
      <c r="C212" s="910">
        <v>30</v>
      </c>
      <c r="D212" s="915">
        <f>D213+C213</f>
        <v>32</v>
      </c>
      <c r="E212" s="915">
        <f t="shared" si="85"/>
        <v>365</v>
      </c>
      <c r="F212" s="916">
        <f t="shared" si="79"/>
        <v>8.7671232876712329E-2</v>
      </c>
      <c r="G212" s="909"/>
      <c r="H212" s="917">
        <f t="shared" si="86"/>
        <v>0</v>
      </c>
      <c r="I212" s="910">
        <f t="shared" si="80"/>
        <v>0</v>
      </c>
      <c r="J212" s="910">
        <f t="shared" si="76"/>
        <v>0</v>
      </c>
      <c r="K212" s="896"/>
      <c r="L212" s="917">
        <f t="shared" si="87"/>
        <v>0</v>
      </c>
      <c r="M212" s="913">
        <f t="shared" si="81"/>
        <v>0</v>
      </c>
      <c r="N212" s="913">
        <f t="shared" si="82"/>
        <v>0</v>
      </c>
      <c r="O212" s="913">
        <f t="shared" si="83"/>
        <v>0</v>
      </c>
      <c r="P212" s="913">
        <f t="shared" si="84"/>
        <v>0</v>
      </c>
      <c r="Q212" s="913">
        <f t="shared" si="77"/>
        <v>0</v>
      </c>
    </row>
    <row r="213" spans="1:17">
      <c r="A213" s="895">
        <f t="shared" si="78"/>
        <v>205</v>
      </c>
      <c r="B213" s="914" t="s">
        <v>914</v>
      </c>
      <c r="C213" s="910">
        <v>31</v>
      </c>
      <c r="D213" s="915">
        <v>1</v>
      </c>
      <c r="E213" s="915">
        <f t="shared" si="85"/>
        <v>365</v>
      </c>
      <c r="F213" s="916">
        <f t="shared" si="79"/>
        <v>2.7397260273972603E-3</v>
      </c>
      <c r="G213" s="909"/>
      <c r="H213" s="917">
        <f t="shared" si="86"/>
        <v>0</v>
      </c>
      <c r="I213" s="910">
        <f t="shared" si="80"/>
        <v>0</v>
      </c>
      <c r="J213" s="910">
        <f t="shared" si="76"/>
        <v>0</v>
      </c>
      <c r="K213" s="896"/>
      <c r="L213" s="917">
        <f t="shared" si="87"/>
        <v>0</v>
      </c>
      <c r="M213" s="913">
        <f t="shared" si="81"/>
        <v>0</v>
      </c>
      <c r="N213" s="913">
        <f t="shared" si="82"/>
        <v>0</v>
      </c>
      <c r="O213" s="913">
        <f t="shared" si="83"/>
        <v>0</v>
      </c>
      <c r="P213" s="913">
        <f t="shared" si="84"/>
        <v>0</v>
      </c>
      <c r="Q213" s="913">
        <f t="shared" si="77"/>
        <v>0</v>
      </c>
    </row>
    <row r="214" spans="1:17">
      <c r="A214" s="895">
        <f t="shared" si="78"/>
        <v>206</v>
      </c>
      <c r="B214" s="918"/>
      <c r="C214" s="918" t="s">
        <v>795</v>
      </c>
      <c r="D214" s="919">
        <f>+SUM(D202:D213)</f>
        <v>2029</v>
      </c>
      <c r="E214" s="919">
        <f>+SUM(E202:E213)</f>
        <v>4380</v>
      </c>
      <c r="F214" s="920"/>
      <c r="G214" s="909"/>
      <c r="H214" s="921">
        <f>SUM(H202:H213)</f>
        <v>0</v>
      </c>
      <c r="I214" s="921">
        <f>SUM(I202:I213)</f>
        <v>0</v>
      </c>
      <c r="J214" s="920"/>
      <c r="K214" s="896"/>
      <c r="L214" s="922">
        <f>SUM(L202:L213)</f>
        <v>0</v>
      </c>
      <c r="M214" s="922">
        <f>SUM(M202:M213)</f>
        <v>0</v>
      </c>
      <c r="N214" s="922">
        <f>SUM(N202:N213)</f>
        <v>0</v>
      </c>
      <c r="O214" s="922">
        <f>SUM(O202:O213)</f>
        <v>0</v>
      </c>
      <c r="P214" s="922">
        <f>SUM(P202:P213)</f>
        <v>0</v>
      </c>
      <c r="Q214" s="922"/>
    </row>
    <row r="215" spans="1:17">
      <c r="A215" s="895">
        <f t="shared" si="78"/>
        <v>207</v>
      </c>
      <c r="B215" s="924"/>
      <c r="C215" s="924"/>
      <c r="D215" s="925"/>
      <c r="E215" s="925"/>
      <c r="F215" s="926"/>
      <c r="G215" s="909"/>
      <c r="H215" s="910"/>
      <c r="I215" s="910"/>
      <c r="J215" s="926"/>
      <c r="K215" s="896"/>
      <c r="L215" s="928"/>
      <c r="M215" s="928"/>
      <c r="N215" s="928"/>
      <c r="O215" s="928"/>
      <c r="P215" s="928"/>
      <c r="Q215" s="928"/>
    </row>
    <row r="216" spans="1:17">
      <c r="A216" s="895">
        <f t="shared" si="78"/>
        <v>208</v>
      </c>
      <c r="B216" s="896" t="s">
        <v>1677</v>
      </c>
      <c r="C216" s="924"/>
      <c r="D216" s="925"/>
      <c r="E216" s="929">
        <f>1-(D214/E214)</f>
        <v>0.53675799086757991</v>
      </c>
      <c r="F216" s="926"/>
      <c r="G216" s="909"/>
      <c r="H216" s="910"/>
      <c r="I216" s="910"/>
      <c r="J216" s="926"/>
      <c r="K216" s="896"/>
      <c r="L216" s="928"/>
      <c r="M216" s="928"/>
      <c r="N216" s="928"/>
      <c r="O216" s="928"/>
      <c r="P216" s="928"/>
      <c r="Q216" s="928"/>
    </row>
    <row r="217" spans="1:17">
      <c r="A217" s="895">
        <f t="shared" si="78"/>
        <v>209</v>
      </c>
      <c r="B217" s="924"/>
      <c r="C217" s="924"/>
      <c r="D217" s="924"/>
      <c r="E217" s="924"/>
      <c r="F217" s="926"/>
      <c r="G217" s="926"/>
      <c r="H217" s="931"/>
      <c r="I217" s="932"/>
      <c r="J217" s="926"/>
      <c r="K217" s="896"/>
      <c r="L217" s="896"/>
      <c r="M217" s="896"/>
      <c r="N217" s="896"/>
      <c r="O217" s="896"/>
      <c r="P217" s="896"/>
      <c r="Q217" s="896"/>
    </row>
    <row r="218" spans="1:17">
      <c r="A218" s="895">
        <f t="shared" si="78"/>
        <v>210</v>
      </c>
      <c r="B218" s="930"/>
      <c r="C218" s="924"/>
      <c r="D218" s="896"/>
      <c r="E218" s="924"/>
      <c r="F218" s="896"/>
      <c r="G218" s="926"/>
      <c r="H218" s="931"/>
      <c r="I218" s="932"/>
      <c r="J218" s="925"/>
      <c r="K218" s="896"/>
      <c r="L218" s="896"/>
      <c r="M218" s="896"/>
      <c r="N218" s="896"/>
      <c r="O218" s="896"/>
      <c r="P218" s="896"/>
      <c r="Q218" s="925"/>
    </row>
    <row r="219" spans="1:17" customFormat="1">
      <c r="A219" s="895">
        <f t="shared" si="78"/>
        <v>211</v>
      </c>
      <c r="B219" s="933" t="s">
        <v>1678</v>
      </c>
      <c r="C219" s="933"/>
      <c r="D219" s="933"/>
      <c r="E219" s="933"/>
      <c r="F219" s="934" t="str">
        <f>"(Line "&amp;A201&amp;", Col H)"</f>
        <v>(Line 193, Col H)</v>
      </c>
      <c r="G219" s="935"/>
      <c r="H219" s="933"/>
      <c r="I219" s="935"/>
      <c r="J219" s="913">
        <f>J201</f>
        <v>0</v>
      </c>
      <c r="K219" s="933"/>
      <c r="L219" s="933"/>
      <c r="M219" s="933"/>
      <c r="N219" s="934" t="str">
        <f>"(Line "&amp;A201&amp;", Col N)"</f>
        <v>(Line 193, Col N)</v>
      </c>
      <c r="O219" s="933"/>
      <c r="P219" s="933"/>
      <c r="Q219" s="913">
        <f>Q201</f>
        <v>0</v>
      </c>
    </row>
    <row r="220" spans="1:17" customFormat="1">
      <c r="A220" s="895">
        <f t="shared" si="78"/>
        <v>212</v>
      </c>
      <c r="B220" s="933" t="s">
        <v>1679</v>
      </c>
      <c r="C220" s="933"/>
      <c r="D220" s="933"/>
      <c r="E220" s="933"/>
      <c r="F220" s="934" t="str">
        <f>"(Line "&amp;A213&amp;", Col H)"</f>
        <v>(Line 205, Col H)</v>
      </c>
      <c r="G220" s="935"/>
      <c r="H220" s="933"/>
      <c r="I220" s="935"/>
      <c r="J220" s="910">
        <f>J213</f>
        <v>0</v>
      </c>
      <c r="K220" s="933"/>
      <c r="L220" s="936"/>
      <c r="M220" s="933"/>
      <c r="N220" s="934" t="str">
        <f>"(Line "&amp;A213&amp;", Col N)"</f>
        <v>(Line 205, Col N)</v>
      </c>
      <c r="O220" s="933"/>
      <c r="P220" s="933"/>
      <c r="Q220" s="910">
        <f>Q213</f>
        <v>0</v>
      </c>
    </row>
    <row r="221" spans="1:17" customFormat="1">
      <c r="A221" s="895">
        <f t="shared" si="78"/>
        <v>213</v>
      </c>
      <c r="B221" s="933" t="s">
        <v>1680</v>
      </c>
      <c r="C221" s="933"/>
      <c r="D221" s="933"/>
      <c r="E221" s="933"/>
      <c r="F221" s="933" t="str">
        <f>"(Average of Line "&amp;A219&amp;" &amp; Line "&amp;A220&amp;")"</f>
        <v>(Average of Line 211 &amp; Line 212)</v>
      </c>
      <c r="G221" s="935"/>
      <c r="H221" s="933"/>
      <c r="I221" s="937"/>
      <c r="J221" s="938">
        <f>(J219+J220)/2</f>
        <v>0</v>
      </c>
      <c r="K221" s="933"/>
      <c r="L221" s="939"/>
      <c r="M221" s="933"/>
      <c r="N221" s="933" t="str">
        <f>"(Average of Line "&amp;A219&amp;" &amp; Line "&amp;A220&amp;")"</f>
        <v>(Average of Line 211 &amp; Line 212)</v>
      </c>
      <c r="O221" s="933"/>
      <c r="P221" s="933"/>
      <c r="Q221" s="938">
        <f>(Q219+Q220)/2</f>
        <v>0</v>
      </c>
    </row>
    <row r="222" spans="1:17" customFormat="1" ht="13.5" customHeight="1">
      <c r="A222" s="895">
        <f t="shared" si="78"/>
        <v>214</v>
      </c>
      <c r="B222" s="933" t="s">
        <v>1681</v>
      </c>
      <c r="C222" s="933"/>
      <c r="D222" s="933"/>
      <c r="E222" s="933"/>
      <c r="F222" s="933" t="s">
        <v>1829</v>
      </c>
      <c r="G222" s="933"/>
      <c r="H222" s="933"/>
      <c r="I222" s="933"/>
      <c r="J222" s="940">
        <f>AVERAGE(J201, (SUM(H202:H213)+J201))</f>
        <v>0</v>
      </c>
      <c r="K222" s="933"/>
      <c r="L222" s="933"/>
      <c r="M222" s="933"/>
      <c r="N222" s="933" t="s">
        <v>1830</v>
      </c>
      <c r="O222" s="933"/>
      <c r="P222" s="933"/>
      <c r="Q222" s="940">
        <f>AVERAGE(Q201, (SUM(L202:L213)+Q201))</f>
        <v>0</v>
      </c>
    </row>
    <row r="223" spans="1:17" customFormat="1" ht="13.5" customHeight="1">
      <c r="A223" s="895">
        <f t="shared" si="78"/>
        <v>215</v>
      </c>
      <c r="B223" s="933" t="s">
        <v>1682</v>
      </c>
      <c r="C223" s="933"/>
      <c r="D223" s="933"/>
      <c r="E223" s="933"/>
      <c r="F223" s="933"/>
      <c r="G223" s="933"/>
      <c r="H223" s="933"/>
      <c r="I223" s="933"/>
      <c r="J223" s="936">
        <f>J221-J222</f>
        <v>0</v>
      </c>
      <c r="K223" s="933"/>
      <c r="L223" s="933"/>
      <c r="M223" s="933"/>
      <c r="N223" s="933"/>
      <c r="O223" s="933"/>
      <c r="P223" s="933"/>
      <c r="Q223" s="936">
        <f>Q221-Q222</f>
        <v>0</v>
      </c>
    </row>
    <row r="224" spans="1:17">
      <c r="A224" s="895">
        <f t="shared" si="78"/>
        <v>216</v>
      </c>
      <c r="B224" s="941"/>
      <c r="C224" s="941"/>
      <c r="D224" s="941"/>
      <c r="E224" s="941"/>
      <c r="F224" s="941"/>
      <c r="G224" s="941"/>
      <c r="H224" s="941"/>
      <c r="I224" s="941"/>
      <c r="J224" s="941"/>
      <c r="K224" s="896"/>
      <c r="L224" s="896"/>
      <c r="M224" s="896"/>
      <c r="N224" s="896"/>
      <c r="O224" s="896"/>
      <c r="P224" s="896"/>
      <c r="Q224" s="941"/>
    </row>
    <row r="225" spans="1:18">
      <c r="A225" s="895">
        <f t="shared" si="78"/>
        <v>217</v>
      </c>
      <c r="B225" s="941"/>
      <c r="C225" s="941"/>
      <c r="D225" s="941"/>
      <c r="E225" s="941"/>
      <c r="F225" s="941"/>
      <c r="G225" s="941"/>
      <c r="H225" s="941"/>
      <c r="I225" s="941"/>
      <c r="J225" s="941"/>
      <c r="K225" s="896"/>
      <c r="L225" s="896"/>
      <c r="M225" s="896"/>
      <c r="N225" s="896"/>
      <c r="O225" s="896"/>
      <c r="P225" s="896"/>
      <c r="Q225" s="941"/>
    </row>
    <row r="226" spans="1:18">
      <c r="A226" s="895">
        <f t="shared" si="78"/>
        <v>218</v>
      </c>
      <c r="B226" s="1252" t="s">
        <v>1685</v>
      </c>
      <c r="C226" s="1252"/>
      <c r="D226" s="1252"/>
      <c r="E226" s="1252"/>
      <c r="F226" s="896"/>
      <c r="G226" s="896"/>
      <c r="H226" s="942"/>
      <c r="I226" s="942"/>
      <c r="J226" s="942"/>
      <c r="K226" s="896"/>
      <c r="L226" s="943"/>
      <c r="M226" s="944"/>
      <c r="N226" s="944"/>
      <c r="O226" s="944"/>
      <c r="P226" s="944"/>
      <c r="Q226" s="944"/>
      <c r="R226" s="901"/>
    </row>
    <row r="227" spans="1:18">
      <c r="A227" s="895">
        <f t="shared" si="78"/>
        <v>219</v>
      </c>
      <c r="B227" s="1253" t="s">
        <v>1306</v>
      </c>
      <c r="C227" s="1253"/>
      <c r="D227" s="1253"/>
      <c r="E227" s="1253"/>
      <c r="F227" s="896"/>
      <c r="G227" s="896"/>
      <c r="H227" s="942"/>
      <c r="I227" s="942"/>
      <c r="J227" s="942"/>
      <c r="K227" s="896"/>
      <c r="L227" s="943"/>
      <c r="M227" s="944"/>
      <c r="N227" s="944"/>
      <c r="O227" s="944"/>
      <c r="P227" s="944"/>
      <c r="Q227" s="944"/>
      <c r="R227" s="901"/>
    </row>
    <row r="228" spans="1:18">
      <c r="A228" s="895">
        <f t="shared" si="78"/>
        <v>220</v>
      </c>
      <c r="B228" s="1254" t="s">
        <v>1661</v>
      </c>
      <c r="C228" s="1255"/>
      <c r="D228" s="1255"/>
      <c r="E228" s="1255"/>
      <c r="F228" s="1256"/>
      <c r="G228" s="902"/>
      <c r="H228" s="1257" t="s">
        <v>1662</v>
      </c>
      <c r="I228" s="1258"/>
      <c r="J228" s="1259"/>
      <c r="K228" s="896"/>
      <c r="L228" s="1257" t="s">
        <v>1663</v>
      </c>
      <c r="M228" s="1258"/>
      <c r="N228" s="1258"/>
      <c r="O228" s="1258"/>
      <c r="P228" s="1258"/>
      <c r="Q228" s="1258"/>
    </row>
    <row r="229" spans="1:18">
      <c r="A229" s="895">
        <f t="shared" si="78"/>
        <v>221</v>
      </c>
      <c r="B229" s="903" t="s">
        <v>830</v>
      </c>
      <c r="C229" s="903" t="s">
        <v>831</v>
      </c>
      <c r="D229" s="903" t="s">
        <v>832</v>
      </c>
      <c r="E229" s="903" t="s">
        <v>833</v>
      </c>
      <c r="F229" s="903" t="s">
        <v>834</v>
      </c>
      <c r="G229" s="902"/>
      <c r="H229" s="903" t="s">
        <v>835</v>
      </c>
      <c r="I229" s="903" t="s">
        <v>836</v>
      </c>
      <c r="J229" s="903" t="s">
        <v>837</v>
      </c>
      <c r="K229" s="896"/>
      <c r="L229" s="903" t="s">
        <v>838</v>
      </c>
      <c r="M229" s="903" t="s">
        <v>839</v>
      </c>
      <c r="N229" s="903" t="s">
        <v>840</v>
      </c>
      <c r="O229" s="903" t="s">
        <v>841</v>
      </c>
      <c r="P229" s="903" t="s">
        <v>843</v>
      </c>
      <c r="Q229" s="903" t="s">
        <v>842</v>
      </c>
    </row>
    <row r="230" spans="1:18" ht="45">
      <c r="A230" s="895">
        <f t="shared" si="78"/>
        <v>222</v>
      </c>
      <c r="B230" s="905" t="s">
        <v>1352</v>
      </c>
      <c r="C230" s="905" t="s">
        <v>1587</v>
      </c>
      <c r="D230" s="905" t="s">
        <v>1664</v>
      </c>
      <c r="E230" s="905" t="s">
        <v>1665</v>
      </c>
      <c r="F230" s="905" t="s">
        <v>1666</v>
      </c>
      <c r="G230" s="906"/>
      <c r="H230" s="905" t="s">
        <v>1667</v>
      </c>
      <c r="I230" s="905" t="s">
        <v>1668</v>
      </c>
      <c r="J230" s="905" t="s">
        <v>1669</v>
      </c>
      <c r="K230" s="896"/>
      <c r="L230" s="905" t="s">
        <v>1670</v>
      </c>
      <c r="M230" s="905" t="s">
        <v>1671</v>
      </c>
      <c r="N230" s="905" t="s">
        <v>1672</v>
      </c>
      <c r="O230" s="905" t="s">
        <v>1673</v>
      </c>
      <c r="P230" s="905" t="s">
        <v>1674</v>
      </c>
      <c r="Q230" s="905" t="s">
        <v>1675</v>
      </c>
    </row>
    <row r="231" spans="1:18">
      <c r="A231" s="895">
        <f t="shared" si="78"/>
        <v>223</v>
      </c>
      <c r="B231" s="896"/>
      <c r="C231" s="906"/>
      <c r="D231" s="906"/>
      <c r="E231" s="906"/>
      <c r="F231" s="906"/>
      <c r="G231" s="906"/>
      <c r="H231" s="906"/>
      <c r="I231" s="906"/>
      <c r="J231" s="906"/>
      <c r="K231" s="896"/>
      <c r="L231" s="896"/>
      <c r="M231" s="896"/>
      <c r="N231" s="896"/>
      <c r="O231" s="896"/>
      <c r="P231" s="896"/>
      <c r="Q231" s="896"/>
    </row>
    <row r="232" spans="1:18">
      <c r="A232" s="895">
        <f t="shared" si="78"/>
        <v>224</v>
      </c>
      <c r="B232" s="1260" t="s">
        <v>1676</v>
      </c>
      <c r="C232" s="1260"/>
      <c r="D232" s="1260"/>
      <c r="E232" s="1260"/>
      <c r="F232" s="909"/>
      <c r="G232" s="909"/>
      <c r="H232" s="910"/>
      <c r="I232" s="910"/>
      <c r="J232" s="1163">
        <f>+SUM('WP_B-2'!C55:C58,'WP_B-2'!F55:F58)</f>
        <v>-42144474.265160896</v>
      </c>
      <c r="K232" s="912"/>
      <c r="L232" s="910"/>
      <c r="M232" s="913"/>
      <c r="N232" s="913"/>
      <c r="O232" s="913"/>
      <c r="P232" s="913"/>
      <c r="Q232" s="911">
        <f>'WP_B-2'!C164</f>
        <v>0</v>
      </c>
    </row>
    <row r="233" spans="1:18">
      <c r="A233" s="895">
        <f t="shared" si="78"/>
        <v>225</v>
      </c>
      <c r="B233" s="914" t="s">
        <v>956</v>
      </c>
      <c r="C233" s="910">
        <v>31</v>
      </c>
      <c r="D233" s="915">
        <f t="shared" ref="D233:D241" si="88">D234+C234</f>
        <v>335</v>
      </c>
      <c r="E233" s="915">
        <f>SUM(C233:C244)</f>
        <v>365</v>
      </c>
      <c r="F233" s="916">
        <f>D233/E233</f>
        <v>0.9178082191780822</v>
      </c>
      <c r="G233" s="909"/>
      <c r="H233" s="917">
        <f>-(SUM('WP_B-2'!C55:C58,'WP_B-2'!F55:F58)-SUM('WP_B-2'!D55:D58,'WP_B-2'!F55:F58))/12</f>
        <v>-370748.27568145405</v>
      </c>
      <c r="I233" s="910">
        <f>+H233*F233</f>
        <v>-340275.81466654001</v>
      </c>
      <c r="J233" s="910">
        <f t="shared" ref="J233:J244" si="89">+I233+J232</f>
        <v>-42484750.079827435</v>
      </c>
      <c r="K233" s="896"/>
      <c r="L233" s="917">
        <f>('WP_B-2'!D164-'WP_B-2'!C164)/12</f>
        <v>0</v>
      </c>
      <c r="M233" s="913">
        <f>L233-H233</f>
        <v>370748.27568145405</v>
      </c>
      <c r="N233" s="913">
        <f>IF(M233&lt;=0,+M233,0)</f>
        <v>0</v>
      </c>
      <c r="O233" s="913">
        <f>IF(N233&lt;0,0,IF(L233&gt;0,0,(-(M233)*(D233/E233))))</f>
        <v>-340275.81466654001</v>
      </c>
      <c r="P233" s="913">
        <f>IF(N233&lt;0,0,IF(L233&lt;0,0,(-(M233)*(D233/E233))))</f>
        <v>-340275.81466654001</v>
      </c>
      <c r="Q233" s="913">
        <f>IF(L233&gt;0,Q232+P233,Q232+I233+N233-O233)</f>
        <v>0</v>
      </c>
    </row>
    <row r="234" spans="1:18">
      <c r="A234" s="895">
        <f t="shared" si="78"/>
        <v>226</v>
      </c>
      <c r="B234" s="914" t="s">
        <v>904</v>
      </c>
      <c r="C234" s="917">
        <f>$C$17</f>
        <v>28</v>
      </c>
      <c r="D234" s="915">
        <f t="shared" si="88"/>
        <v>307</v>
      </c>
      <c r="E234" s="915">
        <f>E233</f>
        <v>365</v>
      </c>
      <c r="F234" s="916">
        <f t="shared" ref="F234:F244" si="90">D234/E234</f>
        <v>0.84109589041095889</v>
      </c>
      <c r="G234" s="909"/>
      <c r="H234" s="917">
        <f>$H$233</f>
        <v>-370748.27568145405</v>
      </c>
      <c r="I234" s="910">
        <f t="shared" ref="I234:I244" si="91">+H234*F234</f>
        <v>-311834.85105262027</v>
      </c>
      <c r="J234" s="910">
        <f t="shared" si="89"/>
        <v>-42796584.930880055</v>
      </c>
      <c r="K234" s="896"/>
      <c r="L234" s="917">
        <f>$L$233</f>
        <v>0</v>
      </c>
      <c r="M234" s="913">
        <f t="shared" ref="M234:M244" si="92">L234-H234</f>
        <v>370748.27568145405</v>
      </c>
      <c r="N234" s="913">
        <f t="shared" ref="N234:N244" si="93">IF(M234&lt;=0,+M234,0)</f>
        <v>0</v>
      </c>
      <c r="O234" s="913">
        <f t="shared" ref="O234:O244" si="94">IF(N234&lt;0,0,IF(L234&gt;0,0,(-(M234)*(D234/E234))))</f>
        <v>-311834.85105262027</v>
      </c>
      <c r="P234" s="913">
        <f t="shared" ref="P234:P244" si="95">IF(N234&lt;0,0,IF(L234&lt;0,0,(-(M234)*(D234/E234))))</f>
        <v>-311834.85105262027</v>
      </c>
      <c r="Q234" s="913">
        <f t="shared" ref="Q234:Q244" si="96">IF(L234&gt;0,Q233+P234,Q233+I234+N234-O234)</f>
        <v>0</v>
      </c>
    </row>
    <row r="235" spans="1:18">
      <c r="A235" s="895">
        <f t="shared" si="78"/>
        <v>227</v>
      </c>
      <c r="B235" s="914" t="s">
        <v>905</v>
      </c>
      <c r="C235" s="910">
        <v>31</v>
      </c>
      <c r="D235" s="915">
        <f t="shared" si="88"/>
        <v>276</v>
      </c>
      <c r="E235" s="915">
        <f t="shared" ref="E235:E244" si="97">E234</f>
        <v>365</v>
      </c>
      <c r="F235" s="916">
        <f t="shared" si="90"/>
        <v>0.75616438356164384</v>
      </c>
      <c r="G235" s="909"/>
      <c r="H235" s="917">
        <f t="shared" ref="H235:H244" si="98">$H$233</f>
        <v>-370748.27568145405</v>
      </c>
      <c r="I235" s="910">
        <f t="shared" si="91"/>
        <v>-280346.64133720909</v>
      </c>
      <c r="J235" s="910">
        <f t="shared" si="89"/>
        <v>-43076931.572217263</v>
      </c>
      <c r="K235" s="896"/>
      <c r="L235" s="917">
        <f t="shared" ref="L235:L244" si="99">$L$233</f>
        <v>0</v>
      </c>
      <c r="M235" s="913">
        <f t="shared" si="92"/>
        <v>370748.27568145405</v>
      </c>
      <c r="N235" s="913">
        <f t="shared" si="93"/>
        <v>0</v>
      </c>
      <c r="O235" s="913">
        <f t="shared" si="94"/>
        <v>-280346.64133720909</v>
      </c>
      <c r="P235" s="913">
        <f t="shared" si="95"/>
        <v>-280346.64133720909</v>
      </c>
      <c r="Q235" s="913">
        <f t="shared" si="96"/>
        <v>0</v>
      </c>
    </row>
    <row r="236" spans="1:18">
      <c r="A236" s="895">
        <f t="shared" si="78"/>
        <v>228</v>
      </c>
      <c r="B236" s="914" t="s">
        <v>906</v>
      </c>
      <c r="C236" s="910">
        <v>30</v>
      </c>
      <c r="D236" s="915">
        <f t="shared" si="88"/>
        <v>246</v>
      </c>
      <c r="E236" s="915">
        <f t="shared" si="97"/>
        <v>365</v>
      </c>
      <c r="F236" s="916">
        <f t="shared" si="90"/>
        <v>0.67397260273972603</v>
      </c>
      <c r="G236" s="909"/>
      <c r="H236" s="917">
        <f t="shared" si="98"/>
        <v>-370748.27568145405</v>
      </c>
      <c r="I236" s="910">
        <f t="shared" si="91"/>
        <v>-249874.18032229505</v>
      </c>
      <c r="J236" s="910">
        <f t="shared" si="89"/>
        <v>-43326805.75253956</v>
      </c>
      <c r="K236" s="896"/>
      <c r="L236" s="917">
        <f t="shared" si="99"/>
        <v>0</v>
      </c>
      <c r="M236" s="913">
        <f t="shared" si="92"/>
        <v>370748.27568145405</v>
      </c>
      <c r="N236" s="913">
        <f t="shared" si="93"/>
        <v>0</v>
      </c>
      <c r="O236" s="913">
        <f t="shared" si="94"/>
        <v>-249874.18032229505</v>
      </c>
      <c r="P236" s="913">
        <f t="shared" si="95"/>
        <v>-249874.18032229505</v>
      </c>
      <c r="Q236" s="913">
        <f t="shared" si="96"/>
        <v>0</v>
      </c>
    </row>
    <row r="237" spans="1:18">
      <c r="A237" s="895">
        <f t="shared" si="78"/>
        <v>229</v>
      </c>
      <c r="B237" s="914" t="s">
        <v>907</v>
      </c>
      <c r="C237" s="910">
        <v>31</v>
      </c>
      <c r="D237" s="915">
        <f t="shared" si="88"/>
        <v>215</v>
      </c>
      <c r="E237" s="915">
        <f t="shared" si="97"/>
        <v>365</v>
      </c>
      <c r="F237" s="916">
        <f t="shared" si="90"/>
        <v>0.58904109589041098</v>
      </c>
      <c r="G237" s="909"/>
      <c r="H237" s="917">
        <f t="shared" si="98"/>
        <v>-370748.27568145405</v>
      </c>
      <c r="I237" s="910">
        <f t="shared" si="91"/>
        <v>-218385.9706068839</v>
      </c>
      <c r="J237" s="910">
        <f t="shared" si="89"/>
        <v>-43545191.723146446</v>
      </c>
      <c r="K237" s="896"/>
      <c r="L237" s="917">
        <f t="shared" si="99"/>
        <v>0</v>
      </c>
      <c r="M237" s="913">
        <f t="shared" si="92"/>
        <v>370748.27568145405</v>
      </c>
      <c r="N237" s="913">
        <f t="shared" si="93"/>
        <v>0</v>
      </c>
      <c r="O237" s="913">
        <f t="shared" si="94"/>
        <v>-218385.9706068839</v>
      </c>
      <c r="P237" s="913">
        <f t="shared" si="95"/>
        <v>-218385.9706068839</v>
      </c>
      <c r="Q237" s="913">
        <f t="shared" si="96"/>
        <v>0</v>
      </c>
    </row>
    <row r="238" spans="1:18">
      <c r="A238" s="895">
        <f t="shared" si="78"/>
        <v>230</v>
      </c>
      <c r="B238" s="914" t="s">
        <v>908</v>
      </c>
      <c r="C238" s="910">
        <v>30</v>
      </c>
      <c r="D238" s="915">
        <f t="shared" si="88"/>
        <v>185</v>
      </c>
      <c r="E238" s="915">
        <f t="shared" si="97"/>
        <v>365</v>
      </c>
      <c r="F238" s="916">
        <f t="shared" si="90"/>
        <v>0.50684931506849318</v>
      </c>
      <c r="G238" s="909"/>
      <c r="H238" s="917">
        <f t="shared" si="98"/>
        <v>-370748.27568145405</v>
      </c>
      <c r="I238" s="910">
        <f t="shared" si="91"/>
        <v>-187913.50959196987</v>
      </c>
      <c r="J238" s="910">
        <f t="shared" si="89"/>
        <v>-43733105.232738413</v>
      </c>
      <c r="K238" s="896"/>
      <c r="L238" s="917">
        <f t="shared" si="99"/>
        <v>0</v>
      </c>
      <c r="M238" s="913">
        <f t="shared" si="92"/>
        <v>370748.27568145405</v>
      </c>
      <c r="N238" s="913">
        <f t="shared" si="93"/>
        <v>0</v>
      </c>
      <c r="O238" s="913">
        <f t="shared" si="94"/>
        <v>-187913.50959196987</v>
      </c>
      <c r="P238" s="913">
        <f t="shared" si="95"/>
        <v>-187913.50959196987</v>
      </c>
      <c r="Q238" s="913">
        <f t="shared" si="96"/>
        <v>0</v>
      </c>
    </row>
    <row r="239" spans="1:18">
      <c r="A239" s="895">
        <f t="shared" si="78"/>
        <v>231</v>
      </c>
      <c r="B239" s="914" t="s">
        <v>909</v>
      </c>
      <c r="C239" s="910">
        <v>31</v>
      </c>
      <c r="D239" s="915">
        <f t="shared" si="88"/>
        <v>154</v>
      </c>
      <c r="E239" s="915">
        <f t="shared" si="97"/>
        <v>365</v>
      </c>
      <c r="F239" s="916">
        <f t="shared" si="90"/>
        <v>0.42191780821917807</v>
      </c>
      <c r="G239" s="909"/>
      <c r="H239" s="917">
        <f t="shared" si="98"/>
        <v>-370748.27568145405</v>
      </c>
      <c r="I239" s="910">
        <f t="shared" si="91"/>
        <v>-156425.29987655868</v>
      </c>
      <c r="J239" s="910">
        <f t="shared" si="89"/>
        <v>-43889530.532614969</v>
      </c>
      <c r="K239" s="896"/>
      <c r="L239" s="917">
        <f t="shared" si="99"/>
        <v>0</v>
      </c>
      <c r="M239" s="913">
        <f t="shared" si="92"/>
        <v>370748.27568145405</v>
      </c>
      <c r="N239" s="913">
        <f t="shared" si="93"/>
        <v>0</v>
      </c>
      <c r="O239" s="913">
        <f t="shared" si="94"/>
        <v>-156425.29987655868</v>
      </c>
      <c r="P239" s="913">
        <f t="shared" si="95"/>
        <v>-156425.29987655868</v>
      </c>
      <c r="Q239" s="913">
        <f t="shared" si="96"/>
        <v>0</v>
      </c>
    </row>
    <row r="240" spans="1:18">
      <c r="A240" s="895">
        <f t="shared" si="78"/>
        <v>232</v>
      </c>
      <c r="B240" s="914" t="s">
        <v>910</v>
      </c>
      <c r="C240" s="910">
        <v>31</v>
      </c>
      <c r="D240" s="915">
        <f t="shared" si="88"/>
        <v>123</v>
      </c>
      <c r="E240" s="915">
        <f t="shared" si="97"/>
        <v>365</v>
      </c>
      <c r="F240" s="916">
        <f t="shared" si="90"/>
        <v>0.33698630136986302</v>
      </c>
      <c r="G240" s="909"/>
      <c r="H240" s="917">
        <f t="shared" si="98"/>
        <v>-370748.27568145405</v>
      </c>
      <c r="I240" s="910">
        <f t="shared" si="91"/>
        <v>-124937.09016114753</v>
      </c>
      <c r="J240" s="910">
        <f t="shared" si="89"/>
        <v>-44014467.622776113</v>
      </c>
      <c r="K240" s="896"/>
      <c r="L240" s="917">
        <f t="shared" si="99"/>
        <v>0</v>
      </c>
      <c r="M240" s="913">
        <f t="shared" si="92"/>
        <v>370748.27568145405</v>
      </c>
      <c r="N240" s="913">
        <f t="shared" si="93"/>
        <v>0</v>
      </c>
      <c r="O240" s="913">
        <f t="shared" si="94"/>
        <v>-124937.09016114753</v>
      </c>
      <c r="P240" s="913">
        <f t="shared" si="95"/>
        <v>-124937.09016114753</v>
      </c>
      <c r="Q240" s="913">
        <f t="shared" si="96"/>
        <v>0</v>
      </c>
    </row>
    <row r="241" spans="1:17">
      <c r="A241" s="895">
        <f t="shared" si="78"/>
        <v>233</v>
      </c>
      <c r="B241" s="914" t="s">
        <v>911</v>
      </c>
      <c r="C241" s="910">
        <v>30</v>
      </c>
      <c r="D241" s="915">
        <f t="shared" si="88"/>
        <v>93</v>
      </c>
      <c r="E241" s="915">
        <f t="shared" si="97"/>
        <v>365</v>
      </c>
      <c r="F241" s="916">
        <f t="shared" si="90"/>
        <v>0.25479452054794521</v>
      </c>
      <c r="G241" s="909"/>
      <c r="H241" s="917">
        <f t="shared" si="98"/>
        <v>-370748.27568145405</v>
      </c>
      <c r="I241" s="910">
        <f t="shared" si="91"/>
        <v>-94464.629146233507</v>
      </c>
      <c r="J241" s="910">
        <f t="shared" si="89"/>
        <v>-44108932.251922347</v>
      </c>
      <c r="K241" s="896"/>
      <c r="L241" s="917">
        <f t="shared" si="99"/>
        <v>0</v>
      </c>
      <c r="M241" s="913">
        <f t="shared" si="92"/>
        <v>370748.27568145405</v>
      </c>
      <c r="N241" s="913">
        <f t="shared" si="93"/>
        <v>0</v>
      </c>
      <c r="O241" s="913">
        <f t="shared" si="94"/>
        <v>-94464.629146233507</v>
      </c>
      <c r="P241" s="913">
        <f t="shared" si="95"/>
        <v>-94464.629146233507</v>
      </c>
      <c r="Q241" s="913">
        <f t="shared" si="96"/>
        <v>0</v>
      </c>
    </row>
    <row r="242" spans="1:17">
      <c r="A242" s="895">
        <f t="shared" si="78"/>
        <v>234</v>
      </c>
      <c r="B242" s="914" t="s">
        <v>912</v>
      </c>
      <c r="C242" s="910">
        <v>31</v>
      </c>
      <c r="D242" s="915">
        <f>D243+C243</f>
        <v>62</v>
      </c>
      <c r="E242" s="915">
        <f t="shared" si="97"/>
        <v>365</v>
      </c>
      <c r="F242" s="916">
        <f t="shared" si="90"/>
        <v>0.16986301369863013</v>
      </c>
      <c r="G242" s="909"/>
      <c r="H242" s="917">
        <f t="shared" si="98"/>
        <v>-370748.27568145405</v>
      </c>
      <c r="I242" s="910">
        <f t="shared" si="91"/>
        <v>-62976.41943082233</v>
      </c>
      <c r="J242" s="910">
        <f t="shared" si="89"/>
        <v>-44171908.671353169</v>
      </c>
      <c r="K242" s="896"/>
      <c r="L242" s="917">
        <f t="shared" si="99"/>
        <v>0</v>
      </c>
      <c r="M242" s="913">
        <f t="shared" si="92"/>
        <v>370748.27568145405</v>
      </c>
      <c r="N242" s="913">
        <f t="shared" si="93"/>
        <v>0</v>
      </c>
      <c r="O242" s="913">
        <f t="shared" si="94"/>
        <v>-62976.41943082233</v>
      </c>
      <c r="P242" s="913">
        <f t="shared" si="95"/>
        <v>-62976.41943082233</v>
      </c>
      <c r="Q242" s="913">
        <f t="shared" si="96"/>
        <v>0</v>
      </c>
    </row>
    <row r="243" spans="1:17">
      <c r="A243" s="895">
        <f t="shared" si="78"/>
        <v>235</v>
      </c>
      <c r="B243" s="914" t="s">
        <v>913</v>
      </c>
      <c r="C243" s="910">
        <v>30</v>
      </c>
      <c r="D243" s="915">
        <f>D244+C244</f>
        <v>32</v>
      </c>
      <c r="E243" s="915">
        <f t="shared" si="97"/>
        <v>365</v>
      </c>
      <c r="F243" s="916">
        <f t="shared" si="90"/>
        <v>8.7671232876712329E-2</v>
      </c>
      <c r="G243" s="909"/>
      <c r="H243" s="917">
        <f t="shared" si="98"/>
        <v>-370748.27568145405</v>
      </c>
      <c r="I243" s="910">
        <f t="shared" si="91"/>
        <v>-32503.958415908299</v>
      </c>
      <c r="J243" s="910">
        <f t="shared" si="89"/>
        <v>-44204412.629769079</v>
      </c>
      <c r="K243" s="896"/>
      <c r="L243" s="917">
        <f t="shared" si="99"/>
        <v>0</v>
      </c>
      <c r="M243" s="913">
        <f t="shared" si="92"/>
        <v>370748.27568145405</v>
      </c>
      <c r="N243" s="913">
        <f t="shared" si="93"/>
        <v>0</v>
      </c>
      <c r="O243" s="913">
        <f t="shared" si="94"/>
        <v>-32503.958415908299</v>
      </c>
      <c r="P243" s="913">
        <f t="shared" si="95"/>
        <v>-32503.958415908299</v>
      </c>
      <c r="Q243" s="913">
        <f t="shared" si="96"/>
        <v>0</v>
      </c>
    </row>
    <row r="244" spans="1:17">
      <c r="A244" s="895">
        <f t="shared" si="78"/>
        <v>236</v>
      </c>
      <c r="B244" s="914" t="s">
        <v>914</v>
      </c>
      <c r="C244" s="910">
        <v>31</v>
      </c>
      <c r="D244" s="915">
        <v>1</v>
      </c>
      <c r="E244" s="915">
        <f t="shared" si="97"/>
        <v>365</v>
      </c>
      <c r="F244" s="916">
        <f t="shared" si="90"/>
        <v>2.7397260273972603E-3</v>
      </c>
      <c r="G244" s="909"/>
      <c r="H244" s="917">
        <f t="shared" si="98"/>
        <v>-370748.27568145405</v>
      </c>
      <c r="I244" s="910">
        <f t="shared" si="91"/>
        <v>-1015.7487004971343</v>
      </c>
      <c r="J244" s="910">
        <f t="shared" si="89"/>
        <v>-44205428.378469579</v>
      </c>
      <c r="K244" s="896"/>
      <c r="L244" s="917">
        <f t="shared" si="99"/>
        <v>0</v>
      </c>
      <c r="M244" s="913">
        <f t="shared" si="92"/>
        <v>370748.27568145405</v>
      </c>
      <c r="N244" s="913">
        <f t="shared" si="93"/>
        <v>0</v>
      </c>
      <c r="O244" s="913">
        <f t="shared" si="94"/>
        <v>-1015.7487004971343</v>
      </c>
      <c r="P244" s="913">
        <f t="shared" si="95"/>
        <v>-1015.7487004971343</v>
      </c>
      <c r="Q244" s="913">
        <f t="shared" si="96"/>
        <v>0</v>
      </c>
    </row>
    <row r="245" spans="1:17">
      <c r="A245" s="895">
        <f t="shared" si="78"/>
        <v>237</v>
      </c>
      <c r="B245" s="918"/>
      <c r="C245" s="918" t="s">
        <v>795</v>
      </c>
      <c r="D245" s="919">
        <f>+SUM(D233:D244)</f>
        <v>2029</v>
      </c>
      <c r="E245" s="919">
        <f>+SUM(E233:E244)</f>
        <v>4380</v>
      </c>
      <c r="F245" s="920"/>
      <c r="G245" s="909"/>
      <c r="H245" s="921">
        <f>SUM(H233:H244)</f>
        <v>-4448979.3081774497</v>
      </c>
      <c r="I245" s="921">
        <f>SUM(I233:I244)</f>
        <v>-2060954.1133086858</v>
      </c>
      <c r="J245" s="920"/>
      <c r="K245" s="896"/>
      <c r="L245" s="922">
        <f>SUM(L233:L244)</f>
        <v>0</v>
      </c>
      <c r="M245" s="922">
        <f>SUM(M233:M244)</f>
        <v>4448979.3081774497</v>
      </c>
      <c r="N245" s="922">
        <f>SUM(N233:N244)</f>
        <v>0</v>
      </c>
      <c r="O245" s="922">
        <f>SUM(O233:O244)</f>
        <v>-2060954.1133086858</v>
      </c>
      <c r="P245" s="922">
        <f>SUM(P233:P244)</f>
        <v>-2060954.1133086858</v>
      </c>
      <c r="Q245" s="922"/>
    </row>
    <row r="246" spans="1:17">
      <c r="A246" s="895">
        <f t="shared" si="78"/>
        <v>238</v>
      </c>
      <c r="B246" s="924"/>
      <c r="C246" s="924"/>
      <c r="D246" s="925"/>
      <c r="E246" s="925"/>
      <c r="F246" s="926"/>
      <c r="G246" s="909"/>
      <c r="H246" s="910"/>
      <c r="I246" s="910"/>
      <c r="J246" s="926"/>
      <c r="K246" s="896"/>
      <c r="L246" s="928"/>
      <c r="M246" s="928"/>
      <c r="N246" s="928"/>
      <c r="O246" s="928"/>
      <c r="P246" s="928"/>
      <c r="Q246" s="928"/>
    </row>
    <row r="247" spans="1:17">
      <c r="A247" s="895">
        <f t="shared" si="78"/>
        <v>239</v>
      </c>
      <c r="B247" s="896" t="s">
        <v>1677</v>
      </c>
      <c r="C247" s="924"/>
      <c r="D247" s="925"/>
      <c r="E247" s="929">
        <f>1-(D245/E245)</f>
        <v>0.53675799086757991</v>
      </c>
      <c r="F247" s="926"/>
      <c r="G247" s="909"/>
      <c r="H247" s="910"/>
      <c r="I247" s="910"/>
      <c r="J247" s="926"/>
      <c r="K247" s="896"/>
      <c r="L247" s="928"/>
      <c r="M247" s="928"/>
      <c r="N247" s="928"/>
      <c r="O247" s="928"/>
      <c r="P247" s="928"/>
      <c r="Q247" s="928"/>
    </row>
    <row r="248" spans="1:17">
      <c r="A248" s="895">
        <f t="shared" si="78"/>
        <v>240</v>
      </c>
      <c r="B248" s="924"/>
      <c r="C248" s="924"/>
      <c r="D248" s="924"/>
      <c r="E248" s="924"/>
      <c r="F248" s="926"/>
      <c r="G248" s="926"/>
      <c r="H248" s="931"/>
      <c r="I248" s="932"/>
      <c r="J248" s="926"/>
      <c r="K248" s="896"/>
      <c r="L248" s="896"/>
      <c r="M248" s="896"/>
      <c r="N248" s="896"/>
      <c r="O248" s="896"/>
      <c r="P248" s="896"/>
      <c r="Q248" s="896"/>
    </row>
    <row r="249" spans="1:17">
      <c r="A249" s="895">
        <f t="shared" si="78"/>
        <v>241</v>
      </c>
      <c r="B249" s="930"/>
      <c r="C249" s="924"/>
      <c r="D249" s="896"/>
      <c r="E249" s="924"/>
      <c r="F249" s="896"/>
      <c r="G249" s="926"/>
      <c r="H249" s="931"/>
      <c r="I249" s="932"/>
      <c r="J249" s="925"/>
      <c r="K249" s="896"/>
      <c r="L249" s="896"/>
      <c r="M249" s="896"/>
      <c r="N249" s="896"/>
      <c r="O249" s="896"/>
      <c r="P249" s="896"/>
      <c r="Q249" s="925"/>
    </row>
    <row r="250" spans="1:17" customFormat="1">
      <c r="A250" s="895">
        <f t="shared" si="78"/>
        <v>242</v>
      </c>
      <c r="B250" s="933" t="s">
        <v>1678</v>
      </c>
      <c r="C250" s="933"/>
      <c r="D250" s="933"/>
      <c r="E250" s="933"/>
      <c r="F250" s="934" t="str">
        <f>"(Line "&amp;A232&amp;", Col H)"</f>
        <v>(Line 224, Col H)</v>
      </c>
      <c r="G250" s="935"/>
      <c r="H250" s="933"/>
      <c r="I250" s="935"/>
      <c r="J250" s="913">
        <f>J232</f>
        <v>-42144474.265160896</v>
      </c>
      <c r="K250" s="933"/>
      <c r="L250" s="933"/>
      <c r="M250" s="933"/>
      <c r="N250" s="934" t="str">
        <f>"(Line "&amp;A232&amp;", Col N)"</f>
        <v>(Line 224, Col N)</v>
      </c>
      <c r="O250" s="933"/>
      <c r="P250" s="933"/>
      <c r="Q250" s="913">
        <f>Q232</f>
        <v>0</v>
      </c>
    </row>
    <row r="251" spans="1:17" customFormat="1">
      <c r="A251" s="895">
        <f t="shared" si="78"/>
        <v>243</v>
      </c>
      <c r="B251" s="933" t="s">
        <v>1679</v>
      </c>
      <c r="C251" s="933"/>
      <c r="D251" s="933"/>
      <c r="E251" s="933"/>
      <c r="F251" s="934" t="str">
        <f>"(Line "&amp;A244&amp;", Col H)"</f>
        <v>(Line 236, Col H)</v>
      </c>
      <c r="G251" s="935"/>
      <c r="H251" s="933"/>
      <c r="I251" s="935"/>
      <c r="J251" s="910">
        <f>J244</f>
        <v>-44205428.378469579</v>
      </c>
      <c r="K251" s="933"/>
      <c r="L251" s="936"/>
      <c r="M251" s="933"/>
      <c r="N251" s="934" t="str">
        <f>"(Line "&amp;A244&amp;", Col N)"</f>
        <v>(Line 236, Col N)</v>
      </c>
      <c r="O251" s="933"/>
      <c r="P251" s="933"/>
      <c r="Q251" s="910">
        <f>Q244</f>
        <v>0</v>
      </c>
    </row>
    <row r="252" spans="1:17" customFormat="1">
      <c r="A252" s="895">
        <f t="shared" si="78"/>
        <v>244</v>
      </c>
      <c r="B252" s="933" t="s">
        <v>1680</v>
      </c>
      <c r="C252" s="933"/>
      <c r="D252" s="933"/>
      <c r="E252" s="933"/>
      <c r="F252" s="933" t="str">
        <f>"(Average of Line "&amp;A250&amp;" &amp; Line "&amp;A251&amp;")"</f>
        <v>(Average of Line 242 &amp; Line 243)</v>
      </c>
      <c r="G252" s="935"/>
      <c r="H252" s="933"/>
      <c r="I252" s="937"/>
      <c r="J252" s="938">
        <f>(J250+J251)/2</f>
        <v>-43174951.321815237</v>
      </c>
      <c r="K252" s="933"/>
      <c r="L252" s="939"/>
      <c r="M252" s="933"/>
      <c r="N252" s="933" t="str">
        <f>"(Average of Line "&amp;A250&amp;" &amp; Line "&amp;A251&amp;")"</f>
        <v>(Average of Line 242 &amp; Line 243)</v>
      </c>
      <c r="O252" s="933"/>
      <c r="P252" s="933"/>
      <c r="Q252" s="938">
        <f>(Q250+Q251)/2</f>
        <v>0</v>
      </c>
    </row>
    <row r="253" spans="1:17" customFormat="1" ht="13.5" customHeight="1">
      <c r="A253" s="895">
        <f t="shared" si="78"/>
        <v>245</v>
      </c>
      <c r="B253" s="933" t="s">
        <v>1681</v>
      </c>
      <c r="C253" s="933"/>
      <c r="D253" s="933"/>
      <c r="E253" s="933"/>
      <c r="F253" s="933" t="s">
        <v>1831</v>
      </c>
      <c r="G253" s="933"/>
      <c r="H253" s="933"/>
      <c r="I253" s="933"/>
      <c r="J253" s="940">
        <f>AVERAGE(J232, (SUM(H233:H244)+J232))</f>
        <v>-44368963.919249624</v>
      </c>
      <c r="K253" s="933"/>
      <c r="L253" s="933"/>
      <c r="M253" s="933"/>
      <c r="N253" s="933" t="s">
        <v>1830</v>
      </c>
      <c r="O253" s="933"/>
      <c r="P253" s="933"/>
      <c r="Q253" s="940">
        <f>AVERAGE(Q232, (SUM(L233:L244)+Q232))</f>
        <v>0</v>
      </c>
    </row>
    <row r="254" spans="1:17" customFormat="1" ht="13.5" customHeight="1">
      <c r="A254" s="895">
        <f t="shared" si="78"/>
        <v>246</v>
      </c>
      <c r="B254" s="933" t="s">
        <v>1682</v>
      </c>
      <c r="C254" s="933"/>
      <c r="D254" s="933"/>
      <c r="E254" s="933"/>
      <c r="F254" s="933"/>
      <c r="G254" s="933"/>
      <c r="H254" s="933"/>
      <c r="I254" s="933"/>
      <c r="J254" s="936">
        <f>J252-J253</f>
        <v>1194012.5974343866</v>
      </c>
      <c r="K254" s="933"/>
      <c r="L254" s="933"/>
      <c r="M254" s="933"/>
      <c r="N254" s="933"/>
      <c r="O254" s="933"/>
      <c r="P254" s="933"/>
      <c r="Q254" s="936">
        <f>Q252-Q253</f>
        <v>0</v>
      </c>
    </row>
    <row r="255" spans="1:17">
      <c r="A255" s="895">
        <f t="shared" si="78"/>
        <v>247</v>
      </c>
      <c r="B255" s="941"/>
      <c r="C255" s="941"/>
      <c r="D255" s="941"/>
      <c r="E255" s="941"/>
      <c r="F255" s="941"/>
      <c r="G255" s="941"/>
      <c r="H255" s="941"/>
      <c r="I255" s="941"/>
      <c r="J255" s="941"/>
      <c r="K255" s="896"/>
      <c r="L255" s="896"/>
      <c r="M255" s="896"/>
      <c r="N255" s="896"/>
      <c r="O255" s="896"/>
      <c r="P255" s="896"/>
      <c r="Q255" s="941"/>
    </row>
    <row r="256" spans="1:17">
      <c r="A256" s="895">
        <f t="shared" si="78"/>
        <v>248</v>
      </c>
      <c r="B256" s="941"/>
      <c r="C256" s="941"/>
      <c r="D256" s="941"/>
      <c r="E256" s="941"/>
      <c r="F256" s="941"/>
      <c r="G256" s="941"/>
      <c r="H256" s="941"/>
      <c r="I256" s="941"/>
      <c r="J256" s="941"/>
      <c r="K256" s="896"/>
      <c r="L256" s="896"/>
      <c r="M256" s="896"/>
      <c r="N256" s="896"/>
      <c r="O256" s="896"/>
      <c r="P256" s="896"/>
      <c r="Q256" s="941"/>
    </row>
    <row r="257" spans="1:18">
      <c r="A257" s="895">
        <f t="shared" si="78"/>
        <v>249</v>
      </c>
      <c r="B257" s="1252" t="s">
        <v>1685</v>
      </c>
      <c r="C257" s="1252"/>
      <c r="D257" s="1252"/>
      <c r="E257" s="1252"/>
      <c r="F257" s="896"/>
      <c r="G257" s="896"/>
      <c r="H257" s="942"/>
      <c r="I257" s="942"/>
      <c r="J257" s="942"/>
      <c r="K257" s="896"/>
      <c r="L257" s="943"/>
      <c r="M257" s="944"/>
      <c r="N257" s="944"/>
      <c r="O257" s="944"/>
      <c r="P257" s="944"/>
      <c r="Q257" s="944"/>
      <c r="R257" s="901"/>
    </row>
    <row r="258" spans="1:18">
      <c r="A258" s="895">
        <f t="shared" si="78"/>
        <v>250</v>
      </c>
      <c r="B258" s="1253" t="s">
        <v>1013</v>
      </c>
      <c r="C258" s="1253"/>
      <c r="D258" s="1253"/>
      <c r="E258" s="1253"/>
      <c r="F258" s="896"/>
      <c r="G258" s="896"/>
      <c r="H258" s="942"/>
      <c r="I258" s="942"/>
      <c r="J258" s="942"/>
      <c r="K258" s="896"/>
      <c r="L258" s="943"/>
      <c r="M258" s="944"/>
      <c r="N258" s="944"/>
      <c r="O258" s="944"/>
      <c r="P258" s="944"/>
      <c r="Q258" s="944"/>
      <c r="R258" s="901"/>
    </row>
    <row r="259" spans="1:18">
      <c r="A259" s="895">
        <f t="shared" si="78"/>
        <v>251</v>
      </c>
      <c r="B259" s="1254" t="s">
        <v>1661</v>
      </c>
      <c r="C259" s="1255"/>
      <c r="D259" s="1255"/>
      <c r="E259" s="1255"/>
      <c r="F259" s="1256"/>
      <c r="G259" s="902"/>
      <c r="H259" s="1257" t="s">
        <v>1662</v>
      </c>
      <c r="I259" s="1258"/>
      <c r="J259" s="1259"/>
      <c r="K259" s="896"/>
      <c r="L259" s="1257" t="s">
        <v>1663</v>
      </c>
      <c r="M259" s="1258"/>
      <c r="N259" s="1258"/>
      <c r="O259" s="1258"/>
      <c r="P259" s="1258"/>
      <c r="Q259" s="1258"/>
    </row>
    <row r="260" spans="1:18">
      <c r="A260" s="895">
        <f t="shared" si="78"/>
        <v>252</v>
      </c>
      <c r="B260" s="903" t="s">
        <v>830</v>
      </c>
      <c r="C260" s="903" t="s">
        <v>831</v>
      </c>
      <c r="D260" s="903" t="s">
        <v>832</v>
      </c>
      <c r="E260" s="903" t="s">
        <v>833</v>
      </c>
      <c r="F260" s="903" t="s">
        <v>834</v>
      </c>
      <c r="G260" s="902"/>
      <c r="H260" s="903" t="s">
        <v>835</v>
      </c>
      <c r="I260" s="903" t="s">
        <v>836</v>
      </c>
      <c r="J260" s="903" t="s">
        <v>837</v>
      </c>
      <c r="K260" s="896"/>
      <c r="L260" s="903" t="s">
        <v>838</v>
      </c>
      <c r="M260" s="903" t="s">
        <v>839</v>
      </c>
      <c r="N260" s="903" t="s">
        <v>840</v>
      </c>
      <c r="O260" s="903" t="s">
        <v>841</v>
      </c>
      <c r="P260" s="903" t="s">
        <v>843</v>
      </c>
      <c r="Q260" s="903" t="s">
        <v>842</v>
      </c>
    </row>
    <row r="261" spans="1:18" ht="45">
      <c r="A261" s="895">
        <f t="shared" si="78"/>
        <v>253</v>
      </c>
      <c r="B261" s="905" t="s">
        <v>1352</v>
      </c>
      <c r="C261" s="905" t="s">
        <v>1587</v>
      </c>
      <c r="D261" s="905" t="s">
        <v>1664</v>
      </c>
      <c r="E261" s="905" t="s">
        <v>1665</v>
      </c>
      <c r="F261" s="905" t="s">
        <v>1666</v>
      </c>
      <c r="G261" s="906"/>
      <c r="H261" s="905" t="s">
        <v>1667</v>
      </c>
      <c r="I261" s="905" t="s">
        <v>1668</v>
      </c>
      <c r="J261" s="905" t="s">
        <v>1669</v>
      </c>
      <c r="K261" s="896"/>
      <c r="L261" s="905" t="s">
        <v>1670</v>
      </c>
      <c r="M261" s="905" t="s">
        <v>1671</v>
      </c>
      <c r="N261" s="905" t="s">
        <v>1672</v>
      </c>
      <c r="O261" s="905" t="s">
        <v>1673</v>
      </c>
      <c r="P261" s="905" t="s">
        <v>1674</v>
      </c>
      <c r="Q261" s="905" t="s">
        <v>1675</v>
      </c>
    </row>
    <row r="262" spans="1:18">
      <c r="A262" s="895">
        <f t="shared" si="78"/>
        <v>254</v>
      </c>
      <c r="B262" s="896"/>
      <c r="C262" s="906"/>
      <c r="D262" s="906"/>
      <c r="E262" s="906"/>
      <c r="F262" s="906"/>
      <c r="G262" s="906"/>
      <c r="H262" s="906"/>
      <c r="I262" s="906"/>
      <c r="J262" s="906"/>
      <c r="K262" s="896"/>
      <c r="L262" s="896"/>
      <c r="M262" s="896"/>
      <c r="N262" s="896"/>
      <c r="O262" s="896"/>
      <c r="P262" s="896"/>
      <c r="Q262" s="896"/>
    </row>
    <row r="263" spans="1:18">
      <c r="A263" s="895">
        <f t="shared" si="78"/>
        <v>255</v>
      </c>
      <c r="B263" s="1260" t="s">
        <v>1676</v>
      </c>
      <c r="C263" s="1260"/>
      <c r="D263" s="1260"/>
      <c r="E263" s="1260"/>
      <c r="F263" s="909"/>
      <c r="G263" s="909"/>
      <c r="H263" s="910"/>
      <c r="I263" s="910"/>
      <c r="J263" s="911">
        <f>'WP_B-2'!C79</f>
        <v>-2966406.2630727775</v>
      </c>
      <c r="K263" s="912"/>
      <c r="L263" s="910"/>
      <c r="M263" s="913"/>
      <c r="N263" s="913"/>
      <c r="O263" s="913"/>
      <c r="P263" s="913"/>
      <c r="Q263" s="911">
        <f>'WP_B-2'!C182</f>
        <v>0</v>
      </c>
    </row>
    <row r="264" spans="1:18">
      <c r="A264" s="895">
        <f t="shared" si="78"/>
        <v>256</v>
      </c>
      <c r="B264" s="914" t="s">
        <v>956</v>
      </c>
      <c r="C264" s="910">
        <v>31</v>
      </c>
      <c r="D264" s="915">
        <f t="shared" ref="D264:D272" si="100">D265+C265</f>
        <v>335</v>
      </c>
      <c r="E264" s="915">
        <f>SUM(C264:C275)</f>
        <v>365</v>
      </c>
      <c r="F264" s="916">
        <f>D264/E264</f>
        <v>0.9178082191780822</v>
      </c>
      <c r="G264" s="909"/>
      <c r="H264" s="917">
        <f>('WP_B-2'!D79-'WP_B-2'!C79)/12</f>
        <v>29463.569280577085</v>
      </c>
      <c r="I264" s="910">
        <f>+H264*F264</f>
        <v>27041.906052036502</v>
      </c>
      <c r="J264" s="910">
        <f t="shared" ref="J264:J275" si="101">+I264+J263</f>
        <v>-2939364.3570207409</v>
      </c>
      <c r="K264" s="896"/>
      <c r="L264" s="917">
        <f>(SUM('WP_B-2'!D177,'WP_B-2'!D179)-SUM('WP_B-2'!C177,'WP_B-2'!C179))/12</f>
        <v>0</v>
      </c>
      <c r="M264" s="913">
        <f>L264-H264</f>
        <v>-29463.569280577085</v>
      </c>
      <c r="N264" s="913">
        <f>IF(M264&lt;=0,+M264,0)</f>
        <v>-29463.569280577085</v>
      </c>
      <c r="O264" s="913">
        <f>IF(N264&lt;0,0,IF(L264&gt;0,0,(-(M264)*(D264/E264))))</f>
        <v>0</v>
      </c>
      <c r="P264" s="913">
        <f>IF(N264&lt;0,0,IF(L264&lt;0,0,(-(M264)*(D264/E264))))</f>
        <v>0</v>
      </c>
      <c r="Q264" s="913">
        <f>IF(L264&gt;0,Q263+P264,Q263+I264+N264-O264)</f>
        <v>-2421.6632285405831</v>
      </c>
    </row>
    <row r="265" spans="1:18">
      <c r="A265" s="895">
        <f t="shared" si="78"/>
        <v>257</v>
      </c>
      <c r="B265" s="914" t="s">
        <v>904</v>
      </c>
      <c r="C265" s="917">
        <f>$C$17</f>
        <v>28</v>
      </c>
      <c r="D265" s="915">
        <f t="shared" si="100"/>
        <v>307</v>
      </c>
      <c r="E265" s="915">
        <f>E264</f>
        <v>365</v>
      </c>
      <c r="F265" s="916">
        <f t="shared" ref="F265:F275" si="102">D265/E265</f>
        <v>0.84109589041095889</v>
      </c>
      <c r="G265" s="909"/>
      <c r="H265" s="917">
        <f>$H$264</f>
        <v>29463.569280577085</v>
      </c>
      <c r="I265" s="910">
        <f t="shared" ref="I265:I275" si="103">+H265*F265</f>
        <v>24781.687038731958</v>
      </c>
      <c r="J265" s="910">
        <f t="shared" si="101"/>
        <v>-2914582.6699820091</v>
      </c>
      <c r="K265" s="896"/>
      <c r="L265" s="917">
        <f>$L$264</f>
        <v>0</v>
      </c>
      <c r="M265" s="913">
        <f t="shared" ref="M265:M275" si="104">L265-H265</f>
        <v>-29463.569280577085</v>
      </c>
      <c r="N265" s="913">
        <f t="shared" ref="N265:N275" si="105">IF(M265&lt;=0,+M265,0)</f>
        <v>-29463.569280577085</v>
      </c>
      <c r="O265" s="913">
        <f t="shared" ref="O265:O275" si="106">IF(N265&lt;0,0,IF(L265&gt;0,0,(-(M265)*(D265/E265))))</f>
        <v>0</v>
      </c>
      <c r="P265" s="913">
        <f t="shared" ref="P265:P275" si="107">IF(N265&lt;0,0,IF(L265&lt;0,0,(-(M265)*(D265/E265))))</f>
        <v>0</v>
      </c>
      <c r="Q265" s="913">
        <f t="shared" ref="Q265:Q275" si="108">IF(L265&gt;0,Q264+P265,Q264+I265+N265-O265)</f>
        <v>-7103.5454703857104</v>
      </c>
    </row>
    <row r="266" spans="1:18">
      <c r="A266" s="895">
        <f t="shared" si="78"/>
        <v>258</v>
      </c>
      <c r="B266" s="914" t="s">
        <v>905</v>
      </c>
      <c r="C266" s="910">
        <v>31</v>
      </c>
      <c r="D266" s="915">
        <f t="shared" si="100"/>
        <v>276</v>
      </c>
      <c r="E266" s="915">
        <f t="shared" ref="E266:E275" si="109">E265</f>
        <v>365</v>
      </c>
      <c r="F266" s="916">
        <f t="shared" si="102"/>
        <v>0.75616438356164384</v>
      </c>
      <c r="G266" s="909"/>
      <c r="H266" s="917">
        <f t="shared" ref="H266:H275" si="110">$H$264</f>
        <v>29463.569280577085</v>
      </c>
      <c r="I266" s="910">
        <f t="shared" si="103"/>
        <v>22279.301702573357</v>
      </c>
      <c r="J266" s="910">
        <f t="shared" si="101"/>
        <v>-2892303.3682794357</v>
      </c>
      <c r="K266" s="896"/>
      <c r="L266" s="917">
        <f t="shared" ref="L266:L275" si="111">$L$264</f>
        <v>0</v>
      </c>
      <c r="M266" s="913">
        <f t="shared" si="104"/>
        <v>-29463.569280577085</v>
      </c>
      <c r="N266" s="913">
        <f t="shared" si="105"/>
        <v>-29463.569280577085</v>
      </c>
      <c r="O266" s="913">
        <f t="shared" si="106"/>
        <v>0</v>
      </c>
      <c r="P266" s="913">
        <f t="shared" si="107"/>
        <v>0</v>
      </c>
      <c r="Q266" s="913">
        <f t="shared" si="108"/>
        <v>-14287.813048389438</v>
      </c>
    </row>
    <row r="267" spans="1:18">
      <c r="A267" s="895">
        <f t="shared" ref="A267:A330" si="112">+A266+1</f>
        <v>259</v>
      </c>
      <c r="B267" s="914" t="s">
        <v>906</v>
      </c>
      <c r="C267" s="910">
        <v>30</v>
      </c>
      <c r="D267" s="915">
        <f t="shared" si="100"/>
        <v>246</v>
      </c>
      <c r="E267" s="915">
        <f t="shared" si="109"/>
        <v>365</v>
      </c>
      <c r="F267" s="916">
        <f t="shared" si="102"/>
        <v>0.67397260273972603</v>
      </c>
      <c r="G267" s="909"/>
      <c r="H267" s="917">
        <f t="shared" si="110"/>
        <v>29463.569280577085</v>
      </c>
      <c r="I267" s="910">
        <f t="shared" si="103"/>
        <v>19857.638474032774</v>
      </c>
      <c r="J267" s="910">
        <f t="shared" si="101"/>
        <v>-2872445.7298054029</v>
      </c>
      <c r="K267" s="896"/>
      <c r="L267" s="917">
        <f t="shared" si="111"/>
        <v>0</v>
      </c>
      <c r="M267" s="913">
        <f t="shared" si="104"/>
        <v>-29463.569280577085</v>
      </c>
      <c r="N267" s="913">
        <f t="shared" si="105"/>
        <v>-29463.569280577085</v>
      </c>
      <c r="O267" s="913">
        <f t="shared" si="106"/>
        <v>0</v>
      </c>
      <c r="P267" s="913">
        <f t="shared" si="107"/>
        <v>0</v>
      </c>
      <c r="Q267" s="913">
        <f t="shared" si="108"/>
        <v>-23893.743854933749</v>
      </c>
    </row>
    <row r="268" spans="1:18">
      <c r="A268" s="895">
        <f t="shared" si="112"/>
        <v>260</v>
      </c>
      <c r="B268" s="914" t="s">
        <v>907</v>
      </c>
      <c r="C268" s="910">
        <v>31</v>
      </c>
      <c r="D268" s="915">
        <f t="shared" si="100"/>
        <v>215</v>
      </c>
      <c r="E268" s="915">
        <f t="shared" si="109"/>
        <v>365</v>
      </c>
      <c r="F268" s="916">
        <f t="shared" si="102"/>
        <v>0.58904109589041098</v>
      </c>
      <c r="G268" s="909"/>
      <c r="H268" s="917">
        <f t="shared" si="110"/>
        <v>29463.569280577085</v>
      </c>
      <c r="I268" s="910">
        <f t="shared" si="103"/>
        <v>17355.253137874173</v>
      </c>
      <c r="J268" s="910">
        <f t="shared" si="101"/>
        <v>-2855090.476667529</v>
      </c>
      <c r="K268" s="896"/>
      <c r="L268" s="917">
        <f t="shared" si="111"/>
        <v>0</v>
      </c>
      <c r="M268" s="913">
        <f t="shared" si="104"/>
        <v>-29463.569280577085</v>
      </c>
      <c r="N268" s="913">
        <f t="shared" si="105"/>
        <v>-29463.569280577085</v>
      </c>
      <c r="O268" s="913">
        <f t="shared" si="106"/>
        <v>0</v>
      </c>
      <c r="P268" s="913">
        <f t="shared" si="107"/>
        <v>0</v>
      </c>
      <c r="Q268" s="913">
        <f t="shared" si="108"/>
        <v>-36002.059997636665</v>
      </c>
    </row>
    <row r="269" spans="1:18">
      <c r="A269" s="895">
        <f t="shared" si="112"/>
        <v>261</v>
      </c>
      <c r="B269" s="914" t="s">
        <v>908</v>
      </c>
      <c r="C269" s="910">
        <v>30</v>
      </c>
      <c r="D269" s="915">
        <f t="shared" si="100"/>
        <v>185</v>
      </c>
      <c r="E269" s="915">
        <f t="shared" si="109"/>
        <v>365</v>
      </c>
      <c r="F269" s="916">
        <f t="shared" si="102"/>
        <v>0.50684931506849318</v>
      </c>
      <c r="G269" s="909"/>
      <c r="H269" s="917">
        <f t="shared" si="110"/>
        <v>29463.569280577085</v>
      </c>
      <c r="I269" s="910">
        <f t="shared" si="103"/>
        <v>14933.589909333592</v>
      </c>
      <c r="J269" s="910">
        <f t="shared" si="101"/>
        <v>-2840156.8867581952</v>
      </c>
      <c r="K269" s="896"/>
      <c r="L269" s="917">
        <f t="shared" si="111"/>
        <v>0</v>
      </c>
      <c r="M269" s="913">
        <f t="shared" si="104"/>
        <v>-29463.569280577085</v>
      </c>
      <c r="N269" s="913">
        <f t="shared" si="105"/>
        <v>-29463.569280577085</v>
      </c>
      <c r="O269" s="913">
        <f t="shared" si="106"/>
        <v>0</v>
      </c>
      <c r="P269" s="913">
        <f t="shared" si="107"/>
        <v>0</v>
      </c>
      <c r="Q269" s="913">
        <f t="shared" si="108"/>
        <v>-50532.039368880156</v>
      </c>
    </row>
    <row r="270" spans="1:18">
      <c r="A270" s="895">
        <f t="shared" si="112"/>
        <v>262</v>
      </c>
      <c r="B270" s="914" t="s">
        <v>909</v>
      </c>
      <c r="C270" s="910">
        <v>31</v>
      </c>
      <c r="D270" s="915">
        <f t="shared" si="100"/>
        <v>154</v>
      </c>
      <c r="E270" s="915">
        <f t="shared" si="109"/>
        <v>365</v>
      </c>
      <c r="F270" s="916">
        <f t="shared" si="102"/>
        <v>0.42191780821917807</v>
      </c>
      <c r="G270" s="909"/>
      <c r="H270" s="917">
        <f t="shared" si="110"/>
        <v>29463.569280577085</v>
      </c>
      <c r="I270" s="910">
        <f t="shared" si="103"/>
        <v>12431.204573174989</v>
      </c>
      <c r="J270" s="910">
        <f t="shared" si="101"/>
        <v>-2827725.6821850203</v>
      </c>
      <c r="K270" s="896"/>
      <c r="L270" s="917">
        <f t="shared" si="111"/>
        <v>0</v>
      </c>
      <c r="M270" s="913">
        <f t="shared" si="104"/>
        <v>-29463.569280577085</v>
      </c>
      <c r="N270" s="913">
        <f t="shared" si="105"/>
        <v>-29463.569280577085</v>
      </c>
      <c r="O270" s="913">
        <f t="shared" si="106"/>
        <v>0</v>
      </c>
      <c r="P270" s="913">
        <f t="shared" si="107"/>
        <v>0</v>
      </c>
      <c r="Q270" s="913">
        <f t="shared" si="108"/>
        <v>-67564.404076282255</v>
      </c>
    </row>
    <row r="271" spans="1:18">
      <c r="A271" s="895">
        <f t="shared" si="112"/>
        <v>263</v>
      </c>
      <c r="B271" s="914" t="s">
        <v>910</v>
      </c>
      <c r="C271" s="910">
        <v>31</v>
      </c>
      <c r="D271" s="915">
        <f t="shared" si="100"/>
        <v>123</v>
      </c>
      <c r="E271" s="915">
        <f t="shared" si="109"/>
        <v>365</v>
      </c>
      <c r="F271" s="916">
        <f t="shared" si="102"/>
        <v>0.33698630136986302</v>
      </c>
      <c r="G271" s="909"/>
      <c r="H271" s="917">
        <f t="shared" si="110"/>
        <v>29463.569280577085</v>
      </c>
      <c r="I271" s="910">
        <f t="shared" si="103"/>
        <v>9928.819237016387</v>
      </c>
      <c r="J271" s="910">
        <f t="shared" si="101"/>
        <v>-2817796.8629480037</v>
      </c>
      <c r="K271" s="896"/>
      <c r="L271" s="917">
        <f t="shared" si="111"/>
        <v>0</v>
      </c>
      <c r="M271" s="913">
        <f t="shared" si="104"/>
        <v>-29463.569280577085</v>
      </c>
      <c r="N271" s="913">
        <f t="shared" si="105"/>
        <v>-29463.569280577085</v>
      </c>
      <c r="O271" s="913">
        <f t="shared" si="106"/>
        <v>0</v>
      </c>
      <c r="P271" s="913">
        <f t="shared" si="107"/>
        <v>0</v>
      </c>
      <c r="Q271" s="913">
        <f t="shared" si="108"/>
        <v>-87099.154119842948</v>
      </c>
    </row>
    <row r="272" spans="1:18">
      <c r="A272" s="895">
        <f t="shared" si="112"/>
        <v>264</v>
      </c>
      <c r="B272" s="914" t="s">
        <v>911</v>
      </c>
      <c r="C272" s="910">
        <v>30</v>
      </c>
      <c r="D272" s="915">
        <f t="shared" si="100"/>
        <v>93</v>
      </c>
      <c r="E272" s="915">
        <f t="shared" si="109"/>
        <v>365</v>
      </c>
      <c r="F272" s="916">
        <f t="shared" si="102"/>
        <v>0.25479452054794521</v>
      </c>
      <c r="G272" s="909"/>
      <c r="H272" s="917">
        <f t="shared" si="110"/>
        <v>29463.569280577085</v>
      </c>
      <c r="I272" s="910">
        <f t="shared" si="103"/>
        <v>7507.1560084758057</v>
      </c>
      <c r="J272" s="910">
        <f t="shared" si="101"/>
        <v>-2810289.7069395278</v>
      </c>
      <c r="K272" s="896"/>
      <c r="L272" s="917">
        <f t="shared" si="111"/>
        <v>0</v>
      </c>
      <c r="M272" s="913">
        <f t="shared" si="104"/>
        <v>-29463.569280577085</v>
      </c>
      <c r="N272" s="913">
        <f t="shared" si="105"/>
        <v>-29463.569280577085</v>
      </c>
      <c r="O272" s="913">
        <f t="shared" si="106"/>
        <v>0</v>
      </c>
      <c r="P272" s="913">
        <f t="shared" si="107"/>
        <v>0</v>
      </c>
      <c r="Q272" s="913">
        <f t="shared" si="108"/>
        <v>-109055.56739194422</v>
      </c>
    </row>
    <row r="273" spans="1:18">
      <c r="A273" s="895">
        <f t="shared" si="112"/>
        <v>265</v>
      </c>
      <c r="B273" s="914" t="s">
        <v>912</v>
      </c>
      <c r="C273" s="910">
        <v>31</v>
      </c>
      <c r="D273" s="915">
        <f>D274+C274</f>
        <v>62</v>
      </c>
      <c r="E273" s="915">
        <f t="shared" si="109"/>
        <v>365</v>
      </c>
      <c r="F273" s="916">
        <f t="shared" si="102"/>
        <v>0.16986301369863013</v>
      </c>
      <c r="G273" s="909"/>
      <c r="H273" s="917">
        <f t="shared" si="110"/>
        <v>29463.569280577085</v>
      </c>
      <c r="I273" s="910">
        <f t="shared" si="103"/>
        <v>5004.7706723172032</v>
      </c>
      <c r="J273" s="910">
        <f t="shared" si="101"/>
        <v>-2805284.9362672106</v>
      </c>
      <c r="K273" s="896"/>
      <c r="L273" s="917">
        <f t="shared" si="111"/>
        <v>0</v>
      </c>
      <c r="M273" s="913">
        <f t="shared" si="104"/>
        <v>-29463.569280577085</v>
      </c>
      <c r="N273" s="913">
        <f t="shared" si="105"/>
        <v>-29463.569280577085</v>
      </c>
      <c r="O273" s="913">
        <f t="shared" si="106"/>
        <v>0</v>
      </c>
      <c r="P273" s="913">
        <f t="shared" si="107"/>
        <v>0</v>
      </c>
      <c r="Q273" s="913">
        <f t="shared" si="108"/>
        <v>-133514.36600020411</v>
      </c>
    </row>
    <row r="274" spans="1:18">
      <c r="A274" s="895">
        <f t="shared" si="112"/>
        <v>266</v>
      </c>
      <c r="B274" s="914" t="s">
        <v>913</v>
      </c>
      <c r="C274" s="910">
        <v>30</v>
      </c>
      <c r="D274" s="915">
        <f>D275+C275</f>
        <v>32</v>
      </c>
      <c r="E274" s="915">
        <f t="shared" si="109"/>
        <v>365</v>
      </c>
      <c r="F274" s="916">
        <f t="shared" si="102"/>
        <v>8.7671232876712329E-2</v>
      </c>
      <c r="G274" s="909"/>
      <c r="H274" s="917">
        <f t="shared" si="110"/>
        <v>29463.569280577085</v>
      </c>
      <c r="I274" s="910">
        <f t="shared" si="103"/>
        <v>2583.107443776621</v>
      </c>
      <c r="J274" s="910">
        <f t="shared" si="101"/>
        <v>-2802701.8288234342</v>
      </c>
      <c r="K274" s="896"/>
      <c r="L274" s="917">
        <f t="shared" si="111"/>
        <v>0</v>
      </c>
      <c r="M274" s="913">
        <f t="shared" si="104"/>
        <v>-29463.569280577085</v>
      </c>
      <c r="N274" s="913">
        <f t="shared" si="105"/>
        <v>-29463.569280577085</v>
      </c>
      <c r="O274" s="913">
        <f t="shared" si="106"/>
        <v>0</v>
      </c>
      <c r="P274" s="913">
        <f t="shared" si="107"/>
        <v>0</v>
      </c>
      <c r="Q274" s="913">
        <f t="shared" si="108"/>
        <v>-160394.82783700459</v>
      </c>
    </row>
    <row r="275" spans="1:18">
      <c r="A275" s="895">
        <f t="shared" si="112"/>
        <v>267</v>
      </c>
      <c r="B275" s="914" t="s">
        <v>914</v>
      </c>
      <c r="C275" s="910">
        <v>31</v>
      </c>
      <c r="D275" s="915">
        <v>1</v>
      </c>
      <c r="E275" s="915">
        <f t="shared" si="109"/>
        <v>365</v>
      </c>
      <c r="F275" s="916">
        <f t="shared" si="102"/>
        <v>2.7397260273972603E-3</v>
      </c>
      <c r="G275" s="909"/>
      <c r="H275" s="917">
        <f t="shared" si="110"/>
        <v>29463.569280577085</v>
      </c>
      <c r="I275" s="910">
        <f t="shared" si="103"/>
        <v>80.722107618019407</v>
      </c>
      <c r="J275" s="910">
        <f t="shared" si="101"/>
        <v>-2802621.1067158161</v>
      </c>
      <c r="K275" s="896"/>
      <c r="L275" s="917">
        <f t="shared" si="111"/>
        <v>0</v>
      </c>
      <c r="M275" s="913">
        <f t="shared" si="104"/>
        <v>-29463.569280577085</v>
      </c>
      <c r="N275" s="913">
        <f t="shared" si="105"/>
        <v>-29463.569280577085</v>
      </c>
      <c r="O275" s="913">
        <f t="shared" si="106"/>
        <v>0</v>
      </c>
      <c r="P275" s="913">
        <f t="shared" si="107"/>
        <v>0</v>
      </c>
      <c r="Q275" s="913">
        <f t="shared" si="108"/>
        <v>-189777.67500996366</v>
      </c>
    </row>
    <row r="276" spans="1:18">
      <c r="A276" s="895">
        <f t="shared" si="112"/>
        <v>268</v>
      </c>
      <c r="B276" s="918"/>
      <c r="C276" s="918" t="s">
        <v>795</v>
      </c>
      <c r="D276" s="919">
        <f>+SUM(D264:D275)</f>
        <v>2029</v>
      </c>
      <c r="E276" s="919">
        <f>+SUM(E264:E275)</f>
        <v>4380</v>
      </c>
      <c r="F276" s="920"/>
      <c r="G276" s="909"/>
      <c r="H276" s="921">
        <f>SUM(H264:H275)</f>
        <v>353562.83136692498</v>
      </c>
      <c r="I276" s="921">
        <f>SUM(I264:I275)</f>
        <v>163785.15635696138</v>
      </c>
      <c r="J276" s="920"/>
      <c r="K276" s="896"/>
      <c r="L276" s="922">
        <f>SUM(L264:L275)</f>
        <v>0</v>
      </c>
      <c r="M276" s="922">
        <f>SUM(M264:M275)</f>
        <v>-353562.83136692498</v>
      </c>
      <c r="N276" s="922">
        <f>SUM(N264:N275)</f>
        <v>-353562.83136692498</v>
      </c>
      <c r="O276" s="922">
        <f>SUM(O264:O275)</f>
        <v>0</v>
      </c>
      <c r="P276" s="922">
        <f>SUM(P264:P275)</f>
        <v>0</v>
      </c>
      <c r="Q276" s="922"/>
    </row>
    <row r="277" spans="1:18">
      <c r="A277" s="895">
        <f t="shared" si="112"/>
        <v>269</v>
      </c>
      <c r="B277" s="924"/>
      <c r="C277" s="924"/>
      <c r="D277" s="925"/>
      <c r="E277" s="925"/>
      <c r="F277" s="926"/>
      <c r="G277" s="909"/>
      <c r="H277" s="910"/>
      <c r="I277" s="910"/>
      <c r="J277" s="926"/>
      <c r="K277" s="896"/>
      <c r="L277" s="928"/>
      <c r="M277" s="928"/>
      <c r="N277" s="928"/>
      <c r="O277" s="928"/>
      <c r="P277" s="928"/>
      <c r="Q277" s="928"/>
    </row>
    <row r="278" spans="1:18">
      <c r="A278" s="895">
        <f t="shared" si="112"/>
        <v>270</v>
      </c>
      <c r="B278" s="896" t="s">
        <v>1677</v>
      </c>
      <c r="C278" s="924"/>
      <c r="D278" s="925"/>
      <c r="E278" s="929">
        <f>1-(D276/E276)</f>
        <v>0.53675799086757991</v>
      </c>
      <c r="F278" s="926"/>
      <c r="G278" s="909"/>
      <c r="H278" s="910"/>
      <c r="I278" s="910"/>
      <c r="J278" s="926"/>
      <c r="K278" s="896"/>
      <c r="L278" s="928"/>
      <c r="M278" s="928"/>
      <c r="N278" s="928"/>
      <c r="O278" s="928"/>
      <c r="P278" s="928"/>
      <c r="Q278" s="928"/>
    </row>
    <row r="279" spans="1:18">
      <c r="A279" s="895">
        <f t="shared" si="112"/>
        <v>271</v>
      </c>
      <c r="B279" s="924"/>
      <c r="C279" s="924"/>
      <c r="D279" s="924"/>
      <c r="E279" s="924"/>
      <c r="F279" s="926"/>
      <c r="G279" s="926"/>
      <c r="H279" s="931"/>
      <c r="I279" s="932"/>
      <c r="J279" s="926"/>
      <c r="K279" s="896"/>
      <c r="L279" s="896"/>
      <c r="M279" s="896"/>
      <c r="N279" s="896"/>
      <c r="O279" s="896"/>
      <c r="P279" s="896"/>
      <c r="Q279" s="896"/>
    </row>
    <row r="280" spans="1:18">
      <c r="A280" s="895">
        <f t="shared" si="112"/>
        <v>272</v>
      </c>
      <c r="B280" s="930"/>
      <c r="C280" s="924"/>
      <c r="D280" s="896"/>
      <c r="E280" s="924"/>
      <c r="F280" s="896"/>
      <c r="G280" s="926"/>
      <c r="H280" s="931"/>
      <c r="I280" s="932"/>
      <c r="J280" s="925"/>
      <c r="K280" s="896"/>
      <c r="L280" s="896"/>
      <c r="M280" s="896"/>
      <c r="N280" s="896"/>
      <c r="O280" s="896"/>
      <c r="P280" s="896"/>
      <c r="Q280" s="925"/>
    </row>
    <row r="281" spans="1:18" customFormat="1">
      <c r="A281" s="895">
        <f t="shared" si="112"/>
        <v>273</v>
      </c>
      <c r="B281" s="933" t="s">
        <v>1678</v>
      </c>
      <c r="C281" s="933"/>
      <c r="D281" s="933"/>
      <c r="E281" s="933"/>
      <c r="F281" s="934" t="str">
        <f>"(Line "&amp;A263&amp;", Col H)"</f>
        <v>(Line 255, Col H)</v>
      </c>
      <c r="G281" s="935"/>
      <c r="H281" s="933"/>
      <c r="I281" s="935"/>
      <c r="J281" s="913">
        <f>J263</f>
        <v>-2966406.2630727775</v>
      </c>
      <c r="K281" s="933"/>
      <c r="L281" s="933"/>
      <c r="M281" s="933"/>
      <c r="N281" s="934" t="str">
        <f>"(Line "&amp;A263&amp;", Col N)"</f>
        <v>(Line 255, Col N)</v>
      </c>
      <c r="O281" s="933"/>
      <c r="P281" s="933"/>
      <c r="Q281" s="913">
        <f>Q263</f>
        <v>0</v>
      </c>
    </row>
    <row r="282" spans="1:18" customFormat="1">
      <c r="A282" s="895">
        <f t="shared" si="112"/>
        <v>274</v>
      </c>
      <c r="B282" s="933" t="s">
        <v>1679</v>
      </c>
      <c r="C282" s="933"/>
      <c r="D282" s="933"/>
      <c r="E282" s="933"/>
      <c r="F282" s="934" t="str">
        <f>"(Line "&amp;A275&amp;", Col H)"</f>
        <v>(Line 267, Col H)</v>
      </c>
      <c r="G282" s="935"/>
      <c r="H282" s="933"/>
      <c r="I282" s="935"/>
      <c r="J282" s="910">
        <f>J275</f>
        <v>-2802621.1067158161</v>
      </c>
      <c r="K282" s="933"/>
      <c r="L282" s="936"/>
      <c r="M282" s="933"/>
      <c r="N282" s="934" t="str">
        <f>"(Line "&amp;A275&amp;", Col N)"</f>
        <v>(Line 267, Col N)</v>
      </c>
      <c r="O282" s="933"/>
      <c r="P282" s="933"/>
      <c r="Q282" s="910">
        <f>Q275</f>
        <v>-189777.67500996366</v>
      </c>
    </row>
    <row r="283" spans="1:18" customFormat="1">
      <c r="A283" s="895">
        <f t="shared" si="112"/>
        <v>275</v>
      </c>
      <c r="B283" s="933" t="s">
        <v>1680</v>
      </c>
      <c r="C283" s="933"/>
      <c r="D283" s="933"/>
      <c r="E283" s="933"/>
      <c r="F283" s="933" t="str">
        <f>"(Average of Line "&amp;A281&amp;" &amp; Line "&amp;A282&amp;")"</f>
        <v>(Average of Line 273 &amp; Line 274)</v>
      </c>
      <c r="G283" s="935"/>
      <c r="H283" s="933"/>
      <c r="I283" s="937"/>
      <c r="J283" s="938">
        <f>(J281+J282)/2</f>
        <v>-2884513.6848942968</v>
      </c>
      <c r="K283" s="933"/>
      <c r="L283" s="939"/>
      <c r="M283" s="933"/>
      <c r="N283" s="933" t="str">
        <f>"(Average of Line "&amp;A281&amp;" &amp; Line "&amp;A282&amp;")"</f>
        <v>(Average of Line 273 &amp; Line 274)</v>
      </c>
      <c r="O283" s="933"/>
      <c r="P283" s="933"/>
      <c r="Q283" s="938">
        <f>(Q281+Q282)/2</f>
        <v>-94888.837504981828</v>
      </c>
    </row>
    <row r="284" spans="1:18" customFormat="1" ht="13.5" customHeight="1">
      <c r="A284" s="895">
        <f t="shared" si="112"/>
        <v>276</v>
      </c>
      <c r="B284" s="933" t="s">
        <v>1681</v>
      </c>
      <c r="C284" s="933"/>
      <c r="D284" s="933"/>
      <c r="E284" s="933"/>
      <c r="F284" s="933" t="s">
        <v>1832</v>
      </c>
      <c r="G284" s="933"/>
      <c r="H284" s="933"/>
      <c r="I284" s="933"/>
      <c r="J284" s="940">
        <f>AVERAGE(J263, (SUM(H264:H275)+J263))</f>
        <v>-2789624.8473893153</v>
      </c>
      <c r="K284" s="933"/>
      <c r="L284" s="933"/>
      <c r="M284" s="933"/>
      <c r="N284" s="933" t="s">
        <v>1830</v>
      </c>
      <c r="O284" s="933"/>
      <c r="P284" s="933"/>
      <c r="Q284" s="940">
        <f>AVERAGE(Q263, (SUM(L264:L275)+Q263))</f>
        <v>0</v>
      </c>
    </row>
    <row r="285" spans="1:18" customFormat="1" ht="13.5" customHeight="1">
      <c r="A285" s="895">
        <f t="shared" si="112"/>
        <v>277</v>
      </c>
      <c r="B285" s="933" t="s">
        <v>1682</v>
      </c>
      <c r="C285" s="933"/>
      <c r="D285" s="933"/>
      <c r="E285" s="933"/>
      <c r="F285" s="933"/>
      <c r="G285" s="933"/>
      <c r="H285" s="933"/>
      <c r="I285" s="933"/>
      <c r="J285" s="936">
        <f>J283-J284</f>
        <v>-94888.837504981551</v>
      </c>
      <c r="K285" s="933"/>
      <c r="L285" s="933"/>
      <c r="M285" s="933"/>
      <c r="N285" s="933"/>
      <c r="O285" s="933"/>
      <c r="P285" s="933"/>
      <c r="Q285" s="936">
        <v>0</v>
      </c>
    </row>
    <row r="286" spans="1:18">
      <c r="A286" s="895">
        <f t="shared" si="112"/>
        <v>278</v>
      </c>
      <c r="B286" s="941"/>
      <c r="C286" s="941"/>
      <c r="D286" s="941"/>
      <c r="E286" s="941"/>
      <c r="F286" s="941"/>
      <c r="G286" s="941"/>
      <c r="H286" s="941"/>
      <c r="I286" s="941"/>
      <c r="J286" s="941"/>
      <c r="K286" s="896"/>
      <c r="L286" s="896"/>
      <c r="M286" s="896"/>
      <c r="N286" s="896"/>
      <c r="O286" s="896"/>
      <c r="P286" s="896"/>
      <c r="Q286" s="941"/>
    </row>
    <row r="287" spans="1:18" s="901" customFormat="1">
      <c r="A287" s="945">
        <f t="shared" si="112"/>
        <v>279</v>
      </c>
      <c r="B287" s="908"/>
      <c r="C287" s="908"/>
      <c r="D287" s="908"/>
      <c r="E287" s="908"/>
      <c r="F287" s="908"/>
      <c r="G287" s="908"/>
      <c r="H287" s="908"/>
      <c r="I287" s="908"/>
      <c r="J287" s="908"/>
      <c r="K287" s="908"/>
      <c r="L287" s="908"/>
      <c r="M287" s="908"/>
      <c r="N287" s="908"/>
      <c r="O287" s="908"/>
      <c r="P287" s="908"/>
      <c r="Q287" s="908"/>
    </row>
    <row r="288" spans="1:18">
      <c r="A288" s="895">
        <f t="shared" si="112"/>
        <v>280</v>
      </c>
      <c r="B288" s="1252" t="s">
        <v>1686</v>
      </c>
      <c r="C288" s="1252"/>
      <c r="D288" s="1252"/>
      <c r="E288" s="1252"/>
      <c r="F288" s="896"/>
      <c r="G288" s="896"/>
      <c r="H288" s="942"/>
      <c r="I288" s="942"/>
      <c r="J288" s="942"/>
      <c r="K288" s="896"/>
      <c r="L288" s="943"/>
      <c r="M288" s="944"/>
      <c r="N288" s="944"/>
      <c r="O288" s="944"/>
      <c r="P288" s="944"/>
      <c r="Q288" s="944"/>
      <c r="R288" s="901"/>
    </row>
    <row r="289" spans="1:18">
      <c r="A289" s="895">
        <f t="shared" si="112"/>
        <v>281</v>
      </c>
      <c r="B289" s="1253" t="s">
        <v>1687</v>
      </c>
      <c r="C289" s="1253"/>
      <c r="D289" s="1253"/>
      <c r="E289" s="1253"/>
      <c r="F289" s="896"/>
      <c r="G289" s="896"/>
      <c r="H289" s="942"/>
      <c r="I289" s="942"/>
      <c r="J289" s="942"/>
      <c r="K289" s="896"/>
      <c r="L289" s="943"/>
      <c r="M289" s="944"/>
      <c r="N289" s="944"/>
      <c r="O289" s="944"/>
      <c r="P289" s="944"/>
      <c r="Q289" s="944"/>
      <c r="R289" s="901"/>
    </row>
    <row r="290" spans="1:18">
      <c r="A290" s="895">
        <f t="shared" si="112"/>
        <v>282</v>
      </c>
      <c r="B290" s="1254" t="s">
        <v>1661</v>
      </c>
      <c r="C290" s="1255"/>
      <c r="D290" s="1255"/>
      <c r="E290" s="1255"/>
      <c r="F290" s="1256"/>
      <c r="G290" s="902"/>
      <c r="H290" s="1257" t="s">
        <v>1662</v>
      </c>
      <c r="I290" s="1258"/>
      <c r="J290" s="1259"/>
      <c r="K290" s="896"/>
      <c r="L290" s="1257" t="s">
        <v>1663</v>
      </c>
      <c r="M290" s="1258"/>
      <c r="N290" s="1258"/>
      <c r="O290" s="1258"/>
      <c r="P290" s="1258"/>
      <c r="Q290" s="1258"/>
    </row>
    <row r="291" spans="1:18">
      <c r="A291" s="895">
        <f t="shared" si="112"/>
        <v>283</v>
      </c>
      <c r="B291" s="903" t="s">
        <v>830</v>
      </c>
      <c r="C291" s="903" t="s">
        <v>831</v>
      </c>
      <c r="D291" s="903" t="s">
        <v>832</v>
      </c>
      <c r="E291" s="903" t="s">
        <v>833</v>
      </c>
      <c r="F291" s="903" t="s">
        <v>834</v>
      </c>
      <c r="G291" s="902"/>
      <c r="H291" s="903" t="s">
        <v>835</v>
      </c>
      <c r="I291" s="903" t="s">
        <v>836</v>
      </c>
      <c r="J291" s="903" t="s">
        <v>837</v>
      </c>
      <c r="K291" s="896"/>
      <c r="L291" s="903" t="s">
        <v>838</v>
      </c>
      <c r="M291" s="903" t="s">
        <v>839</v>
      </c>
      <c r="N291" s="903" t="s">
        <v>840</v>
      </c>
      <c r="O291" s="903" t="s">
        <v>841</v>
      </c>
      <c r="P291" s="903" t="s">
        <v>843</v>
      </c>
      <c r="Q291" s="903" t="s">
        <v>842</v>
      </c>
    </row>
    <row r="292" spans="1:18" ht="45">
      <c r="A292" s="895">
        <f t="shared" si="112"/>
        <v>284</v>
      </c>
      <c r="B292" s="905" t="s">
        <v>1352</v>
      </c>
      <c r="C292" s="905" t="s">
        <v>1587</v>
      </c>
      <c r="D292" s="905" t="s">
        <v>1664</v>
      </c>
      <c r="E292" s="905" t="s">
        <v>1665</v>
      </c>
      <c r="F292" s="905" t="s">
        <v>1666</v>
      </c>
      <c r="G292" s="906"/>
      <c r="H292" s="905" t="s">
        <v>1667</v>
      </c>
      <c r="I292" s="905" t="s">
        <v>1668</v>
      </c>
      <c r="J292" s="905" t="s">
        <v>1669</v>
      </c>
      <c r="K292" s="896"/>
      <c r="L292" s="905" t="s">
        <v>1670</v>
      </c>
      <c r="M292" s="905" t="s">
        <v>1671</v>
      </c>
      <c r="N292" s="905" t="s">
        <v>1672</v>
      </c>
      <c r="O292" s="905" t="s">
        <v>1673</v>
      </c>
      <c r="P292" s="905" t="s">
        <v>1674</v>
      </c>
      <c r="Q292" s="905" t="s">
        <v>1675</v>
      </c>
    </row>
    <row r="293" spans="1:18">
      <c r="A293" s="895">
        <f t="shared" si="112"/>
        <v>285</v>
      </c>
      <c r="B293" s="896"/>
      <c r="C293" s="906"/>
      <c r="D293" s="906"/>
      <c r="E293" s="906"/>
      <c r="F293" s="906"/>
      <c r="G293" s="906"/>
      <c r="H293" s="906"/>
      <c r="I293" s="906"/>
      <c r="J293" s="906"/>
      <c r="K293" s="896"/>
      <c r="L293" s="896"/>
      <c r="M293" s="896"/>
      <c r="N293" s="896"/>
      <c r="O293" s="896"/>
      <c r="P293" s="896"/>
      <c r="Q293" s="896"/>
    </row>
    <row r="294" spans="1:18">
      <c r="A294" s="895">
        <f t="shared" si="112"/>
        <v>286</v>
      </c>
      <c r="B294" s="1260" t="s">
        <v>1676</v>
      </c>
      <c r="C294" s="1260"/>
      <c r="D294" s="1260"/>
      <c r="E294" s="1260"/>
      <c r="F294" s="909"/>
      <c r="G294" s="909"/>
      <c r="H294" s="910"/>
      <c r="I294" s="910"/>
      <c r="J294" s="911">
        <f>'WP_B-Inputs Est.'!C107</f>
        <v>-312479.00447320897</v>
      </c>
      <c r="K294" s="912"/>
      <c r="L294" s="910"/>
      <c r="M294" s="913"/>
      <c r="N294" s="913"/>
      <c r="O294" s="913"/>
      <c r="P294" s="913"/>
      <c r="Q294" s="911">
        <f>'WP_B-Inputs Act.'!C107</f>
        <v>0</v>
      </c>
    </row>
    <row r="295" spans="1:18">
      <c r="A295" s="895">
        <f t="shared" si="112"/>
        <v>287</v>
      </c>
      <c r="B295" s="914" t="s">
        <v>956</v>
      </c>
      <c r="C295" s="910">
        <v>31</v>
      </c>
      <c r="D295" s="915">
        <f t="shared" ref="D295:D303" si="113">D296+C296</f>
        <v>335</v>
      </c>
      <c r="E295" s="915">
        <f>SUM(C295:C306)</f>
        <v>365</v>
      </c>
      <c r="F295" s="916">
        <f>D295/E295</f>
        <v>0.9178082191780822</v>
      </c>
      <c r="G295" s="909"/>
      <c r="H295" s="917">
        <f>('WP_B-Inputs Est.'!C108-'WP_B-Inputs Est.'!C107)/12</f>
        <v>-3471.3286393702824</v>
      </c>
      <c r="I295" s="910">
        <f>+H295*F295</f>
        <v>-3186.0139566823141</v>
      </c>
      <c r="J295" s="910">
        <f t="shared" ref="J295:J306" si="114">+I295+J294</f>
        <v>-315665.01842989126</v>
      </c>
      <c r="K295" s="896"/>
      <c r="L295" s="917">
        <f>('WP_B-Inputs Act.'!C108-'WP_B-Inputs Act.'!C107)/12</f>
        <v>0</v>
      </c>
      <c r="M295" s="913">
        <f>L295-H295</f>
        <v>3471.3286393702824</v>
      </c>
      <c r="N295" s="913">
        <f>IF(M295&lt;=0,+M295,0)</f>
        <v>0</v>
      </c>
      <c r="O295" s="913">
        <f>IF(N295&lt;0,0,IF(L295&gt;0,0,(-(M295)*(D295/E295))))</f>
        <v>-3186.0139566823141</v>
      </c>
      <c r="P295" s="913">
        <f>IF(N295&lt;0,0,IF(L295&lt;0,0,(-(M295)*(D295/E295))))</f>
        <v>-3186.0139566823141</v>
      </c>
      <c r="Q295" s="913">
        <f>IF(L295&gt;0,Q294+P295,Q294+I295+N295-O295)</f>
        <v>0</v>
      </c>
    </row>
    <row r="296" spans="1:18">
      <c r="A296" s="895">
        <f t="shared" si="112"/>
        <v>288</v>
      </c>
      <c r="B296" s="914" t="s">
        <v>904</v>
      </c>
      <c r="C296" s="917">
        <f>$C$17</f>
        <v>28</v>
      </c>
      <c r="D296" s="915">
        <f t="shared" si="113"/>
        <v>307</v>
      </c>
      <c r="E296" s="915">
        <f>E295</f>
        <v>365</v>
      </c>
      <c r="F296" s="916">
        <f t="shared" ref="F296:F306" si="115">D296/E296</f>
        <v>0.84109589041095889</v>
      </c>
      <c r="G296" s="909"/>
      <c r="H296" s="917">
        <f>$H$295</f>
        <v>-3471.3286393702824</v>
      </c>
      <c r="I296" s="910">
        <f t="shared" ref="I296:I306" si="116">+H296*F296</f>
        <v>-2919.7202528402099</v>
      </c>
      <c r="J296" s="910">
        <f t="shared" si="114"/>
        <v>-318584.73868273146</v>
      </c>
      <c r="K296" s="896"/>
      <c r="L296" s="917">
        <f>$L$295</f>
        <v>0</v>
      </c>
      <c r="M296" s="913">
        <f t="shared" ref="M296:M306" si="117">L296-H296</f>
        <v>3471.3286393702824</v>
      </c>
      <c r="N296" s="913">
        <f t="shared" ref="N296:N306" si="118">IF(M296&lt;=0,+M296,0)</f>
        <v>0</v>
      </c>
      <c r="O296" s="913">
        <f t="shared" ref="O296:O306" si="119">IF(N296&lt;0,0,IF(L296&gt;0,0,(-(M296)*(D296/E296))))</f>
        <v>-2919.7202528402099</v>
      </c>
      <c r="P296" s="913">
        <f t="shared" ref="P296:P306" si="120">IF(N296&lt;0,0,IF(L296&lt;0,0,(-(M296)*(D296/E296))))</f>
        <v>-2919.7202528402099</v>
      </c>
      <c r="Q296" s="913">
        <f t="shared" ref="Q296:Q306" si="121">IF(L296&gt;0,Q295+P296,Q295+I296+N296-O296)</f>
        <v>0</v>
      </c>
    </row>
    <row r="297" spans="1:18">
      <c r="A297" s="895">
        <f t="shared" si="112"/>
        <v>289</v>
      </c>
      <c r="B297" s="914" t="s">
        <v>905</v>
      </c>
      <c r="C297" s="910">
        <v>31</v>
      </c>
      <c r="D297" s="915">
        <f t="shared" si="113"/>
        <v>276</v>
      </c>
      <c r="E297" s="915">
        <f t="shared" ref="E297:E306" si="122">E296</f>
        <v>365</v>
      </c>
      <c r="F297" s="916">
        <f t="shared" si="115"/>
        <v>0.75616438356164384</v>
      </c>
      <c r="G297" s="909"/>
      <c r="H297" s="917">
        <f t="shared" ref="H297:H306" si="123">$H$295</f>
        <v>-3471.3286393702824</v>
      </c>
      <c r="I297" s="910">
        <f t="shared" si="116"/>
        <v>-2624.8950807293095</v>
      </c>
      <c r="J297" s="910">
        <f t="shared" si="114"/>
        <v>-321209.63376346079</v>
      </c>
      <c r="K297" s="896"/>
      <c r="L297" s="917">
        <f t="shared" ref="L297:L306" si="124">$L$295</f>
        <v>0</v>
      </c>
      <c r="M297" s="913">
        <f t="shared" si="117"/>
        <v>3471.3286393702824</v>
      </c>
      <c r="N297" s="913">
        <f t="shared" si="118"/>
        <v>0</v>
      </c>
      <c r="O297" s="913">
        <f t="shared" si="119"/>
        <v>-2624.8950807293095</v>
      </c>
      <c r="P297" s="913">
        <f t="shared" si="120"/>
        <v>-2624.8950807293095</v>
      </c>
      <c r="Q297" s="913">
        <f t="shared" si="121"/>
        <v>0</v>
      </c>
    </row>
    <row r="298" spans="1:18">
      <c r="A298" s="895">
        <f t="shared" si="112"/>
        <v>290</v>
      </c>
      <c r="B298" s="914" t="s">
        <v>906</v>
      </c>
      <c r="C298" s="910">
        <v>30</v>
      </c>
      <c r="D298" s="915">
        <f t="shared" si="113"/>
        <v>246</v>
      </c>
      <c r="E298" s="915">
        <f t="shared" si="122"/>
        <v>365</v>
      </c>
      <c r="F298" s="916">
        <f t="shared" si="115"/>
        <v>0.67397260273972603</v>
      </c>
      <c r="G298" s="909"/>
      <c r="H298" s="917">
        <f t="shared" si="123"/>
        <v>-3471.3286393702824</v>
      </c>
      <c r="I298" s="910">
        <f t="shared" si="116"/>
        <v>-2339.5803980413411</v>
      </c>
      <c r="J298" s="910">
        <f t="shared" si="114"/>
        <v>-323549.21416150214</v>
      </c>
      <c r="K298" s="896"/>
      <c r="L298" s="917">
        <f t="shared" si="124"/>
        <v>0</v>
      </c>
      <c r="M298" s="913">
        <f t="shared" si="117"/>
        <v>3471.3286393702824</v>
      </c>
      <c r="N298" s="913">
        <f t="shared" si="118"/>
        <v>0</v>
      </c>
      <c r="O298" s="913">
        <f t="shared" si="119"/>
        <v>-2339.5803980413411</v>
      </c>
      <c r="P298" s="913">
        <f t="shared" si="120"/>
        <v>-2339.5803980413411</v>
      </c>
      <c r="Q298" s="913">
        <f t="shared" si="121"/>
        <v>0</v>
      </c>
    </row>
    <row r="299" spans="1:18">
      <c r="A299" s="895">
        <f t="shared" si="112"/>
        <v>291</v>
      </c>
      <c r="B299" s="914" t="s">
        <v>907</v>
      </c>
      <c r="C299" s="910">
        <v>31</v>
      </c>
      <c r="D299" s="915">
        <f t="shared" si="113"/>
        <v>215</v>
      </c>
      <c r="E299" s="915">
        <f t="shared" si="122"/>
        <v>365</v>
      </c>
      <c r="F299" s="916">
        <f t="shared" si="115"/>
        <v>0.58904109589041098</v>
      </c>
      <c r="G299" s="909"/>
      <c r="H299" s="917">
        <f t="shared" si="123"/>
        <v>-3471.3286393702824</v>
      </c>
      <c r="I299" s="910">
        <f t="shared" si="116"/>
        <v>-2044.7552259304405</v>
      </c>
      <c r="J299" s="910">
        <f t="shared" si="114"/>
        <v>-325593.96938743256</v>
      </c>
      <c r="K299" s="896"/>
      <c r="L299" s="917">
        <f t="shared" si="124"/>
        <v>0</v>
      </c>
      <c r="M299" s="913">
        <f t="shared" si="117"/>
        <v>3471.3286393702824</v>
      </c>
      <c r="N299" s="913">
        <f t="shared" si="118"/>
        <v>0</v>
      </c>
      <c r="O299" s="913">
        <f t="shared" si="119"/>
        <v>-2044.7552259304405</v>
      </c>
      <c r="P299" s="913">
        <f t="shared" si="120"/>
        <v>-2044.7552259304405</v>
      </c>
      <c r="Q299" s="913">
        <f t="shared" si="121"/>
        <v>0</v>
      </c>
    </row>
    <row r="300" spans="1:18">
      <c r="A300" s="895">
        <f t="shared" si="112"/>
        <v>292</v>
      </c>
      <c r="B300" s="914" t="s">
        <v>908</v>
      </c>
      <c r="C300" s="910">
        <v>30</v>
      </c>
      <c r="D300" s="915">
        <f t="shared" si="113"/>
        <v>185</v>
      </c>
      <c r="E300" s="915">
        <f t="shared" si="122"/>
        <v>365</v>
      </c>
      <c r="F300" s="916">
        <f t="shared" si="115"/>
        <v>0.50684931506849318</v>
      </c>
      <c r="G300" s="909"/>
      <c r="H300" s="917">
        <f t="shared" si="123"/>
        <v>-3471.3286393702824</v>
      </c>
      <c r="I300" s="910">
        <f t="shared" si="116"/>
        <v>-1759.4405432424719</v>
      </c>
      <c r="J300" s="910">
        <f t="shared" si="114"/>
        <v>-327353.40993067506</v>
      </c>
      <c r="K300" s="896"/>
      <c r="L300" s="917">
        <f t="shared" si="124"/>
        <v>0</v>
      </c>
      <c r="M300" s="913">
        <f t="shared" si="117"/>
        <v>3471.3286393702824</v>
      </c>
      <c r="N300" s="913">
        <f t="shared" si="118"/>
        <v>0</v>
      </c>
      <c r="O300" s="913">
        <f t="shared" si="119"/>
        <v>-1759.4405432424719</v>
      </c>
      <c r="P300" s="913">
        <f t="shared" si="120"/>
        <v>-1759.4405432424719</v>
      </c>
      <c r="Q300" s="913">
        <f t="shared" si="121"/>
        <v>0</v>
      </c>
    </row>
    <row r="301" spans="1:18">
      <c r="A301" s="895">
        <f t="shared" si="112"/>
        <v>293</v>
      </c>
      <c r="B301" s="914" t="s">
        <v>909</v>
      </c>
      <c r="C301" s="910">
        <v>31</v>
      </c>
      <c r="D301" s="915">
        <f t="shared" si="113"/>
        <v>154</v>
      </c>
      <c r="E301" s="915">
        <f t="shared" si="122"/>
        <v>365</v>
      </c>
      <c r="F301" s="916">
        <f t="shared" si="115"/>
        <v>0.42191780821917807</v>
      </c>
      <c r="G301" s="909"/>
      <c r="H301" s="917">
        <f t="shared" si="123"/>
        <v>-3471.3286393702824</v>
      </c>
      <c r="I301" s="910">
        <f t="shared" si="116"/>
        <v>-1464.6153711315712</v>
      </c>
      <c r="J301" s="910">
        <f t="shared" si="114"/>
        <v>-328818.02530180663</v>
      </c>
      <c r="K301" s="896"/>
      <c r="L301" s="917">
        <f t="shared" si="124"/>
        <v>0</v>
      </c>
      <c r="M301" s="913">
        <f t="shared" si="117"/>
        <v>3471.3286393702824</v>
      </c>
      <c r="N301" s="913">
        <f t="shared" si="118"/>
        <v>0</v>
      </c>
      <c r="O301" s="913">
        <f t="shared" si="119"/>
        <v>-1464.6153711315712</v>
      </c>
      <c r="P301" s="913">
        <f t="shared" si="120"/>
        <v>-1464.6153711315712</v>
      </c>
      <c r="Q301" s="913">
        <f t="shared" si="121"/>
        <v>0</v>
      </c>
    </row>
    <row r="302" spans="1:18">
      <c r="A302" s="895">
        <f t="shared" si="112"/>
        <v>294</v>
      </c>
      <c r="B302" s="914" t="s">
        <v>910</v>
      </c>
      <c r="C302" s="910">
        <v>31</v>
      </c>
      <c r="D302" s="915">
        <f t="shared" si="113"/>
        <v>123</v>
      </c>
      <c r="E302" s="915">
        <f t="shared" si="122"/>
        <v>365</v>
      </c>
      <c r="F302" s="916">
        <f t="shared" si="115"/>
        <v>0.33698630136986302</v>
      </c>
      <c r="G302" s="909"/>
      <c r="H302" s="917">
        <f t="shared" si="123"/>
        <v>-3471.3286393702824</v>
      </c>
      <c r="I302" s="910">
        <f t="shared" si="116"/>
        <v>-1169.7901990206706</v>
      </c>
      <c r="J302" s="910">
        <f t="shared" si="114"/>
        <v>-329987.81550082727</v>
      </c>
      <c r="K302" s="896"/>
      <c r="L302" s="917">
        <f t="shared" si="124"/>
        <v>0</v>
      </c>
      <c r="M302" s="913">
        <f t="shared" si="117"/>
        <v>3471.3286393702824</v>
      </c>
      <c r="N302" s="913">
        <f t="shared" si="118"/>
        <v>0</v>
      </c>
      <c r="O302" s="913">
        <f t="shared" si="119"/>
        <v>-1169.7901990206706</v>
      </c>
      <c r="P302" s="913">
        <f t="shared" si="120"/>
        <v>-1169.7901990206706</v>
      </c>
      <c r="Q302" s="913">
        <f t="shared" si="121"/>
        <v>0</v>
      </c>
    </row>
    <row r="303" spans="1:18">
      <c r="A303" s="895">
        <f t="shared" si="112"/>
        <v>295</v>
      </c>
      <c r="B303" s="914" t="s">
        <v>911</v>
      </c>
      <c r="C303" s="910">
        <v>30</v>
      </c>
      <c r="D303" s="915">
        <f t="shared" si="113"/>
        <v>93</v>
      </c>
      <c r="E303" s="915">
        <f t="shared" si="122"/>
        <v>365</v>
      </c>
      <c r="F303" s="916">
        <f t="shared" si="115"/>
        <v>0.25479452054794521</v>
      </c>
      <c r="G303" s="909"/>
      <c r="H303" s="917">
        <f t="shared" si="123"/>
        <v>-3471.3286393702824</v>
      </c>
      <c r="I303" s="910">
        <f t="shared" si="116"/>
        <v>-884.47551633270211</v>
      </c>
      <c r="J303" s="910">
        <f t="shared" si="114"/>
        <v>-330872.29101715999</v>
      </c>
      <c r="K303" s="896"/>
      <c r="L303" s="917">
        <f t="shared" si="124"/>
        <v>0</v>
      </c>
      <c r="M303" s="913">
        <f t="shared" si="117"/>
        <v>3471.3286393702824</v>
      </c>
      <c r="N303" s="913">
        <f t="shared" si="118"/>
        <v>0</v>
      </c>
      <c r="O303" s="913">
        <f t="shared" si="119"/>
        <v>-884.47551633270211</v>
      </c>
      <c r="P303" s="913">
        <f t="shared" si="120"/>
        <v>-884.47551633270211</v>
      </c>
      <c r="Q303" s="913">
        <f t="shared" si="121"/>
        <v>0</v>
      </c>
    </row>
    <row r="304" spans="1:18">
      <c r="A304" s="895">
        <f t="shared" si="112"/>
        <v>296</v>
      </c>
      <c r="B304" s="914" t="s">
        <v>912</v>
      </c>
      <c r="C304" s="910">
        <v>31</v>
      </c>
      <c r="D304" s="915">
        <f>D305+C305</f>
        <v>62</v>
      </c>
      <c r="E304" s="915">
        <f t="shared" si="122"/>
        <v>365</v>
      </c>
      <c r="F304" s="916">
        <f t="shared" si="115"/>
        <v>0.16986301369863013</v>
      </c>
      <c r="G304" s="909"/>
      <c r="H304" s="917">
        <f t="shared" si="123"/>
        <v>-3471.3286393702824</v>
      </c>
      <c r="I304" s="910">
        <f t="shared" si="116"/>
        <v>-589.65034422180133</v>
      </c>
      <c r="J304" s="910">
        <f t="shared" si="114"/>
        <v>-331461.94136138179</v>
      </c>
      <c r="K304" s="896"/>
      <c r="L304" s="917">
        <f t="shared" si="124"/>
        <v>0</v>
      </c>
      <c r="M304" s="913">
        <f t="shared" si="117"/>
        <v>3471.3286393702824</v>
      </c>
      <c r="N304" s="913">
        <f t="shared" si="118"/>
        <v>0</v>
      </c>
      <c r="O304" s="913">
        <f t="shared" si="119"/>
        <v>-589.65034422180133</v>
      </c>
      <c r="P304" s="913">
        <f t="shared" si="120"/>
        <v>-589.65034422180133</v>
      </c>
      <c r="Q304" s="913">
        <f t="shared" si="121"/>
        <v>0</v>
      </c>
    </row>
    <row r="305" spans="1:18">
      <c r="A305" s="895">
        <f t="shared" si="112"/>
        <v>297</v>
      </c>
      <c r="B305" s="914" t="s">
        <v>913</v>
      </c>
      <c r="C305" s="910">
        <v>30</v>
      </c>
      <c r="D305" s="915">
        <f>D306+C306</f>
        <v>32</v>
      </c>
      <c r="E305" s="915">
        <f t="shared" si="122"/>
        <v>365</v>
      </c>
      <c r="F305" s="916">
        <f t="shared" si="115"/>
        <v>8.7671232876712329E-2</v>
      </c>
      <c r="G305" s="909"/>
      <c r="H305" s="917">
        <f t="shared" si="123"/>
        <v>-3471.3286393702824</v>
      </c>
      <c r="I305" s="910">
        <f t="shared" si="116"/>
        <v>-304.33566153383299</v>
      </c>
      <c r="J305" s="910">
        <f t="shared" si="114"/>
        <v>-331766.2770229156</v>
      </c>
      <c r="K305" s="896"/>
      <c r="L305" s="917">
        <f t="shared" si="124"/>
        <v>0</v>
      </c>
      <c r="M305" s="913">
        <f t="shared" si="117"/>
        <v>3471.3286393702824</v>
      </c>
      <c r="N305" s="913">
        <f t="shared" si="118"/>
        <v>0</v>
      </c>
      <c r="O305" s="913">
        <f t="shared" si="119"/>
        <v>-304.33566153383299</v>
      </c>
      <c r="P305" s="913">
        <f t="shared" si="120"/>
        <v>-304.33566153383299</v>
      </c>
      <c r="Q305" s="913">
        <f t="shared" si="121"/>
        <v>0</v>
      </c>
    </row>
    <row r="306" spans="1:18">
      <c r="A306" s="895">
        <f t="shared" si="112"/>
        <v>298</v>
      </c>
      <c r="B306" s="914" t="s">
        <v>914</v>
      </c>
      <c r="C306" s="910">
        <v>31</v>
      </c>
      <c r="D306" s="915">
        <v>1</v>
      </c>
      <c r="E306" s="915">
        <f t="shared" si="122"/>
        <v>365</v>
      </c>
      <c r="F306" s="916">
        <f t="shared" si="115"/>
        <v>2.7397260273972603E-3</v>
      </c>
      <c r="G306" s="909"/>
      <c r="H306" s="917">
        <f t="shared" si="123"/>
        <v>-3471.3286393702824</v>
      </c>
      <c r="I306" s="910">
        <f t="shared" si="116"/>
        <v>-9.5104894229322809</v>
      </c>
      <c r="J306" s="910">
        <f t="shared" si="114"/>
        <v>-331775.78751233855</v>
      </c>
      <c r="K306" s="896"/>
      <c r="L306" s="917">
        <f t="shared" si="124"/>
        <v>0</v>
      </c>
      <c r="M306" s="913">
        <f t="shared" si="117"/>
        <v>3471.3286393702824</v>
      </c>
      <c r="N306" s="913">
        <f t="shared" si="118"/>
        <v>0</v>
      </c>
      <c r="O306" s="913">
        <f t="shared" si="119"/>
        <v>-9.5104894229322809</v>
      </c>
      <c r="P306" s="913">
        <f t="shared" si="120"/>
        <v>-9.5104894229322809</v>
      </c>
      <c r="Q306" s="913">
        <f t="shared" si="121"/>
        <v>0</v>
      </c>
    </row>
    <row r="307" spans="1:18">
      <c r="A307" s="895">
        <f t="shared" si="112"/>
        <v>299</v>
      </c>
      <c r="B307" s="918"/>
      <c r="C307" s="918" t="s">
        <v>795</v>
      </c>
      <c r="D307" s="919">
        <f>+SUM(D295:D306)</f>
        <v>2029</v>
      </c>
      <c r="E307" s="919">
        <f>+SUM(E295:E306)</f>
        <v>4380</v>
      </c>
      <c r="F307" s="920"/>
      <c r="G307" s="909"/>
      <c r="H307" s="921">
        <f>SUM(H295:H306)</f>
        <v>-41655.943672443391</v>
      </c>
      <c r="I307" s="921">
        <f>SUM(I295:I306)</f>
        <v>-19296.783039129601</v>
      </c>
      <c r="J307" s="920"/>
      <c r="K307" s="896"/>
      <c r="L307" s="922">
        <f>SUM(L295:L306)</f>
        <v>0</v>
      </c>
      <c r="M307" s="922">
        <f>SUM(M295:M306)</f>
        <v>41655.943672443391</v>
      </c>
      <c r="N307" s="922">
        <f>SUM(N295:N306)</f>
        <v>0</v>
      </c>
      <c r="O307" s="922">
        <f>SUM(O295:O306)</f>
        <v>-19296.783039129601</v>
      </c>
      <c r="P307" s="922">
        <f>SUM(P295:P306)</f>
        <v>-19296.783039129601</v>
      </c>
      <c r="Q307" s="922"/>
    </row>
    <row r="308" spans="1:18">
      <c r="A308" s="895">
        <f t="shared" si="112"/>
        <v>300</v>
      </c>
      <c r="B308" s="924"/>
      <c r="C308" s="924"/>
      <c r="D308" s="925"/>
      <c r="E308" s="925"/>
      <c r="F308" s="926"/>
      <c r="G308" s="909"/>
      <c r="H308" s="910"/>
      <c r="I308" s="910"/>
      <c r="J308" s="926"/>
      <c r="K308" s="896"/>
      <c r="L308" s="928"/>
      <c r="M308" s="928"/>
      <c r="N308" s="928"/>
      <c r="O308" s="928"/>
      <c r="P308" s="928"/>
      <c r="Q308" s="928"/>
    </row>
    <row r="309" spans="1:18">
      <c r="A309" s="895">
        <f t="shared" si="112"/>
        <v>301</v>
      </c>
      <c r="B309" s="896" t="s">
        <v>1677</v>
      </c>
      <c r="C309" s="924"/>
      <c r="D309" s="925"/>
      <c r="E309" s="929">
        <f>1-(D307/E307)</f>
        <v>0.53675799086757991</v>
      </c>
      <c r="F309" s="926"/>
      <c r="G309" s="909"/>
      <c r="H309" s="910"/>
      <c r="I309" s="910"/>
      <c r="J309" s="926"/>
      <c r="K309" s="896"/>
      <c r="L309" s="928"/>
      <c r="M309" s="928"/>
      <c r="N309" s="928"/>
      <c r="O309" s="928"/>
      <c r="P309" s="928"/>
      <c r="Q309" s="928"/>
    </row>
    <row r="310" spans="1:18" s="901" customFormat="1">
      <c r="A310" s="895">
        <f t="shared" si="112"/>
        <v>302</v>
      </c>
      <c r="B310" s="947"/>
      <c r="C310" s="947"/>
      <c r="D310" s="947"/>
      <c r="E310" s="947"/>
      <c r="F310" s="948"/>
      <c r="G310" s="948"/>
      <c r="H310" s="900"/>
      <c r="I310" s="949"/>
      <c r="J310" s="948"/>
      <c r="K310" s="908"/>
      <c r="L310" s="908"/>
      <c r="M310" s="908"/>
      <c r="N310" s="908"/>
      <c r="O310" s="908"/>
      <c r="P310" s="908"/>
      <c r="Q310" s="908"/>
    </row>
    <row r="311" spans="1:18" s="901" customFormat="1">
      <c r="A311" s="895">
        <f t="shared" si="112"/>
        <v>303</v>
      </c>
      <c r="B311" s="950"/>
      <c r="C311" s="947"/>
      <c r="D311" s="908"/>
      <c r="E311" s="947"/>
      <c r="F311" s="908"/>
      <c r="G311" s="948"/>
      <c r="H311" s="900"/>
      <c r="I311" s="949"/>
      <c r="J311" s="951"/>
      <c r="K311" s="908"/>
      <c r="L311" s="908"/>
      <c r="M311" s="908"/>
      <c r="N311" s="908"/>
      <c r="O311" s="908"/>
      <c r="P311" s="908"/>
      <c r="Q311" s="951"/>
    </row>
    <row r="312" spans="1:18" s="109" customFormat="1">
      <c r="A312" s="895">
        <f t="shared" si="112"/>
        <v>304</v>
      </c>
      <c r="B312" s="934" t="s">
        <v>1678</v>
      </c>
      <c r="C312" s="934"/>
      <c r="D312" s="934"/>
      <c r="E312" s="934"/>
      <c r="F312" s="934" t="str">
        <f>"(Line "&amp;A294&amp;", Col H)"</f>
        <v>(Line 286, Col H)</v>
      </c>
      <c r="G312" s="952"/>
      <c r="H312" s="934"/>
      <c r="I312" s="952"/>
      <c r="J312" s="913">
        <f>J294</f>
        <v>-312479.00447320897</v>
      </c>
      <c r="K312" s="934"/>
      <c r="L312" s="934"/>
      <c r="M312" s="934"/>
      <c r="N312" s="934" t="str">
        <f>"(Line "&amp;A294&amp;", Col N)"</f>
        <v>(Line 286, Col N)</v>
      </c>
      <c r="O312" s="934"/>
      <c r="P312" s="934"/>
      <c r="Q312" s="913">
        <f>Q294</f>
        <v>0</v>
      </c>
    </row>
    <row r="313" spans="1:18" s="109" customFormat="1">
      <c r="A313" s="895">
        <f t="shared" si="112"/>
        <v>305</v>
      </c>
      <c r="B313" s="934" t="s">
        <v>1679</v>
      </c>
      <c r="C313" s="934"/>
      <c r="D313" s="934"/>
      <c r="E313" s="934"/>
      <c r="F313" s="934" t="str">
        <f>"(Line "&amp;A306&amp;", Col H)"</f>
        <v>(Line 298, Col H)</v>
      </c>
      <c r="G313" s="952"/>
      <c r="H313" s="934"/>
      <c r="I313" s="952"/>
      <c r="J313" s="913">
        <f>J306</f>
        <v>-331775.78751233855</v>
      </c>
      <c r="K313" s="934"/>
      <c r="L313" s="953"/>
      <c r="M313" s="934"/>
      <c r="N313" s="934" t="str">
        <f>"(Line "&amp;A306&amp;", Col N)"</f>
        <v>(Line 298, Col N)</v>
      </c>
      <c r="O313" s="934"/>
      <c r="P313" s="934"/>
      <c r="Q313" s="913">
        <f>Q306</f>
        <v>0</v>
      </c>
    </row>
    <row r="314" spans="1:18" s="109" customFormat="1">
      <c r="A314" s="895">
        <f t="shared" si="112"/>
        <v>306</v>
      </c>
      <c r="B314" s="934" t="s">
        <v>1680</v>
      </c>
      <c r="C314" s="934"/>
      <c r="D314" s="934"/>
      <c r="E314" s="934"/>
      <c r="F314" s="934" t="str">
        <f>"(Average of Line "&amp;A312&amp;" &amp; Line "&amp;A313&amp;")"</f>
        <v>(Average of Line 304 &amp; Line 305)</v>
      </c>
      <c r="G314" s="952"/>
      <c r="H314" s="934"/>
      <c r="I314" s="954"/>
      <c r="J314" s="938">
        <f>(J312+J313)/2</f>
        <v>-322127.39599277376</v>
      </c>
      <c r="K314" s="934"/>
      <c r="L314" s="955"/>
      <c r="M314" s="934"/>
      <c r="N314" s="934" t="str">
        <f>"(Average of Line "&amp;A312&amp;" &amp; Line "&amp;A313&amp;")"</f>
        <v>(Average of Line 304 &amp; Line 305)</v>
      </c>
      <c r="O314" s="934"/>
      <c r="P314" s="934"/>
      <c r="Q314" s="938">
        <f>(Q312+Q313)/2</f>
        <v>0</v>
      </c>
    </row>
    <row r="315" spans="1:18" s="109" customFormat="1" ht="13.5" customHeight="1">
      <c r="A315" s="895">
        <f t="shared" si="112"/>
        <v>307</v>
      </c>
      <c r="B315" s="934" t="s">
        <v>1681</v>
      </c>
      <c r="C315" s="934"/>
      <c r="D315" s="934"/>
      <c r="E315" s="934"/>
      <c r="F315" s="934" t="s">
        <v>1833</v>
      </c>
      <c r="G315" s="934"/>
      <c r="H315" s="934"/>
      <c r="I315" s="934"/>
      <c r="J315" s="956">
        <f>AVERAGE(J294, (SUM(H295:H306)+J294))</f>
        <v>-333306.97630943067</v>
      </c>
      <c r="K315" s="934"/>
      <c r="L315" s="934"/>
      <c r="M315" s="934"/>
      <c r="N315" s="934" t="s">
        <v>1830</v>
      </c>
      <c r="O315" s="934"/>
      <c r="P315" s="934"/>
      <c r="Q315" s="956">
        <f>AVERAGE(Q294, (SUM(L295:L306)+Q294))</f>
        <v>0</v>
      </c>
    </row>
    <row r="316" spans="1:18" s="109" customFormat="1" ht="13.5" customHeight="1">
      <c r="A316" s="895">
        <f t="shared" si="112"/>
        <v>308</v>
      </c>
      <c r="B316" s="934" t="s">
        <v>1682</v>
      </c>
      <c r="C316" s="934"/>
      <c r="D316" s="934"/>
      <c r="E316" s="934"/>
      <c r="F316" s="934"/>
      <c r="G316" s="934"/>
      <c r="H316" s="934"/>
      <c r="I316" s="934"/>
      <c r="J316" s="953">
        <f>J314-J315</f>
        <v>11179.580316656909</v>
      </c>
      <c r="K316" s="934"/>
      <c r="L316" s="934"/>
      <c r="M316" s="934"/>
      <c r="N316" s="934"/>
      <c r="O316" s="934"/>
      <c r="P316" s="934"/>
      <c r="Q316" s="953">
        <f>Q314-Q315</f>
        <v>0</v>
      </c>
    </row>
    <row r="317" spans="1:18" s="901" customFormat="1">
      <c r="A317" s="895">
        <f t="shared" si="112"/>
        <v>309</v>
      </c>
      <c r="B317" s="957"/>
      <c r="C317" s="957"/>
      <c r="D317" s="957"/>
      <c r="E317" s="957"/>
      <c r="F317" s="957"/>
      <c r="G317" s="957"/>
      <c r="H317" s="957"/>
      <c r="I317" s="957"/>
      <c r="J317" s="957"/>
      <c r="K317" s="908"/>
      <c r="L317" s="908"/>
      <c r="M317" s="908"/>
      <c r="N317" s="908"/>
      <c r="O317" s="908"/>
      <c r="P317" s="908"/>
      <c r="Q317" s="957"/>
    </row>
    <row r="318" spans="1:18" s="901" customFormat="1">
      <c r="A318" s="895">
        <f t="shared" si="112"/>
        <v>310</v>
      </c>
      <c r="B318" s="908"/>
      <c r="C318" s="908"/>
      <c r="D318" s="908"/>
      <c r="E318" s="908"/>
      <c r="F318" s="908"/>
      <c r="G318" s="908"/>
      <c r="H318" s="908"/>
      <c r="I318" s="908"/>
      <c r="J318" s="908"/>
      <c r="K318" s="908"/>
      <c r="L318" s="908"/>
      <c r="M318" s="908"/>
      <c r="N318" s="908"/>
      <c r="O318" s="908"/>
      <c r="P318" s="908"/>
      <c r="Q318" s="908"/>
    </row>
    <row r="319" spans="1:18">
      <c r="A319" s="895">
        <f t="shared" si="112"/>
        <v>311</v>
      </c>
      <c r="B319" s="1252" t="s">
        <v>1686</v>
      </c>
      <c r="C319" s="1252"/>
      <c r="D319" s="1252"/>
      <c r="E319" s="1252"/>
      <c r="F319" s="896"/>
      <c r="G319" s="896"/>
      <c r="H319" s="942"/>
      <c r="I319" s="942"/>
      <c r="J319" s="942"/>
      <c r="K319" s="896"/>
      <c r="L319" s="943"/>
      <c r="M319" s="944"/>
      <c r="N319" s="944"/>
      <c r="O319" s="944"/>
      <c r="P319" s="944"/>
      <c r="Q319" s="944"/>
      <c r="R319" s="901"/>
    </row>
    <row r="320" spans="1:18">
      <c r="A320" s="895">
        <f t="shared" si="112"/>
        <v>312</v>
      </c>
      <c r="B320" s="1253" t="s">
        <v>1688</v>
      </c>
      <c r="C320" s="1253"/>
      <c r="D320" s="1253"/>
      <c r="E320" s="1253"/>
      <c r="F320" s="896"/>
      <c r="G320" s="896"/>
      <c r="H320" s="942"/>
      <c r="I320" s="942"/>
      <c r="J320" s="942"/>
      <c r="K320" s="896"/>
      <c r="L320" s="943"/>
      <c r="M320" s="944"/>
      <c r="N320" s="944"/>
      <c r="O320" s="944"/>
      <c r="P320" s="944"/>
      <c r="Q320" s="944"/>
      <c r="R320" s="901"/>
    </row>
    <row r="321" spans="1:17">
      <c r="A321" s="895">
        <f t="shared" si="112"/>
        <v>313</v>
      </c>
      <c r="B321" s="1254" t="s">
        <v>1661</v>
      </c>
      <c r="C321" s="1255"/>
      <c r="D321" s="1255"/>
      <c r="E321" s="1255"/>
      <c r="F321" s="1256"/>
      <c r="G321" s="902"/>
      <c r="H321" s="1257" t="s">
        <v>1662</v>
      </c>
      <c r="I321" s="1258"/>
      <c r="J321" s="1259"/>
      <c r="K321" s="896"/>
      <c r="L321" s="1257" t="s">
        <v>1663</v>
      </c>
      <c r="M321" s="1258"/>
      <c r="N321" s="1258"/>
      <c r="O321" s="1258"/>
      <c r="P321" s="1258"/>
      <c r="Q321" s="1258"/>
    </row>
    <row r="322" spans="1:17">
      <c r="A322" s="895">
        <f t="shared" si="112"/>
        <v>314</v>
      </c>
      <c r="B322" s="903" t="s">
        <v>830</v>
      </c>
      <c r="C322" s="903" t="s">
        <v>831</v>
      </c>
      <c r="D322" s="903" t="s">
        <v>832</v>
      </c>
      <c r="E322" s="903" t="s">
        <v>833</v>
      </c>
      <c r="F322" s="903" t="s">
        <v>834</v>
      </c>
      <c r="G322" s="902"/>
      <c r="H322" s="903" t="s">
        <v>835</v>
      </c>
      <c r="I322" s="903" t="s">
        <v>836</v>
      </c>
      <c r="J322" s="903" t="s">
        <v>837</v>
      </c>
      <c r="K322" s="896"/>
      <c r="L322" s="903" t="s">
        <v>838</v>
      </c>
      <c r="M322" s="903" t="s">
        <v>839</v>
      </c>
      <c r="N322" s="903" t="s">
        <v>840</v>
      </c>
      <c r="O322" s="903" t="s">
        <v>841</v>
      </c>
      <c r="P322" s="903" t="s">
        <v>843</v>
      </c>
      <c r="Q322" s="903" t="s">
        <v>842</v>
      </c>
    </row>
    <row r="323" spans="1:17" ht="45">
      <c r="A323" s="895">
        <f t="shared" si="112"/>
        <v>315</v>
      </c>
      <c r="B323" s="905" t="s">
        <v>1352</v>
      </c>
      <c r="C323" s="905" t="s">
        <v>1587</v>
      </c>
      <c r="D323" s="905" t="s">
        <v>1664</v>
      </c>
      <c r="E323" s="905" t="s">
        <v>1665</v>
      </c>
      <c r="F323" s="905" t="s">
        <v>1666</v>
      </c>
      <c r="G323" s="906"/>
      <c r="H323" s="905" t="s">
        <v>1667</v>
      </c>
      <c r="I323" s="905" t="s">
        <v>1668</v>
      </c>
      <c r="J323" s="905" t="s">
        <v>1669</v>
      </c>
      <c r="K323" s="896"/>
      <c r="L323" s="905" t="s">
        <v>1670</v>
      </c>
      <c r="M323" s="905" t="s">
        <v>1671</v>
      </c>
      <c r="N323" s="905" t="s">
        <v>1672</v>
      </c>
      <c r="O323" s="905" t="s">
        <v>1673</v>
      </c>
      <c r="P323" s="905" t="s">
        <v>1674</v>
      </c>
      <c r="Q323" s="905" t="s">
        <v>1675</v>
      </c>
    </row>
    <row r="324" spans="1:17">
      <c r="A324" s="895">
        <f t="shared" si="112"/>
        <v>316</v>
      </c>
      <c r="B324" s="896"/>
      <c r="C324" s="906"/>
      <c r="D324" s="906"/>
      <c r="E324" s="906"/>
      <c r="F324" s="906"/>
      <c r="G324" s="906"/>
      <c r="H324" s="906"/>
      <c r="I324" s="906"/>
      <c r="J324" s="906"/>
      <c r="K324" s="896"/>
      <c r="L324" s="896"/>
      <c r="M324" s="896"/>
      <c r="N324" s="896"/>
      <c r="O324" s="896"/>
      <c r="P324" s="896"/>
      <c r="Q324" s="896"/>
    </row>
    <row r="325" spans="1:17">
      <c r="A325" s="895">
        <f t="shared" si="112"/>
        <v>317</v>
      </c>
      <c r="B325" s="1260" t="s">
        <v>1676</v>
      </c>
      <c r="C325" s="1260"/>
      <c r="D325" s="1260"/>
      <c r="E325" s="1260"/>
      <c r="F325" s="909"/>
      <c r="G325" s="909"/>
      <c r="H325" s="910"/>
      <c r="I325" s="910"/>
      <c r="J325" s="911">
        <f>'WP_B-Inputs Est.'!D107</f>
        <v>-0.13122942676874744</v>
      </c>
      <c r="K325" s="912"/>
      <c r="L325" s="910"/>
      <c r="M325" s="913"/>
      <c r="N325" s="913"/>
      <c r="O325" s="913"/>
      <c r="P325" s="913"/>
      <c r="Q325" s="911">
        <f>'WP_B-Inputs Act.'!D107</f>
        <v>0</v>
      </c>
    </row>
    <row r="326" spans="1:17">
      <c r="A326" s="895">
        <f t="shared" si="112"/>
        <v>318</v>
      </c>
      <c r="B326" s="914" t="s">
        <v>956</v>
      </c>
      <c r="C326" s="910">
        <v>31</v>
      </c>
      <c r="D326" s="915">
        <f t="shared" ref="D326:D334" si="125">D327+C327</f>
        <v>335</v>
      </c>
      <c r="E326" s="915">
        <f>SUM(C326:C337)</f>
        <v>365</v>
      </c>
      <c r="F326" s="916">
        <f>D326/E326</f>
        <v>0.9178082191780822</v>
      </c>
      <c r="G326" s="909"/>
      <c r="H326" s="917">
        <f>('WP_B-Inputs Est.'!D108-'WP_B-Inputs Est.'!D107)/12</f>
        <v>0</v>
      </c>
      <c r="I326" s="910">
        <f>+H326*F326</f>
        <v>0</v>
      </c>
      <c r="J326" s="910">
        <f t="shared" ref="J326:J337" si="126">+I326+J325</f>
        <v>-0.13122942676874744</v>
      </c>
      <c r="K326" s="896"/>
      <c r="L326" s="917">
        <f>('WP_B-Inputs Act.'!D108-'WP_B-Inputs Act.'!D107)/12</f>
        <v>0</v>
      </c>
      <c r="M326" s="913">
        <f>L326-H326</f>
        <v>0</v>
      </c>
      <c r="N326" s="913">
        <f>IF(M326&lt;=0,+M326,0)</f>
        <v>0</v>
      </c>
      <c r="O326" s="913">
        <f>IF(N326&lt;0,0,IF(L326&gt;0,0,(-(M326)*(D326/E326))))</f>
        <v>0</v>
      </c>
      <c r="P326" s="913">
        <f t="shared" ref="P326:P337" si="127">IF(L326&gt;0,L326,0)</f>
        <v>0</v>
      </c>
      <c r="Q326" s="913">
        <f>IF(L326&gt;0,Q325+P326,Q325+I326+N326-O326)</f>
        <v>0</v>
      </c>
    </row>
    <row r="327" spans="1:17">
      <c r="A327" s="895">
        <f t="shared" si="112"/>
        <v>319</v>
      </c>
      <c r="B327" s="914" t="s">
        <v>904</v>
      </c>
      <c r="C327" s="917">
        <f>$C$17</f>
        <v>28</v>
      </c>
      <c r="D327" s="915">
        <f t="shared" si="125"/>
        <v>307</v>
      </c>
      <c r="E327" s="915">
        <f>E326</f>
        <v>365</v>
      </c>
      <c r="F327" s="916">
        <f t="shared" ref="F327:F337" si="128">D327/E327</f>
        <v>0.84109589041095889</v>
      </c>
      <c r="G327" s="909"/>
      <c r="H327" s="917">
        <f>$H$326</f>
        <v>0</v>
      </c>
      <c r="I327" s="910">
        <f t="shared" ref="I327:I337" si="129">+H327*F327</f>
        <v>0</v>
      </c>
      <c r="J327" s="910">
        <f t="shared" si="126"/>
        <v>-0.13122942676874744</v>
      </c>
      <c r="K327" s="896"/>
      <c r="L327" s="917">
        <f>$L$326</f>
        <v>0</v>
      </c>
      <c r="M327" s="913">
        <f t="shared" ref="M327:M337" si="130">L327-H327</f>
        <v>0</v>
      </c>
      <c r="N327" s="913">
        <f t="shared" ref="N327:N337" si="131">IF(M327&lt;=0,+M327,0)</f>
        <v>0</v>
      </c>
      <c r="O327" s="913">
        <f t="shared" ref="O327:O337" si="132">IF(N327&lt;0,0,IF(L327&gt;0,0,(-(M327)*(D327/E327))))</f>
        <v>0</v>
      </c>
      <c r="P327" s="913">
        <f t="shared" si="127"/>
        <v>0</v>
      </c>
      <c r="Q327" s="913">
        <f t="shared" ref="Q327:Q337" si="133">IF(L327&gt;0,Q326+P327,Q326+I327+N327-O327)</f>
        <v>0</v>
      </c>
    </row>
    <row r="328" spans="1:17">
      <c r="A328" s="895">
        <f t="shared" si="112"/>
        <v>320</v>
      </c>
      <c r="B328" s="914" t="s">
        <v>905</v>
      </c>
      <c r="C328" s="910">
        <v>31</v>
      </c>
      <c r="D328" s="915">
        <f t="shared" si="125"/>
        <v>276</v>
      </c>
      <c r="E328" s="915">
        <f t="shared" ref="E328:E337" si="134">E327</f>
        <v>365</v>
      </c>
      <c r="F328" s="916">
        <f t="shared" si="128"/>
        <v>0.75616438356164384</v>
      </c>
      <c r="G328" s="909"/>
      <c r="H328" s="917">
        <f t="shared" ref="H328:H337" si="135">$H$326</f>
        <v>0</v>
      </c>
      <c r="I328" s="910">
        <f t="shared" si="129"/>
        <v>0</v>
      </c>
      <c r="J328" s="910">
        <f t="shared" si="126"/>
        <v>-0.13122942676874744</v>
      </c>
      <c r="K328" s="896"/>
      <c r="L328" s="917">
        <f t="shared" ref="L328:L337" si="136">$L$326</f>
        <v>0</v>
      </c>
      <c r="M328" s="913">
        <f t="shared" si="130"/>
        <v>0</v>
      </c>
      <c r="N328" s="913">
        <f t="shared" si="131"/>
        <v>0</v>
      </c>
      <c r="O328" s="913">
        <f t="shared" si="132"/>
        <v>0</v>
      </c>
      <c r="P328" s="913">
        <f t="shared" si="127"/>
        <v>0</v>
      </c>
      <c r="Q328" s="913">
        <f t="shared" si="133"/>
        <v>0</v>
      </c>
    </row>
    <row r="329" spans="1:17">
      <c r="A329" s="895">
        <f t="shared" si="112"/>
        <v>321</v>
      </c>
      <c r="B329" s="914" t="s">
        <v>906</v>
      </c>
      <c r="C329" s="910">
        <v>30</v>
      </c>
      <c r="D329" s="915">
        <f t="shared" si="125"/>
        <v>246</v>
      </c>
      <c r="E329" s="915">
        <f t="shared" si="134"/>
        <v>365</v>
      </c>
      <c r="F329" s="916">
        <f t="shared" si="128"/>
        <v>0.67397260273972603</v>
      </c>
      <c r="G329" s="909"/>
      <c r="H329" s="917">
        <f t="shared" si="135"/>
        <v>0</v>
      </c>
      <c r="I329" s="910">
        <f t="shared" si="129"/>
        <v>0</v>
      </c>
      <c r="J329" s="910">
        <f t="shared" si="126"/>
        <v>-0.13122942676874744</v>
      </c>
      <c r="K329" s="896"/>
      <c r="L329" s="917">
        <f t="shared" si="136"/>
        <v>0</v>
      </c>
      <c r="M329" s="913">
        <f t="shared" si="130"/>
        <v>0</v>
      </c>
      <c r="N329" s="913">
        <f t="shared" si="131"/>
        <v>0</v>
      </c>
      <c r="O329" s="913">
        <f t="shared" si="132"/>
        <v>0</v>
      </c>
      <c r="P329" s="913">
        <f t="shared" si="127"/>
        <v>0</v>
      </c>
      <c r="Q329" s="913">
        <f t="shared" si="133"/>
        <v>0</v>
      </c>
    </row>
    <row r="330" spans="1:17">
      <c r="A330" s="895">
        <f t="shared" si="112"/>
        <v>322</v>
      </c>
      <c r="B330" s="914" t="s">
        <v>907</v>
      </c>
      <c r="C330" s="910">
        <v>31</v>
      </c>
      <c r="D330" s="915">
        <f t="shared" si="125"/>
        <v>215</v>
      </c>
      <c r="E330" s="915">
        <f t="shared" si="134"/>
        <v>365</v>
      </c>
      <c r="F330" s="916">
        <f t="shared" si="128"/>
        <v>0.58904109589041098</v>
      </c>
      <c r="G330" s="909"/>
      <c r="H330" s="917">
        <f t="shared" si="135"/>
        <v>0</v>
      </c>
      <c r="I330" s="910">
        <f t="shared" si="129"/>
        <v>0</v>
      </c>
      <c r="J330" s="910">
        <f t="shared" si="126"/>
        <v>-0.13122942676874744</v>
      </c>
      <c r="K330" s="896"/>
      <c r="L330" s="917">
        <f t="shared" si="136"/>
        <v>0</v>
      </c>
      <c r="M330" s="913">
        <f t="shared" si="130"/>
        <v>0</v>
      </c>
      <c r="N330" s="913">
        <f t="shared" si="131"/>
        <v>0</v>
      </c>
      <c r="O330" s="913">
        <f t="shared" si="132"/>
        <v>0</v>
      </c>
      <c r="P330" s="913">
        <f t="shared" si="127"/>
        <v>0</v>
      </c>
      <c r="Q330" s="913">
        <f t="shared" si="133"/>
        <v>0</v>
      </c>
    </row>
    <row r="331" spans="1:17">
      <c r="A331" s="895">
        <f t="shared" ref="A331:A456" si="137">+A330+1</f>
        <v>323</v>
      </c>
      <c r="B331" s="914" t="s">
        <v>908</v>
      </c>
      <c r="C331" s="910">
        <v>30</v>
      </c>
      <c r="D331" s="915">
        <f t="shared" si="125"/>
        <v>185</v>
      </c>
      <c r="E331" s="915">
        <f t="shared" si="134"/>
        <v>365</v>
      </c>
      <c r="F331" s="916">
        <f t="shared" si="128"/>
        <v>0.50684931506849318</v>
      </c>
      <c r="G331" s="909"/>
      <c r="H331" s="917">
        <f t="shared" si="135"/>
        <v>0</v>
      </c>
      <c r="I331" s="910">
        <f t="shared" si="129"/>
        <v>0</v>
      </c>
      <c r="J331" s="910">
        <f t="shared" si="126"/>
        <v>-0.13122942676874744</v>
      </c>
      <c r="K331" s="896"/>
      <c r="L331" s="917">
        <f t="shared" si="136"/>
        <v>0</v>
      </c>
      <c r="M331" s="913">
        <f t="shared" si="130"/>
        <v>0</v>
      </c>
      <c r="N331" s="913">
        <f t="shared" si="131"/>
        <v>0</v>
      </c>
      <c r="O331" s="913">
        <f t="shared" si="132"/>
        <v>0</v>
      </c>
      <c r="P331" s="913">
        <f t="shared" si="127"/>
        <v>0</v>
      </c>
      <c r="Q331" s="913">
        <f t="shared" si="133"/>
        <v>0</v>
      </c>
    </row>
    <row r="332" spans="1:17">
      <c r="A332" s="895">
        <f t="shared" si="137"/>
        <v>324</v>
      </c>
      <c r="B332" s="914" t="s">
        <v>909</v>
      </c>
      <c r="C332" s="910">
        <v>31</v>
      </c>
      <c r="D332" s="915">
        <f t="shared" si="125"/>
        <v>154</v>
      </c>
      <c r="E332" s="915">
        <f t="shared" si="134"/>
        <v>365</v>
      </c>
      <c r="F332" s="916">
        <f t="shared" si="128"/>
        <v>0.42191780821917807</v>
      </c>
      <c r="G332" s="909"/>
      <c r="H332" s="917">
        <f t="shared" si="135"/>
        <v>0</v>
      </c>
      <c r="I332" s="910">
        <f t="shared" si="129"/>
        <v>0</v>
      </c>
      <c r="J332" s="910">
        <f t="shared" si="126"/>
        <v>-0.13122942676874744</v>
      </c>
      <c r="K332" s="896"/>
      <c r="L332" s="917">
        <f t="shared" si="136"/>
        <v>0</v>
      </c>
      <c r="M332" s="913">
        <f t="shared" si="130"/>
        <v>0</v>
      </c>
      <c r="N332" s="913">
        <f t="shared" si="131"/>
        <v>0</v>
      </c>
      <c r="O332" s="913">
        <f t="shared" si="132"/>
        <v>0</v>
      </c>
      <c r="P332" s="913">
        <f t="shared" si="127"/>
        <v>0</v>
      </c>
      <c r="Q332" s="913">
        <f t="shared" si="133"/>
        <v>0</v>
      </c>
    </row>
    <row r="333" spans="1:17">
      <c r="A333" s="895">
        <f t="shared" si="137"/>
        <v>325</v>
      </c>
      <c r="B333" s="914" t="s">
        <v>910</v>
      </c>
      <c r="C333" s="910">
        <v>31</v>
      </c>
      <c r="D333" s="915">
        <f t="shared" si="125"/>
        <v>123</v>
      </c>
      <c r="E333" s="915">
        <f t="shared" si="134"/>
        <v>365</v>
      </c>
      <c r="F333" s="916">
        <f t="shared" si="128"/>
        <v>0.33698630136986302</v>
      </c>
      <c r="G333" s="909"/>
      <c r="H333" s="917">
        <f t="shared" si="135"/>
        <v>0</v>
      </c>
      <c r="I333" s="910">
        <f t="shared" si="129"/>
        <v>0</v>
      </c>
      <c r="J333" s="910">
        <f t="shared" si="126"/>
        <v>-0.13122942676874744</v>
      </c>
      <c r="K333" s="896"/>
      <c r="L333" s="917">
        <f t="shared" si="136"/>
        <v>0</v>
      </c>
      <c r="M333" s="913">
        <f t="shared" si="130"/>
        <v>0</v>
      </c>
      <c r="N333" s="913">
        <f t="shared" si="131"/>
        <v>0</v>
      </c>
      <c r="O333" s="913">
        <f t="shared" si="132"/>
        <v>0</v>
      </c>
      <c r="P333" s="913">
        <f t="shared" si="127"/>
        <v>0</v>
      </c>
      <c r="Q333" s="913">
        <f t="shared" si="133"/>
        <v>0</v>
      </c>
    </row>
    <row r="334" spans="1:17">
      <c r="A334" s="895">
        <f t="shared" si="137"/>
        <v>326</v>
      </c>
      <c r="B334" s="914" t="s">
        <v>911</v>
      </c>
      <c r="C334" s="910">
        <v>30</v>
      </c>
      <c r="D334" s="915">
        <f t="shared" si="125"/>
        <v>93</v>
      </c>
      <c r="E334" s="915">
        <f t="shared" si="134"/>
        <v>365</v>
      </c>
      <c r="F334" s="916">
        <f t="shared" si="128"/>
        <v>0.25479452054794521</v>
      </c>
      <c r="G334" s="909"/>
      <c r="H334" s="917">
        <f t="shared" si="135"/>
        <v>0</v>
      </c>
      <c r="I334" s="910">
        <f t="shared" si="129"/>
        <v>0</v>
      </c>
      <c r="J334" s="910">
        <f t="shared" si="126"/>
        <v>-0.13122942676874744</v>
      </c>
      <c r="K334" s="896"/>
      <c r="L334" s="917">
        <f t="shared" si="136"/>
        <v>0</v>
      </c>
      <c r="M334" s="913">
        <f t="shared" si="130"/>
        <v>0</v>
      </c>
      <c r="N334" s="913">
        <f t="shared" si="131"/>
        <v>0</v>
      </c>
      <c r="O334" s="913">
        <f t="shared" si="132"/>
        <v>0</v>
      </c>
      <c r="P334" s="913">
        <f t="shared" si="127"/>
        <v>0</v>
      </c>
      <c r="Q334" s="913">
        <f t="shared" si="133"/>
        <v>0</v>
      </c>
    </row>
    <row r="335" spans="1:17">
      <c r="A335" s="895">
        <f t="shared" si="137"/>
        <v>327</v>
      </c>
      <c r="B335" s="914" t="s">
        <v>912</v>
      </c>
      <c r="C335" s="910">
        <v>31</v>
      </c>
      <c r="D335" s="915">
        <f>D336+C336</f>
        <v>62</v>
      </c>
      <c r="E335" s="915">
        <f t="shared" si="134"/>
        <v>365</v>
      </c>
      <c r="F335" s="916">
        <f t="shared" si="128"/>
        <v>0.16986301369863013</v>
      </c>
      <c r="G335" s="909"/>
      <c r="H335" s="917">
        <f t="shared" si="135"/>
        <v>0</v>
      </c>
      <c r="I335" s="910">
        <f t="shared" si="129"/>
        <v>0</v>
      </c>
      <c r="J335" s="910">
        <f t="shared" si="126"/>
        <v>-0.13122942676874744</v>
      </c>
      <c r="K335" s="896"/>
      <c r="L335" s="917">
        <f t="shared" si="136"/>
        <v>0</v>
      </c>
      <c r="M335" s="913">
        <f t="shared" si="130"/>
        <v>0</v>
      </c>
      <c r="N335" s="913">
        <f t="shared" si="131"/>
        <v>0</v>
      </c>
      <c r="O335" s="913">
        <f t="shared" si="132"/>
        <v>0</v>
      </c>
      <c r="P335" s="913">
        <f t="shared" si="127"/>
        <v>0</v>
      </c>
      <c r="Q335" s="913">
        <f t="shared" si="133"/>
        <v>0</v>
      </c>
    </row>
    <row r="336" spans="1:17">
      <c r="A336" s="895">
        <f t="shared" si="137"/>
        <v>328</v>
      </c>
      <c r="B336" s="914" t="s">
        <v>913</v>
      </c>
      <c r="C336" s="910">
        <v>30</v>
      </c>
      <c r="D336" s="915">
        <f>D337+C337</f>
        <v>32</v>
      </c>
      <c r="E336" s="915">
        <f t="shared" si="134"/>
        <v>365</v>
      </c>
      <c r="F336" s="916">
        <f t="shared" si="128"/>
        <v>8.7671232876712329E-2</v>
      </c>
      <c r="G336" s="909"/>
      <c r="H336" s="917">
        <f t="shared" si="135"/>
        <v>0</v>
      </c>
      <c r="I336" s="910">
        <f t="shared" si="129"/>
        <v>0</v>
      </c>
      <c r="J336" s="910">
        <f t="shared" si="126"/>
        <v>-0.13122942676874744</v>
      </c>
      <c r="K336" s="896"/>
      <c r="L336" s="917">
        <f t="shared" si="136"/>
        <v>0</v>
      </c>
      <c r="M336" s="913">
        <f t="shared" si="130"/>
        <v>0</v>
      </c>
      <c r="N336" s="913">
        <f t="shared" si="131"/>
        <v>0</v>
      </c>
      <c r="O336" s="913">
        <f t="shared" si="132"/>
        <v>0</v>
      </c>
      <c r="P336" s="913">
        <f t="shared" si="127"/>
        <v>0</v>
      </c>
      <c r="Q336" s="913">
        <f t="shared" si="133"/>
        <v>0</v>
      </c>
    </row>
    <row r="337" spans="1:18">
      <c r="A337" s="895">
        <f t="shared" si="137"/>
        <v>329</v>
      </c>
      <c r="B337" s="914" t="s">
        <v>914</v>
      </c>
      <c r="C337" s="910">
        <v>31</v>
      </c>
      <c r="D337" s="915">
        <v>1</v>
      </c>
      <c r="E337" s="915">
        <f t="shared" si="134"/>
        <v>365</v>
      </c>
      <c r="F337" s="916">
        <f t="shared" si="128"/>
        <v>2.7397260273972603E-3</v>
      </c>
      <c r="G337" s="909"/>
      <c r="H337" s="917">
        <f t="shared" si="135"/>
        <v>0</v>
      </c>
      <c r="I337" s="910">
        <f t="shared" si="129"/>
        <v>0</v>
      </c>
      <c r="J337" s="910">
        <f t="shared" si="126"/>
        <v>-0.13122942676874744</v>
      </c>
      <c r="K337" s="896"/>
      <c r="L337" s="917">
        <f t="shared" si="136"/>
        <v>0</v>
      </c>
      <c r="M337" s="913">
        <f t="shared" si="130"/>
        <v>0</v>
      </c>
      <c r="N337" s="913">
        <f t="shared" si="131"/>
        <v>0</v>
      </c>
      <c r="O337" s="913">
        <f t="shared" si="132"/>
        <v>0</v>
      </c>
      <c r="P337" s="913">
        <f t="shared" si="127"/>
        <v>0</v>
      </c>
      <c r="Q337" s="913">
        <f t="shared" si="133"/>
        <v>0</v>
      </c>
    </row>
    <row r="338" spans="1:18">
      <c r="A338" s="895">
        <f t="shared" si="137"/>
        <v>330</v>
      </c>
      <c r="B338" s="918"/>
      <c r="C338" s="918" t="s">
        <v>795</v>
      </c>
      <c r="D338" s="919">
        <f>+SUM(D326:D337)</f>
        <v>2029</v>
      </c>
      <c r="E338" s="919">
        <f>+SUM(E326:E337)</f>
        <v>4380</v>
      </c>
      <c r="F338" s="920"/>
      <c r="G338" s="909"/>
      <c r="H338" s="921">
        <f>SUM(H326:H337)</f>
        <v>0</v>
      </c>
      <c r="I338" s="921">
        <f>SUM(I326:I337)</f>
        <v>0</v>
      </c>
      <c r="J338" s="920"/>
      <c r="K338" s="896"/>
      <c r="L338" s="922">
        <f>SUM(L326:L337)</f>
        <v>0</v>
      </c>
      <c r="M338" s="922">
        <f>SUM(M326:M337)</f>
        <v>0</v>
      </c>
      <c r="N338" s="922">
        <f>SUM(N326:N337)</f>
        <v>0</v>
      </c>
      <c r="O338" s="922">
        <f>SUM(O326:O337)</f>
        <v>0</v>
      </c>
      <c r="P338" s="922">
        <f>SUM(P326:P337)</f>
        <v>0</v>
      </c>
      <c r="Q338" s="922"/>
    </row>
    <row r="339" spans="1:18">
      <c r="A339" s="895">
        <f t="shared" si="137"/>
        <v>331</v>
      </c>
      <c r="B339" s="924"/>
      <c r="C339" s="924"/>
      <c r="D339" s="925"/>
      <c r="E339" s="925"/>
      <c r="F339" s="926"/>
      <c r="G339" s="909"/>
      <c r="H339" s="910"/>
      <c r="I339" s="910"/>
      <c r="J339" s="926"/>
      <c r="K339" s="896"/>
      <c r="L339" s="928"/>
      <c r="M339" s="928"/>
      <c r="N339" s="928"/>
      <c r="O339" s="928"/>
      <c r="P339" s="928"/>
      <c r="Q339" s="928"/>
    </row>
    <row r="340" spans="1:18">
      <c r="A340" s="895">
        <f t="shared" si="137"/>
        <v>332</v>
      </c>
      <c r="B340" s="896" t="s">
        <v>1677</v>
      </c>
      <c r="C340" s="924"/>
      <c r="D340" s="925"/>
      <c r="E340" s="929">
        <f>1-(D338/E338)</f>
        <v>0.53675799086757991</v>
      </c>
      <c r="F340" s="926"/>
      <c r="G340" s="909"/>
      <c r="H340" s="910"/>
      <c r="I340" s="910"/>
      <c r="J340" s="926"/>
      <c r="K340" s="896"/>
      <c r="L340" s="928"/>
      <c r="M340" s="928"/>
      <c r="N340" s="928"/>
      <c r="O340" s="928"/>
      <c r="P340" s="928"/>
      <c r="Q340" s="928"/>
    </row>
    <row r="341" spans="1:18" s="901" customFormat="1">
      <c r="A341" s="895">
        <f t="shared" si="137"/>
        <v>333</v>
      </c>
      <c r="B341" s="947"/>
      <c r="C341" s="947"/>
      <c r="D341" s="947"/>
      <c r="E341" s="947"/>
      <c r="F341" s="948"/>
      <c r="G341" s="948"/>
      <c r="H341" s="900"/>
      <c r="I341" s="949"/>
      <c r="J341" s="948"/>
      <c r="K341" s="908"/>
      <c r="L341" s="908"/>
      <c r="M341" s="908"/>
      <c r="N341" s="908"/>
      <c r="O341" s="908"/>
      <c r="P341" s="908"/>
      <c r="Q341" s="908"/>
    </row>
    <row r="342" spans="1:18" s="901" customFormat="1">
      <c r="A342" s="895">
        <f t="shared" si="137"/>
        <v>334</v>
      </c>
      <c r="B342" s="950"/>
      <c r="C342" s="947"/>
      <c r="D342" s="908"/>
      <c r="E342" s="947"/>
      <c r="F342" s="908"/>
      <c r="G342" s="948"/>
      <c r="H342" s="900"/>
      <c r="I342" s="949"/>
      <c r="J342" s="951"/>
      <c r="K342" s="908"/>
      <c r="L342" s="908"/>
      <c r="M342" s="908"/>
      <c r="N342" s="908"/>
      <c r="O342" s="908"/>
      <c r="P342" s="908"/>
      <c r="Q342" s="951"/>
    </row>
    <row r="343" spans="1:18" s="109" customFormat="1">
      <c r="A343" s="895">
        <f t="shared" si="137"/>
        <v>335</v>
      </c>
      <c r="B343" s="934" t="s">
        <v>1678</v>
      </c>
      <c r="C343" s="934"/>
      <c r="D343" s="934"/>
      <c r="E343" s="934"/>
      <c r="F343" s="934" t="str">
        <f>"(Line "&amp;A325&amp;", Col H)"</f>
        <v>(Line 317, Col H)</v>
      </c>
      <c r="G343" s="952"/>
      <c r="H343" s="934"/>
      <c r="I343" s="952"/>
      <c r="J343" s="913">
        <f>J325</f>
        <v>-0.13122942676874744</v>
      </c>
      <c r="K343" s="934"/>
      <c r="L343" s="934"/>
      <c r="M343" s="934"/>
      <c r="N343" s="934" t="str">
        <f>"(Line "&amp;A325&amp;", Col N)"</f>
        <v>(Line 317, Col N)</v>
      </c>
      <c r="O343" s="934"/>
      <c r="P343" s="934"/>
      <c r="Q343" s="913">
        <f>Q325</f>
        <v>0</v>
      </c>
    </row>
    <row r="344" spans="1:18" s="109" customFormat="1">
      <c r="A344" s="895">
        <f t="shared" si="137"/>
        <v>336</v>
      </c>
      <c r="B344" s="934" t="s">
        <v>1679</v>
      </c>
      <c r="C344" s="934"/>
      <c r="D344" s="934"/>
      <c r="E344" s="934"/>
      <c r="F344" s="934" t="str">
        <f>"(Line "&amp;A337&amp;", Col H)"</f>
        <v>(Line 329, Col H)</v>
      </c>
      <c r="G344" s="952"/>
      <c r="H344" s="934"/>
      <c r="I344" s="952"/>
      <c r="J344" s="913">
        <f>J337</f>
        <v>-0.13122942676874744</v>
      </c>
      <c r="K344" s="934"/>
      <c r="L344" s="953"/>
      <c r="M344" s="934"/>
      <c r="N344" s="934" t="str">
        <f>"(Line "&amp;A337&amp;", Col N)"</f>
        <v>(Line 329, Col N)</v>
      </c>
      <c r="O344" s="934"/>
      <c r="P344" s="934"/>
      <c r="Q344" s="913">
        <f>Q337</f>
        <v>0</v>
      </c>
    </row>
    <row r="345" spans="1:18" s="109" customFormat="1">
      <c r="A345" s="895">
        <f t="shared" si="137"/>
        <v>337</v>
      </c>
      <c r="B345" s="934" t="s">
        <v>1680</v>
      </c>
      <c r="C345" s="934"/>
      <c r="D345" s="934"/>
      <c r="E345" s="934"/>
      <c r="F345" s="934" t="str">
        <f>"(Average of Line "&amp;A343&amp;" &amp; Line "&amp;A344&amp;")"</f>
        <v>(Average of Line 335 &amp; Line 336)</v>
      </c>
      <c r="G345" s="952"/>
      <c r="H345" s="934"/>
      <c r="I345" s="954"/>
      <c r="J345" s="938">
        <f>(J343+J344)/2</f>
        <v>-0.13122942676874744</v>
      </c>
      <c r="K345" s="934"/>
      <c r="L345" s="955"/>
      <c r="M345" s="934"/>
      <c r="N345" s="934" t="str">
        <f>"(Average of Line "&amp;A343&amp;" &amp; Line "&amp;A344&amp;")"</f>
        <v>(Average of Line 335 &amp; Line 336)</v>
      </c>
      <c r="O345" s="934"/>
      <c r="P345" s="934"/>
      <c r="Q345" s="938">
        <f>(Q343+Q344)/2</f>
        <v>0</v>
      </c>
    </row>
    <row r="346" spans="1:18" s="109" customFormat="1" ht="13.5" customHeight="1">
      <c r="A346" s="895">
        <f t="shared" si="137"/>
        <v>338</v>
      </c>
      <c r="B346" s="934" t="s">
        <v>1681</v>
      </c>
      <c r="C346" s="934"/>
      <c r="D346" s="934"/>
      <c r="E346" s="934"/>
      <c r="F346" s="934" t="s">
        <v>1830</v>
      </c>
      <c r="G346" s="934"/>
      <c r="H346" s="934"/>
      <c r="I346" s="934"/>
      <c r="J346" s="956">
        <f>AVERAGE(J325, (SUM(H326:H337)+J325))</f>
        <v>-0.13122942676874744</v>
      </c>
      <c r="K346" s="934"/>
      <c r="L346" s="934"/>
      <c r="M346" s="934"/>
      <c r="N346" s="934" t="s">
        <v>1830</v>
      </c>
      <c r="O346" s="934"/>
      <c r="P346" s="934"/>
      <c r="Q346" s="956">
        <f>AVERAGE(Q325, (SUM(L326:L337)+Q325))</f>
        <v>0</v>
      </c>
    </row>
    <row r="347" spans="1:18" s="109" customFormat="1" ht="13.5" customHeight="1">
      <c r="A347" s="895">
        <f t="shared" si="137"/>
        <v>339</v>
      </c>
      <c r="B347" s="934" t="s">
        <v>1682</v>
      </c>
      <c r="C347" s="934"/>
      <c r="D347" s="934"/>
      <c r="E347" s="934"/>
      <c r="F347" s="934"/>
      <c r="G347" s="934"/>
      <c r="H347" s="934"/>
      <c r="I347" s="934"/>
      <c r="J347" s="953">
        <f>J345-J346</f>
        <v>0</v>
      </c>
      <c r="K347" s="934"/>
      <c r="L347" s="934"/>
      <c r="M347" s="934"/>
      <c r="N347" s="934"/>
      <c r="O347" s="934"/>
      <c r="P347" s="934"/>
      <c r="Q347" s="953">
        <f>Q345-Q346</f>
        <v>0</v>
      </c>
    </row>
    <row r="348" spans="1:18" s="901" customFormat="1">
      <c r="A348" s="895">
        <f t="shared" si="137"/>
        <v>340</v>
      </c>
      <c r="B348" s="957"/>
      <c r="C348" s="957"/>
      <c r="D348" s="957"/>
      <c r="E348" s="957"/>
      <c r="F348" s="957"/>
      <c r="G348" s="957"/>
      <c r="H348" s="957"/>
      <c r="I348" s="957"/>
      <c r="J348" s="957"/>
      <c r="K348" s="908"/>
      <c r="L348" s="908"/>
      <c r="M348" s="908"/>
      <c r="N348" s="908"/>
      <c r="O348" s="908"/>
      <c r="P348" s="908"/>
      <c r="Q348" s="957"/>
    </row>
    <row r="349" spans="1:18" s="901" customFormat="1">
      <c r="A349" s="895">
        <f t="shared" si="137"/>
        <v>341</v>
      </c>
      <c r="B349" s="908"/>
      <c r="C349" s="908"/>
      <c r="D349" s="908"/>
      <c r="E349" s="908"/>
      <c r="F349" s="908"/>
      <c r="G349" s="908"/>
      <c r="H349" s="908"/>
      <c r="I349" s="908"/>
      <c r="J349" s="908"/>
      <c r="K349" s="908"/>
      <c r="L349" s="908"/>
      <c r="M349" s="908"/>
      <c r="N349" s="908"/>
      <c r="O349" s="908"/>
      <c r="P349" s="908"/>
      <c r="Q349" s="908"/>
    </row>
    <row r="350" spans="1:18">
      <c r="A350" s="895">
        <f t="shared" si="137"/>
        <v>342</v>
      </c>
      <c r="B350" s="1252" t="s">
        <v>1686</v>
      </c>
      <c r="C350" s="1252"/>
      <c r="D350" s="1252"/>
      <c r="E350" s="1252"/>
      <c r="F350" s="896"/>
      <c r="G350" s="896"/>
      <c r="H350" s="942"/>
      <c r="I350" s="942"/>
      <c r="J350" s="942"/>
      <c r="K350" s="896"/>
      <c r="L350" s="943"/>
      <c r="M350" s="944"/>
      <c r="N350" s="944"/>
      <c r="O350" s="944"/>
      <c r="P350" s="944"/>
      <c r="Q350" s="944"/>
      <c r="R350" s="901"/>
    </row>
    <row r="351" spans="1:18">
      <c r="A351" s="895">
        <f t="shared" si="137"/>
        <v>343</v>
      </c>
      <c r="B351" s="1253" t="s">
        <v>1794</v>
      </c>
      <c r="C351" s="1253"/>
      <c r="D351" s="1253"/>
      <c r="E351" s="1253"/>
      <c r="F351" s="896"/>
      <c r="G351" s="896"/>
      <c r="H351" s="942"/>
      <c r="I351" s="942"/>
      <c r="J351" s="942"/>
      <c r="K351" s="896"/>
      <c r="L351" s="943"/>
      <c r="M351" s="944"/>
      <c r="N351" s="944"/>
      <c r="O351" s="944"/>
      <c r="P351" s="944"/>
      <c r="Q351" s="944"/>
      <c r="R351" s="901"/>
    </row>
    <row r="352" spans="1:18">
      <c r="A352" s="895">
        <f t="shared" si="137"/>
        <v>344</v>
      </c>
      <c r="B352" s="1254" t="s">
        <v>1661</v>
      </c>
      <c r="C352" s="1255"/>
      <c r="D352" s="1255"/>
      <c r="E352" s="1255"/>
      <c r="F352" s="1256"/>
      <c r="G352" s="902"/>
      <c r="H352" s="1257" t="s">
        <v>1662</v>
      </c>
      <c r="I352" s="1258"/>
      <c r="J352" s="1259"/>
      <c r="K352" s="896"/>
      <c r="L352" s="1257" t="s">
        <v>1663</v>
      </c>
      <c r="M352" s="1258"/>
      <c r="N352" s="1258"/>
      <c r="O352" s="1258"/>
      <c r="P352" s="1258"/>
      <c r="Q352" s="1258"/>
    </row>
    <row r="353" spans="1:17">
      <c r="A353" s="895">
        <f t="shared" si="137"/>
        <v>345</v>
      </c>
      <c r="B353" s="903" t="s">
        <v>830</v>
      </c>
      <c r="C353" s="903" t="s">
        <v>831</v>
      </c>
      <c r="D353" s="903" t="s">
        <v>832</v>
      </c>
      <c r="E353" s="903" t="s">
        <v>833</v>
      </c>
      <c r="F353" s="903" t="s">
        <v>834</v>
      </c>
      <c r="G353" s="902"/>
      <c r="H353" s="903" t="s">
        <v>835</v>
      </c>
      <c r="I353" s="903" t="s">
        <v>836</v>
      </c>
      <c r="J353" s="903" t="s">
        <v>837</v>
      </c>
      <c r="K353" s="896"/>
      <c r="L353" s="903" t="s">
        <v>838</v>
      </c>
      <c r="M353" s="903" t="s">
        <v>839</v>
      </c>
      <c r="N353" s="903" t="s">
        <v>840</v>
      </c>
      <c r="O353" s="903" t="s">
        <v>841</v>
      </c>
      <c r="P353" s="903" t="s">
        <v>843</v>
      </c>
      <c r="Q353" s="903" t="s">
        <v>842</v>
      </c>
    </row>
    <row r="354" spans="1:17" ht="45">
      <c r="A354" s="895">
        <f t="shared" si="137"/>
        <v>346</v>
      </c>
      <c r="B354" s="905" t="s">
        <v>1352</v>
      </c>
      <c r="C354" s="905" t="s">
        <v>1587</v>
      </c>
      <c r="D354" s="905" t="s">
        <v>1664</v>
      </c>
      <c r="E354" s="905" t="s">
        <v>1665</v>
      </c>
      <c r="F354" s="905" t="s">
        <v>1666</v>
      </c>
      <c r="G354" s="906"/>
      <c r="H354" s="905" t="s">
        <v>1667</v>
      </c>
      <c r="I354" s="905" t="s">
        <v>1668</v>
      </c>
      <c r="J354" s="905" t="s">
        <v>1669</v>
      </c>
      <c r="K354" s="896"/>
      <c r="L354" s="905" t="s">
        <v>1670</v>
      </c>
      <c r="M354" s="905" t="s">
        <v>1671</v>
      </c>
      <c r="N354" s="905" t="s">
        <v>1672</v>
      </c>
      <c r="O354" s="905" t="s">
        <v>1673</v>
      </c>
      <c r="P354" s="905" t="s">
        <v>1674</v>
      </c>
      <c r="Q354" s="905" t="s">
        <v>1675</v>
      </c>
    </row>
    <row r="355" spans="1:17">
      <c r="A355" s="895">
        <f t="shared" si="137"/>
        <v>347</v>
      </c>
      <c r="B355" s="896"/>
      <c r="C355" s="906"/>
      <c r="D355" s="906"/>
      <c r="E355" s="906"/>
      <c r="F355" s="906"/>
      <c r="G355" s="906"/>
      <c r="H355" s="906"/>
      <c r="I355" s="906"/>
      <c r="J355" s="906"/>
      <c r="K355" s="896"/>
      <c r="L355" s="896"/>
      <c r="M355" s="896"/>
      <c r="N355" s="896"/>
      <c r="O355" s="896"/>
      <c r="P355" s="896"/>
      <c r="Q355" s="896"/>
    </row>
    <row r="356" spans="1:17">
      <c r="A356" s="895">
        <f t="shared" si="137"/>
        <v>348</v>
      </c>
      <c r="B356" s="1260" t="s">
        <v>1676</v>
      </c>
      <c r="C356" s="1260"/>
      <c r="D356" s="1260"/>
      <c r="E356" s="1260"/>
      <c r="F356" s="909"/>
      <c r="G356" s="909"/>
      <c r="H356" s="910"/>
      <c r="I356" s="910"/>
      <c r="J356" s="911">
        <f>'WP_B-Inputs Est.'!E107</f>
        <v>138338.40174373065</v>
      </c>
      <c r="K356" s="912"/>
      <c r="L356" s="910"/>
      <c r="M356" s="913"/>
      <c r="N356" s="913"/>
      <c r="O356" s="913"/>
      <c r="P356" s="913"/>
      <c r="Q356" s="911"/>
    </row>
    <row r="357" spans="1:17">
      <c r="A357" s="895">
        <f t="shared" si="137"/>
        <v>349</v>
      </c>
      <c r="B357" s="914" t="s">
        <v>956</v>
      </c>
      <c r="C357" s="910">
        <v>31</v>
      </c>
      <c r="D357" s="915">
        <f t="shared" ref="D357:D365" si="138">D358+C358</f>
        <v>335</v>
      </c>
      <c r="E357" s="915">
        <f>SUM(C357:C368)</f>
        <v>365</v>
      </c>
      <c r="F357" s="916">
        <f>D357/E357</f>
        <v>0.9178082191780822</v>
      </c>
      <c r="G357" s="909"/>
      <c r="H357" s="917">
        <f>('WP_B-Inputs Est.'!E108-'WP_B-Inputs Est.'!E107)/12</f>
        <v>33208.98761783215</v>
      </c>
      <c r="I357" s="910">
        <f>+H357*F357</f>
        <v>30479.481786229509</v>
      </c>
      <c r="J357" s="910">
        <f t="shared" ref="J357:J368" si="139">+I357+J356</f>
        <v>168817.88352996015</v>
      </c>
      <c r="K357" s="896"/>
      <c r="L357" s="917"/>
      <c r="M357" s="913">
        <f>L357-H357</f>
        <v>-33208.98761783215</v>
      </c>
      <c r="N357" s="913">
        <f>IF(M357&lt;=0,+M357,0)</f>
        <v>-33208.98761783215</v>
      </c>
      <c r="O357" s="913">
        <f>IF(N357&lt;0,0,IF(L357&gt;0,0,(-(M357)*(D357/E357))))</f>
        <v>0</v>
      </c>
      <c r="P357" s="913">
        <f t="shared" ref="P357:P368" si="140">IF(L357&gt;0,L357,0)</f>
        <v>0</v>
      </c>
      <c r="Q357" s="913">
        <f>IF(L357&gt;0,Q356+P357,Q356+I357+N357-O357)</f>
        <v>-2729.5058316026407</v>
      </c>
    </row>
    <row r="358" spans="1:17">
      <c r="A358" s="895">
        <f t="shared" si="137"/>
        <v>350</v>
      </c>
      <c r="B358" s="914" t="s">
        <v>904</v>
      </c>
      <c r="C358" s="917">
        <f>$C$17</f>
        <v>28</v>
      </c>
      <c r="D358" s="915">
        <f t="shared" si="138"/>
        <v>307</v>
      </c>
      <c r="E358" s="915">
        <f>E357</f>
        <v>365</v>
      </c>
      <c r="F358" s="916">
        <f t="shared" ref="F358:F368" si="141">D358/E358</f>
        <v>0.84109589041095889</v>
      </c>
      <c r="G358" s="909"/>
      <c r="H358" s="917">
        <f>$H$357</f>
        <v>33208.98761783215</v>
      </c>
      <c r="I358" s="910">
        <f t="shared" ref="I358:I368" si="142">+H358*F358</f>
        <v>27931.94301006704</v>
      </c>
      <c r="J358" s="910">
        <f t="shared" si="139"/>
        <v>196749.82654002719</v>
      </c>
      <c r="K358" s="896"/>
      <c r="L358" s="917"/>
      <c r="M358" s="913">
        <f t="shared" ref="M358:M368" si="143">L358-H358</f>
        <v>-33208.98761783215</v>
      </c>
      <c r="N358" s="913">
        <f t="shared" ref="N358:N368" si="144">IF(M358&lt;=0,+M358,0)</f>
        <v>-33208.98761783215</v>
      </c>
      <c r="O358" s="913">
        <f t="shared" ref="O358:O368" si="145">IF(N358&lt;0,0,IF(L358&gt;0,0,(-(M358)*(D358/E358))))</f>
        <v>0</v>
      </c>
      <c r="P358" s="913">
        <f t="shared" si="140"/>
        <v>0</v>
      </c>
      <c r="Q358" s="913">
        <f t="shared" ref="Q358:Q368" si="146">IF(L358&gt;0,Q357+P358,Q357+I358+N358-O358)</f>
        <v>-8006.5504393677511</v>
      </c>
    </row>
    <row r="359" spans="1:17">
      <c r="A359" s="895">
        <f t="shared" si="137"/>
        <v>351</v>
      </c>
      <c r="B359" s="914" t="s">
        <v>905</v>
      </c>
      <c r="C359" s="910">
        <v>31</v>
      </c>
      <c r="D359" s="915">
        <f t="shared" si="138"/>
        <v>276</v>
      </c>
      <c r="E359" s="915">
        <f t="shared" ref="E359:E368" si="147">E358</f>
        <v>365</v>
      </c>
      <c r="F359" s="916">
        <f t="shared" si="141"/>
        <v>0.75616438356164384</v>
      </c>
      <c r="G359" s="909"/>
      <c r="H359" s="917">
        <f t="shared" ref="H359:H368" si="148">$H$357</f>
        <v>33208.98761783215</v>
      </c>
      <c r="I359" s="910">
        <f t="shared" si="142"/>
        <v>25111.453650744312</v>
      </c>
      <c r="J359" s="910">
        <f t="shared" si="139"/>
        <v>221861.2801907715</v>
      </c>
      <c r="K359" s="896"/>
      <c r="L359" s="917"/>
      <c r="M359" s="913">
        <f t="shared" si="143"/>
        <v>-33208.98761783215</v>
      </c>
      <c r="N359" s="913">
        <f t="shared" si="144"/>
        <v>-33208.98761783215</v>
      </c>
      <c r="O359" s="913">
        <f t="shared" si="145"/>
        <v>0</v>
      </c>
      <c r="P359" s="913">
        <f t="shared" si="140"/>
        <v>0</v>
      </c>
      <c r="Q359" s="913">
        <f t="shared" si="146"/>
        <v>-16104.084406455589</v>
      </c>
    </row>
    <row r="360" spans="1:17">
      <c r="A360" s="895">
        <f t="shared" si="137"/>
        <v>352</v>
      </c>
      <c r="B360" s="914" t="s">
        <v>906</v>
      </c>
      <c r="C360" s="910">
        <v>30</v>
      </c>
      <c r="D360" s="915">
        <f t="shared" si="138"/>
        <v>246</v>
      </c>
      <c r="E360" s="915">
        <f t="shared" si="147"/>
        <v>365</v>
      </c>
      <c r="F360" s="916">
        <f t="shared" si="141"/>
        <v>0.67397260273972603</v>
      </c>
      <c r="G360" s="909"/>
      <c r="H360" s="917">
        <f t="shared" si="148"/>
        <v>33208.98761783215</v>
      </c>
      <c r="I360" s="910">
        <f t="shared" si="142"/>
        <v>22381.947819141667</v>
      </c>
      <c r="J360" s="910">
        <f t="shared" si="139"/>
        <v>244243.22800991317</v>
      </c>
      <c r="K360" s="896"/>
      <c r="L360" s="917"/>
      <c r="M360" s="913">
        <f t="shared" si="143"/>
        <v>-33208.98761783215</v>
      </c>
      <c r="N360" s="913">
        <f t="shared" si="144"/>
        <v>-33208.98761783215</v>
      </c>
      <c r="O360" s="913">
        <f t="shared" si="145"/>
        <v>0</v>
      </c>
      <c r="P360" s="913">
        <f t="shared" si="140"/>
        <v>0</v>
      </c>
      <c r="Q360" s="913">
        <f t="shared" si="146"/>
        <v>-26931.124205146072</v>
      </c>
    </row>
    <row r="361" spans="1:17">
      <c r="A361" s="895">
        <f t="shared" si="137"/>
        <v>353</v>
      </c>
      <c r="B361" s="914" t="s">
        <v>907</v>
      </c>
      <c r="C361" s="910">
        <v>31</v>
      </c>
      <c r="D361" s="915">
        <f t="shared" si="138"/>
        <v>215</v>
      </c>
      <c r="E361" s="915">
        <f t="shared" si="147"/>
        <v>365</v>
      </c>
      <c r="F361" s="916">
        <f t="shared" si="141"/>
        <v>0.58904109589041098</v>
      </c>
      <c r="G361" s="909"/>
      <c r="H361" s="917">
        <f t="shared" si="148"/>
        <v>33208.98761783215</v>
      </c>
      <c r="I361" s="910">
        <f t="shared" si="142"/>
        <v>19561.458459818939</v>
      </c>
      <c r="J361" s="910">
        <f t="shared" si="139"/>
        <v>263804.68646973209</v>
      </c>
      <c r="K361" s="896"/>
      <c r="L361" s="917"/>
      <c r="M361" s="913">
        <f t="shared" si="143"/>
        <v>-33208.98761783215</v>
      </c>
      <c r="N361" s="913">
        <f t="shared" si="144"/>
        <v>-33208.98761783215</v>
      </c>
      <c r="O361" s="913">
        <f t="shared" si="145"/>
        <v>0</v>
      </c>
      <c r="P361" s="913">
        <f t="shared" si="140"/>
        <v>0</v>
      </c>
      <c r="Q361" s="913">
        <f t="shared" si="146"/>
        <v>-40578.653363159283</v>
      </c>
    </row>
    <row r="362" spans="1:17">
      <c r="A362" s="895">
        <f t="shared" si="137"/>
        <v>354</v>
      </c>
      <c r="B362" s="914" t="s">
        <v>908</v>
      </c>
      <c r="C362" s="910">
        <v>30</v>
      </c>
      <c r="D362" s="915">
        <f t="shared" si="138"/>
        <v>185</v>
      </c>
      <c r="E362" s="915">
        <f t="shared" si="147"/>
        <v>365</v>
      </c>
      <c r="F362" s="916">
        <f t="shared" si="141"/>
        <v>0.50684931506849318</v>
      </c>
      <c r="G362" s="909"/>
      <c r="H362" s="917">
        <f t="shared" si="148"/>
        <v>33208.98761783215</v>
      </c>
      <c r="I362" s="910">
        <f t="shared" si="142"/>
        <v>16831.952628216295</v>
      </c>
      <c r="J362" s="910">
        <f t="shared" si="139"/>
        <v>280636.63909794838</v>
      </c>
      <c r="K362" s="896"/>
      <c r="L362" s="917"/>
      <c r="M362" s="913">
        <f t="shared" si="143"/>
        <v>-33208.98761783215</v>
      </c>
      <c r="N362" s="913">
        <f t="shared" si="144"/>
        <v>-33208.98761783215</v>
      </c>
      <c r="O362" s="913">
        <f t="shared" si="145"/>
        <v>0</v>
      </c>
      <c r="P362" s="913">
        <f t="shared" si="140"/>
        <v>0</v>
      </c>
      <c r="Q362" s="913">
        <f t="shared" si="146"/>
        <v>-56955.688352775134</v>
      </c>
    </row>
    <row r="363" spans="1:17">
      <c r="A363" s="895">
        <f t="shared" si="137"/>
        <v>355</v>
      </c>
      <c r="B363" s="914" t="s">
        <v>909</v>
      </c>
      <c r="C363" s="910">
        <v>31</v>
      </c>
      <c r="D363" s="915">
        <f t="shared" si="138"/>
        <v>154</v>
      </c>
      <c r="E363" s="915">
        <f t="shared" si="147"/>
        <v>365</v>
      </c>
      <c r="F363" s="916">
        <f t="shared" si="141"/>
        <v>0.42191780821917807</v>
      </c>
      <c r="G363" s="909"/>
      <c r="H363" s="917">
        <f t="shared" si="148"/>
        <v>33208.98761783215</v>
      </c>
      <c r="I363" s="910">
        <f t="shared" si="142"/>
        <v>14011.463268893564</v>
      </c>
      <c r="J363" s="910">
        <f t="shared" si="139"/>
        <v>294648.10236684192</v>
      </c>
      <c r="K363" s="896"/>
      <c r="L363" s="917"/>
      <c r="M363" s="913">
        <f t="shared" si="143"/>
        <v>-33208.98761783215</v>
      </c>
      <c r="N363" s="913">
        <f t="shared" si="144"/>
        <v>-33208.98761783215</v>
      </c>
      <c r="O363" s="913">
        <f t="shared" si="145"/>
        <v>0</v>
      </c>
      <c r="P363" s="913">
        <f t="shared" si="140"/>
        <v>0</v>
      </c>
      <c r="Q363" s="913">
        <f t="shared" si="146"/>
        <v>-76153.212701713725</v>
      </c>
    </row>
    <row r="364" spans="1:17">
      <c r="A364" s="895">
        <f t="shared" si="137"/>
        <v>356</v>
      </c>
      <c r="B364" s="914" t="s">
        <v>910</v>
      </c>
      <c r="C364" s="910">
        <v>31</v>
      </c>
      <c r="D364" s="915">
        <f t="shared" si="138"/>
        <v>123</v>
      </c>
      <c r="E364" s="915">
        <f t="shared" si="147"/>
        <v>365</v>
      </c>
      <c r="F364" s="916">
        <f t="shared" si="141"/>
        <v>0.33698630136986302</v>
      </c>
      <c r="G364" s="909"/>
      <c r="H364" s="917">
        <f t="shared" si="148"/>
        <v>33208.98761783215</v>
      </c>
      <c r="I364" s="910">
        <f t="shared" si="142"/>
        <v>11190.973909570834</v>
      </c>
      <c r="J364" s="910">
        <f t="shared" si="139"/>
        <v>305839.07627641276</v>
      </c>
      <c r="K364" s="896"/>
      <c r="L364" s="917"/>
      <c r="M364" s="913">
        <f t="shared" si="143"/>
        <v>-33208.98761783215</v>
      </c>
      <c r="N364" s="913">
        <f t="shared" si="144"/>
        <v>-33208.98761783215</v>
      </c>
      <c r="O364" s="913">
        <f t="shared" si="145"/>
        <v>0</v>
      </c>
      <c r="P364" s="913">
        <f t="shared" si="140"/>
        <v>0</v>
      </c>
      <c r="Q364" s="913">
        <f t="shared" si="146"/>
        <v>-98171.226409975032</v>
      </c>
    </row>
    <row r="365" spans="1:17">
      <c r="A365" s="895">
        <f t="shared" si="137"/>
        <v>357</v>
      </c>
      <c r="B365" s="914" t="s">
        <v>911</v>
      </c>
      <c r="C365" s="910">
        <v>30</v>
      </c>
      <c r="D365" s="915">
        <f t="shared" si="138"/>
        <v>93</v>
      </c>
      <c r="E365" s="915">
        <f t="shared" si="147"/>
        <v>365</v>
      </c>
      <c r="F365" s="916">
        <f t="shared" si="141"/>
        <v>0.25479452054794521</v>
      </c>
      <c r="G365" s="909"/>
      <c r="H365" s="917">
        <f t="shared" si="148"/>
        <v>33208.98761783215</v>
      </c>
      <c r="I365" s="910">
        <f t="shared" si="142"/>
        <v>8461.4680779681912</v>
      </c>
      <c r="J365" s="910">
        <f t="shared" si="139"/>
        <v>314300.54435438092</v>
      </c>
      <c r="K365" s="896"/>
      <c r="L365" s="917"/>
      <c r="M365" s="913">
        <f t="shared" si="143"/>
        <v>-33208.98761783215</v>
      </c>
      <c r="N365" s="913">
        <f t="shared" si="144"/>
        <v>-33208.98761783215</v>
      </c>
      <c r="O365" s="913">
        <f t="shared" si="145"/>
        <v>0</v>
      </c>
      <c r="P365" s="913">
        <f t="shared" si="140"/>
        <v>0</v>
      </c>
      <c r="Q365" s="913">
        <f t="shared" si="146"/>
        <v>-122918.74594983898</v>
      </c>
    </row>
    <row r="366" spans="1:17">
      <c r="A366" s="895">
        <f t="shared" si="137"/>
        <v>358</v>
      </c>
      <c r="B366" s="914" t="s">
        <v>912</v>
      </c>
      <c r="C366" s="910">
        <v>31</v>
      </c>
      <c r="D366" s="915">
        <f>D367+C367</f>
        <v>62</v>
      </c>
      <c r="E366" s="915">
        <f t="shared" si="147"/>
        <v>365</v>
      </c>
      <c r="F366" s="916">
        <f t="shared" si="141"/>
        <v>0.16986301369863013</v>
      </c>
      <c r="G366" s="909"/>
      <c r="H366" s="917">
        <f t="shared" si="148"/>
        <v>33208.98761783215</v>
      </c>
      <c r="I366" s="910">
        <f t="shared" si="142"/>
        <v>5640.9787186454614</v>
      </c>
      <c r="J366" s="910">
        <f t="shared" si="139"/>
        <v>319941.52307302639</v>
      </c>
      <c r="K366" s="896"/>
      <c r="L366" s="917"/>
      <c r="M366" s="913">
        <f t="shared" si="143"/>
        <v>-33208.98761783215</v>
      </c>
      <c r="N366" s="913">
        <f t="shared" si="144"/>
        <v>-33208.98761783215</v>
      </c>
      <c r="O366" s="913">
        <f t="shared" si="145"/>
        <v>0</v>
      </c>
      <c r="P366" s="913">
        <f t="shared" si="140"/>
        <v>0</v>
      </c>
      <c r="Q366" s="913">
        <f t="shared" si="146"/>
        <v>-150486.75484902566</v>
      </c>
    </row>
    <row r="367" spans="1:17">
      <c r="A367" s="895">
        <f t="shared" si="137"/>
        <v>359</v>
      </c>
      <c r="B367" s="914" t="s">
        <v>913</v>
      </c>
      <c r="C367" s="910">
        <v>30</v>
      </c>
      <c r="D367" s="915">
        <f>D368+C368</f>
        <v>32</v>
      </c>
      <c r="E367" s="915">
        <f t="shared" si="147"/>
        <v>365</v>
      </c>
      <c r="F367" s="916">
        <f t="shared" si="141"/>
        <v>8.7671232876712329E-2</v>
      </c>
      <c r="G367" s="909"/>
      <c r="H367" s="917">
        <f t="shared" si="148"/>
        <v>33208.98761783215</v>
      </c>
      <c r="I367" s="910">
        <f t="shared" si="142"/>
        <v>2911.4728870428185</v>
      </c>
      <c r="J367" s="910">
        <f t="shared" si="139"/>
        <v>322852.99596006918</v>
      </c>
      <c r="K367" s="896"/>
      <c r="L367" s="917"/>
      <c r="M367" s="913">
        <f t="shared" si="143"/>
        <v>-33208.98761783215</v>
      </c>
      <c r="N367" s="913">
        <f t="shared" si="144"/>
        <v>-33208.98761783215</v>
      </c>
      <c r="O367" s="913">
        <f t="shared" si="145"/>
        <v>0</v>
      </c>
      <c r="P367" s="913">
        <f t="shared" si="140"/>
        <v>0</v>
      </c>
      <c r="Q367" s="913">
        <f t="shared" si="146"/>
        <v>-180784.26957981498</v>
      </c>
    </row>
    <row r="368" spans="1:17">
      <c r="A368" s="895">
        <f t="shared" si="137"/>
        <v>360</v>
      </c>
      <c r="B368" s="914" t="s">
        <v>914</v>
      </c>
      <c r="C368" s="910">
        <v>31</v>
      </c>
      <c r="D368" s="915">
        <v>1</v>
      </c>
      <c r="E368" s="915">
        <f t="shared" si="147"/>
        <v>365</v>
      </c>
      <c r="F368" s="916">
        <f t="shared" si="141"/>
        <v>2.7397260273972603E-3</v>
      </c>
      <c r="G368" s="909"/>
      <c r="H368" s="917">
        <f t="shared" si="148"/>
        <v>33208.98761783215</v>
      </c>
      <c r="I368" s="910">
        <f t="shared" si="142"/>
        <v>90.983527720088077</v>
      </c>
      <c r="J368" s="910">
        <f t="shared" si="139"/>
        <v>322943.97948778927</v>
      </c>
      <c r="K368" s="896"/>
      <c r="L368" s="917"/>
      <c r="M368" s="913">
        <f t="shared" si="143"/>
        <v>-33208.98761783215</v>
      </c>
      <c r="N368" s="913">
        <f t="shared" si="144"/>
        <v>-33208.98761783215</v>
      </c>
      <c r="O368" s="913">
        <f t="shared" si="145"/>
        <v>0</v>
      </c>
      <c r="P368" s="913">
        <f t="shared" si="140"/>
        <v>0</v>
      </c>
      <c r="Q368" s="913">
        <f t="shared" si="146"/>
        <v>-213902.27366992703</v>
      </c>
    </row>
    <row r="369" spans="1:18">
      <c r="A369" s="895">
        <f t="shared" si="137"/>
        <v>361</v>
      </c>
      <c r="B369" s="918"/>
      <c r="C369" s="918" t="s">
        <v>795</v>
      </c>
      <c r="D369" s="919">
        <f>+SUM(D357:D368)</f>
        <v>2029</v>
      </c>
      <c r="E369" s="919">
        <f>+SUM(E357:E368)</f>
        <v>4380</v>
      </c>
      <c r="F369" s="920"/>
      <c r="G369" s="909"/>
      <c r="H369" s="921">
        <f>SUM(H357:H368)</f>
        <v>398507.85141398577</v>
      </c>
      <c r="I369" s="921">
        <f>SUM(I357:I368)</f>
        <v>184605.57774405874</v>
      </c>
      <c r="J369" s="920"/>
      <c r="K369" s="896"/>
      <c r="L369" s="922">
        <f>SUM(L357:L368)</f>
        <v>0</v>
      </c>
      <c r="M369" s="922">
        <f>SUM(M357:M368)</f>
        <v>-398507.85141398577</v>
      </c>
      <c r="N369" s="922">
        <f>SUM(N357:N368)</f>
        <v>-398507.85141398577</v>
      </c>
      <c r="O369" s="922">
        <f>SUM(O357:O368)</f>
        <v>0</v>
      </c>
      <c r="P369" s="922">
        <f>SUM(P357:P368)</f>
        <v>0</v>
      </c>
      <c r="Q369" s="922"/>
    </row>
    <row r="370" spans="1:18">
      <c r="A370" s="895">
        <f t="shared" si="137"/>
        <v>362</v>
      </c>
      <c r="B370" s="924"/>
      <c r="C370" s="924"/>
      <c r="D370" s="925"/>
      <c r="E370" s="925"/>
      <c r="F370" s="926"/>
      <c r="G370" s="909"/>
      <c r="H370" s="910"/>
      <c r="I370" s="910"/>
      <c r="J370" s="926"/>
      <c r="K370" s="896"/>
      <c r="L370" s="928"/>
      <c r="M370" s="928"/>
      <c r="N370" s="928"/>
      <c r="O370" s="928"/>
      <c r="P370" s="928"/>
      <c r="Q370" s="928"/>
    </row>
    <row r="371" spans="1:18">
      <c r="A371" s="895">
        <f t="shared" si="137"/>
        <v>363</v>
      </c>
      <c r="B371" s="896" t="s">
        <v>1677</v>
      </c>
      <c r="C371" s="924"/>
      <c r="D371" s="925"/>
      <c r="E371" s="929">
        <f>1-(D369/E369)</f>
        <v>0.53675799086757991</v>
      </c>
      <c r="F371" s="926"/>
      <c r="G371" s="909"/>
      <c r="H371" s="910"/>
      <c r="I371" s="910"/>
      <c r="J371" s="926"/>
      <c r="K371" s="896"/>
      <c r="L371" s="928"/>
      <c r="M371" s="928"/>
      <c r="N371" s="928"/>
      <c r="O371" s="928"/>
      <c r="P371" s="928"/>
      <c r="Q371" s="928"/>
    </row>
    <row r="372" spans="1:18" s="901" customFormat="1">
      <c r="A372" s="895">
        <f t="shared" si="137"/>
        <v>364</v>
      </c>
      <c r="B372" s="947"/>
      <c r="C372" s="947"/>
      <c r="D372" s="947"/>
      <c r="E372" s="947"/>
      <c r="F372" s="948"/>
      <c r="G372" s="948"/>
      <c r="H372" s="900"/>
      <c r="I372" s="949"/>
      <c r="J372" s="948"/>
      <c r="K372" s="908"/>
      <c r="L372" s="908"/>
      <c r="M372" s="908"/>
      <c r="N372" s="908"/>
      <c r="O372" s="908"/>
      <c r="P372" s="908"/>
      <c r="Q372" s="908"/>
    </row>
    <row r="373" spans="1:18" s="901" customFormat="1">
      <c r="A373" s="895">
        <f t="shared" si="137"/>
        <v>365</v>
      </c>
      <c r="B373" s="950"/>
      <c r="C373" s="947"/>
      <c r="D373" s="908"/>
      <c r="E373" s="947"/>
      <c r="F373" s="908"/>
      <c r="G373" s="948"/>
      <c r="H373" s="900"/>
      <c r="I373" s="949"/>
      <c r="J373" s="951"/>
      <c r="K373" s="908"/>
      <c r="L373" s="908"/>
      <c r="M373" s="908"/>
      <c r="N373" s="908"/>
      <c r="O373" s="908"/>
      <c r="P373" s="908"/>
      <c r="Q373" s="951"/>
    </row>
    <row r="374" spans="1:18" s="109" customFormat="1">
      <c r="A374" s="895">
        <f t="shared" si="137"/>
        <v>366</v>
      </c>
      <c r="B374" s="934" t="s">
        <v>1678</v>
      </c>
      <c r="C374" s="934"/>
      <c r="D374" s="934"/>
      <c r="E374" s="934"/>
      <c r="F374" s="934" t="str">
        <f>"(Line "&amp;A356&amp;", Col H)"</f>
        <v>(Line 348, Col H)</v>
      </c>
      <c r="G374" s="952"/>
      <c r="H374" s="934"/>
      <c r="I374" s="952"/>
      <c r="J374" s="913">
        <f>J356</f>
        <v>138338.40174373065</v>
      </c>
      <c r="K374" s="934"/>
      <c r="L374" s="934"/>
      <c r="M374" s="934"/>
      <c r="N374" s="934" t="str">
        <f>"(Line "&amp;A356&amp;", Col N)"</f>
        <v>(Line 348, Col N)</v>
      </c>
      <c r="O374" s="934"/>
      <c r="P374" s="934"/>
      <c r="Q374" s="913">
        <f>Q356</f>
        <v>0</v>
      </c>
    </row>
    <row r="375" spans="1:18" s="109" customFormat="1">
      <c r="A375" s="895">
        <f t="shared" si="137"/>
        <v>367</v>
      </c>
      <c r="B375" s="934" t="s">
        <v>1679</v>
      </c>
      <c r="C375" s="934"/>
      <c r="D375" s="934"/>
      <c r="E375" s="934"/>
      <c r="F375" s="934" t="str">
        <f>"(Line "&amp;A368&amp;", Col H)"</f>
        <v>(Line 360, Col H)</v>
      </c>
      <c r="G375" s="952"/>
      <c r="H375" s="934"/>
      <c r="I375" s="952"/>
      <c r="J375" s="913">
        <f>J368</f>
        <v>322943.97948778927</v>
      </c>
      <c r="K375" s="934"/>
      <c r="L375" s="953"/>
      <c r="M375" s="934"/>
      <c r="N375" s="934" t="str">
        <f>"(Line "&amp;A368&amp;", Col N)"</f>
        <v>(Line 360, Col N)</v>
      </c>
      <c r="O375" s="934"/>
      <c r="P375" s="934"/>
      <c r="Q375" s="913">
        <f>Q368</f>
        <v>-213902.27366992703</v>
      </c>
    </row>
    <row r="376" spans="1:18" s="109" customFormat="1">
      <c r="A376" s="895">
        <f t="shared" si="137"/>
        <v>368</v>
      </c>
      <c r="B376" s="934" t="s">
        <v>1680</v>
      </c>
      <c r="C376" s="934"/>
      <c r="D376" s="934"/>
      <c r="E376" s="934"/>
      <c r="F376" s="934" t="str">
        <f>"(Average of Line "&amp;A374&amp;" &amp; Line "&amp;A375&amp;")"</f>
        <v>(Average of Line 366 &amp; Line 367)</v>
      </c>
      <c r="G376" s="952"/>
      <c r="H376" s="934"/>
      <c r="I376" s="954"/>
      <c r="J376" s="938">
        <f>(J374+J375)/2</f>
        <v>230641.19061575996</v>
      </c>
      <c r="K376" s="934"/>
      <c r="L376" s="955"/>
      <c r="M376" s="934"/>
      <c r="N376" s="934" t="str">
        <f>"(Average of Line "&amp;A374&amp;" &amp; Line "&amp;A375&amp;")"</f>
        <v>(Average of Line 366 &amp; Line 367)</v>
      </c>
      <c r="O376" s="934"/>
      <c r="P376" s="934"/>
      <c r="Q376" s="938">
        <f>(Q374+Q375)/2</f>
        <v>-106951.13683496352</v>
      </c>
    </row>
    <row r="377" spans="1:18" s="109" customFormat="1" ht="13.5" customHeight="1">
      <c r="A377" s="895">
        <f t="shared" si="137"/>
        <v>369</v>
      </c>
      <c r="B377" s="934" t="s">
        <v>1681</v>
      </c>
      <c r="C377" s="934"/>
      <c r="D377" s="934"/>
      <c r="E377" s="934"/>
      <c r="F377" s="934" t="s">
        <v>1830</v>
      </c>
      <c r="G377" s="934"/>
      <c r="H377" s="934"/>
      <c r="I377" s="934"/>
      <c r="J377" s="956">
        <f>AVERAGE(J356, (SUM(H357:H368)+J356))</f>
        <v>337592.32745072356</v>
      </c>
      <c r="K377" s="934"/>
      <c r="L377" s="934"/>
      <c r="M377" s="934"/>
      <c r="N377" s="934" t="s">
        <v>1830</v>
      </c>
      <c r="O377" s="934"/>
      <c r="P377" s="934"/>
      <c r="Q377" s="956">
        <f>AVERAGE(Q356, (SUM(L357:L368)+Q356))</f>
        <v>0</v>
      </c>
    </row>
    <row r="378" spans="1:18" s="109" customFormat="1" ht="13.5" customHeight="1">
      <c r="A378" s="895">
        <f t="shared" si="137"/>
        <v>370</v>
      </c>
      <c r="B378" s="934" t="s">
        <v>1682</v>
      </c>
      <c r="C378" s="934"/>
      <c r="D378" s="934"/>
      <c r="E378" s="934"/>
      <c r="F378" s="934"/>
      <c r="G378" s="934"/>
      <c r="H378" s="934"/>
      <c r="I378" s="934"/>
      <c r="J378" s="953">
        <f>J376-J377</f>
        <v>-106951.1368349636</v>
      </c>
      <c r="K378" s="934"/>
      <c r="L378" s="934"/>
      <c r="M378" s="934"/>
      <c r="N378" s="934"/>
      <c r="O378" s="934"/>
      <c r="P378" s="934"/>
      <c r="Q378" s="953">
        <v>0</v>
      </c>
    </row>
    <row r="379" spans="1:18" s="901" customFormat="1">
      <c r="A379" s="895">
        <f t="shared" si="137"/>
        <v>371</v>
      </c>
      <c r="B379" s="957"/>
      <c r="C379" s="957"/>
      <c r="D379" s="957"/>
      <c r="E379" s="957"/>
      <c r="F379" s="957"/>
      <c r="G379" s="957"/>
      <c r="H379" s="957"/>
      <c r="I379" s="957"/>
      <c r="J379" s="957"/>
      <c r="K379" s="908"/>
      <c r="L379" s="908"/>
      <c r="M379" s="908"/>
      <c r="N379" s="908"/>
      <c r="O379" s="908"/>
      <c r="P379" s="908"/>
      <c r="Q379" s="957"/>
    </row>
    <row r="380" spans="1:18" s="901" customFormat="1">
      <c r="A380" s="895">
        <f t="shared" si="137"/>
        <v>372</v>
      </c>
      <c r="B380" s="908"/>
      <c r="C380" s="908"/>
      <c r="D380" s="908"/>
      <c r="E380" s="908"/>
      <c r="F380" s="908"/>
      <c r="G380" s="908"/>
      <c r="H380" s="908"/>
      <c r="I380" s="908"/>
      <c r="J380" s="908"/>
      <c r="K380" s="908"/>
      <c r="L380" s="908"/>
      <c r="M380" s="908"/>
      <c r="N380" s="908"/>
      <c r="O380" s="908"/>
      <c r="P380" s="908"/>
      <c r="Q380" s="908"/>
    </row>
    <row r="381" spans="1:18">
      <c r="A381" s="895">
        <f t="shared" si="137"/>
        <v>373</v>
      </c>
      <c r="B381" s="1252" t="s">
        <v>1686</v>
      </c>
      <c r="C381" s="1252"/>
      <c r="D381" s="1252"/>
      <c r="E381" s="1252"/>
      <c r="F381" s="896"/>
      <c r="G381" s="896"/>
      <c r="H381" s="942"/>
      <c r="I381" s="942"/>
      <c r="J381" s="942"/>
      <c r="K381" s="896"/>
      <c r="L381" s="943"/>
      <c r="M381" s="944"/>
      <c r="N381" s="944"/>
      <c r="O381" s="944"/>
      <c r="P381" s="944"/>
      <c r="Q381" s="944"/>
      <c r="R381" s="901"/>
    </row>
    <row r="382" spans="1:18">
      <c r="A382" s="895">
        <f t="shared" si="137"/>
        <v>374</v>
      </c>
      <c r="B382" s="1253" t="s">
        <v>1689</v>
      </c>
      <c r="C382" s="1253"/>
      <c r="D382" s="1253"/>
      <c r="E382" s="1253"/>
      <c r="F382" s="896"/>
      <c r="G382" s="896"/>
      <c r="H382" s="942"/>
      <c r="I382" s="942"/>
      <c r="J382" s="942"/>
      <c r="K382" s="896"/>
      <c r="L382" s="943"/>
      <c r="M382" s="944"/>
      <c r="N382" s="944"/>
      <c r="O382" s="944"/>
      <c r="P382" s="944"/>
      <c r="Q382" s="944"/>
      <c r="R382" s="901"/>
    </row>
    <row r="383" spans="1:18">
      <c r="A383" s="895">
        <f t="shared" si="137"/>
        <v>375</v>
      </c>
      <c r="B383" s="1254" t="s">
        <v>1661</v>
      </c>
      <c r="C383" s="1255"/>
      <c r="D383" s="1255"/>
      <c r="E383" s="1255"/>
      <c r="F383" s="1256"/>
      <c r="G383" s="902"/>
      <c r="H383" s="1257" t="s">
        <v>1662</v>
      </c>
      <c r="I383" s="1258"/>
      <c r="J383" s="1259"/>
      <c r="K383" s="896"/>
      <c r="L383" s="1257" t="s">
        <v>1663</v>
      </c>
      <c r="M383" s="1258"/>
      <c r="N383" s="1258"/>
      <c r="O383" s="1258"/>
      <c r="P383" s="1258"/>
      <c r="Q383" s="1258"/>
    </row>
    <row r="384" spans="1:18">
      <c r="A384" s="895">
        <f t="shared" si="137"/>
        <v>376</v>
      </c>
      <c r="B384" s="903" t="s">
        <v>830</v>
      </c>
      <c r="C384" s="903" t="s">
        <v>831</v>
      </c>
      <c r="D384" s="903" t="s">
        <v>832</v>
      </c>
      <c r="E384" s="903" t="s">
        <v>833</v>
      </c>
      <c r="F384" s="903" t="s">
        <v>834</v>
      </c>
      <c r="G384" s="902"/>
      <c r="H384" s="903" t="s">
        <v>835</v>
      </c>
      <c r="I384" s="903" t="s">
        <v>836</v>
      </c>
      <c r="J384" s="903" t="s">
        <v>837</v>
      </c>
      <c r="K384" s="896"/>
      <c r="L384" s="903" t="s">
        <v>838</v>
      </c>
      <c r="M384" s="903" t="s">
        <v>839</v>
      </c>
      <c r="N384" s="903" t="s">
        <v>840</v>
      </c>
      <c r="O384" s="903" t="s">
        <v>841</v>
      </c>
      <c r="P384" s="903" t="s">
        <v>843</v>
      </c>
      <c r="Q384" s="903" t="s">
        <v>842</v>
      </c>
    </row>
    <row r="385" spans="1:17" ht="45">
      <c r="A385" s="895">
        <f t="shared" si="137"/>
        <v>377</v>
      </c>
      <c r="B385" s="905" t="s">
        <v>1352</v>
      </c>
      <c r="C385" s="905" t="s">
        <v>1587</v>
      </c>
      <c r="D385" s="905" t="s">
        <v>1664</v>
      </c>
      <c r="E385" s="905" t="s">
        <v>1665</v>
      </c>
      <c r="F385" s="905" t="s">
        <v>1666</v>
      </c>
      <c r="G385" s="906"/>
      <c r="H385" s="905" t="s">
        <v>1667</v>
      </c>
      <c r="I385" s="905" t="s">
        <v>1668</v>
      </c>
      <c r="J385" s="905" t="s">
        <v>1669</v>
      </c>
      <c r="K385" s="896"/>
      <c r="L385" s="905" t="s">
        <v>1670</v>
      </c>
      <c r="M385" s="905" t="s">
        <v>1671</v>
      </c>
      <c r="N385" s="905" t="s">
        <v>1672</v>
      </c>
      <c r="O385" s="905" t="s">
        <v>1673</v>
      </c>
      <c r="P385" s="905" t="s">
        <v>1674</v>
      </c>
      <c r="Q385" s="905" t="s">
        <v>1675</v>
      </c>
    </row>
    <row r="386" spans="1:17">
      <c r="A386" s="895">
        <f t="shared" si="137"/>
        <v>378</v>
      </c>
      <c r="B386" s="896"/>
      <c r="C386" s="906"/>
      <c r="D386" s="906"/>
      <c r="E386" s="906"/>
      <c r="F386" s="906"/>
      <c r="G386" s="906"/>
      <c r="H386" s="906"/>
      <c r="I386" s="906"/>
      <c r="J386" s="906"/>
      <c r="K386" s="896"/>
      <c r="L386" s="896"/>
      <c r="M386" s="896"/>
      <c r="N386" s="896"/>
      <c r="O386" s="896"/>
      <c r="P386" s="896"/>
      <c r="Q386" s="896"/>
    </row>
    <row r="387" spans="1:17">
      <c r="A387" s="895">
        <f t="shared" si="137"/>
        <v>379</v>
      </c>
      <c r="B387" s="1260" t="s">
        <v>1676</v>
      </c>
      <c r="C387" s="1260"/>
      <c r="D387" s="1260"/>
      <c r="E387" s="1260"/>
      <c r="F387" s="909"/>
      <c r="G387" s="909"/>
      <c r="H387" s="910"/>
      <c r="I387" s="910"/>
      <c r="J387" s="911">
        <f>'WP_B-Inputs Est.'!G107</f>
        <v>180439.5530587238</v>
      </c>
      <c r="K387" s="912"/>
      <c r="L387" s="910"/>
      <c r="M387" s="913"/>
      <c r="N387" s="913"/>
      <c r="O387" s="913"/>
      <c r="P387" s="913"/>
      <c r="Q387" s="911">
        <f>'WP_B-Inputs Act.'!G107</f>
        <v>0</v>
      </c>
    </row>
    <row r="388" spans="1:17">
      <c r="A388" s="895">
        <f t="shared" si="137"/>
        <v>380</v>
      </c>
      <c r="B388" s="914" t="s">
        <v>956</v>
      </c>
      <c r="C388" s="910">
        <v>31</v>
      </c>
      <c r="D388" s="915">
        <f t="shared" ref="D388:D396" si="149">D389+C389</f>
        <v>335</v>
      </c>
      <c r="E388" s="915">
        <f>SUM(C388:C399)</f>
        <v>365</v>
      </c>
      <c r="F388" s="916">
        <f>D388/E388</f>
        <v>0.9178082191780822</v>
      </c>
      <c r="G388" s="909"/>
      <c r="H388" s="917">
        <f>('WP_B-Inputs Est.'!G108-'WP_B-Inputs Est.'!G107)/12</f>
        <v>-2577.4149699979171</v>
      </c>
      <c r="I388" s="910">
        <f>+H388*F388</f>
        <v>-2365.5726436967184</v>
      </c>
      <c r="J388" s="910">
        <f t="shared" ref="J388:J399" si="150">+I388+J387</f>
        <v>178073.98041502709</v>
      </c>
      <c r="K388" s="896"/>
      <c r="L388" s="917">
        <f>('WP_B-Inputs Act.'!G108-'WP_B-Inputs Act.'!G107)/12</f>
        <v>0</v>
      </c>
      <c r="M388" s="913">
        <f>L388-H388</f>
        <v>2577.4149699979171</v>
      </c>
      <c r="N388" s="913">
        <f>IF(M388&gt;=0,+M388,0)</f>
        <v>2577.4149699979171</v>
      </c>
      <c r="O388" s="913">
        <f>IF(N388&gt;0,0,IF(L388&lt;0,0,(-(M388)*(D388/E388))))</f>
        <v>0</v>
      </c>
      <c r="P388" s="913">
        <f>IF(N388&gt;0,0,IF(L388&gt;0,0,(-(M388)*(D388/E388))))</f>
        <v>0</v>
      </c>
      <c r="Q388" s="913">
        <f>IF(L388&lt;0,Q387+P388,Q387+I388+N388-O388)</f>
        <v>211.84232630119868</v>
      </c>
    </row>
    <row r="389" spans="1:17">
      <c r="A389" s="895">
        <f t="shared" si="137"/>
        <v>381</v>
      </c>
      <c r="B389" s="914" t="s">
        <v>904</v>
      </c>
      <c r="C389" s="917">
        <f>$C$17</f>
        <v>28</v>
      </c>
      <c r="D389" s="915">
        <f t="shared" si="149"/>
        <v>307</v>
      </c>
      <c r="E389" s="915">
        <f>E388</f>
        <v>365</v>
      </c>
      <c r="F389" s="916">
        <f t="shared" ref="F389:F399" si="151">D389/E389</f>
        <v>0.84109589041095889</v>
      </c>
      <c r="G389" s="909"/>
      <c r="H389" s="917">
        <f>$H$388</f>
        <v>-2577.4149699979171</v>
      </c>
      <c r="I389" s="910">
        <f t="shared" ref="I389:I399" si="152">+H389*F389</f>
        <v>-2167.8531391489328</v>
      </c>
      <c r="J389" s="910">
        <f t="shared" si="150"/>
        <v>175906.12727587816</v>
      </c>
      <c r="K389" s="896"/>
      <c r="L389" s="917">
        <f>$L$388</f>
        <v>0</v>
      </c>
      <c r="M389" s="913">
        <f t="shared" ref="M389:M399" si="153">L389-H389</f>
        <v>2577.4149699979171</v>
      </c>
      <c r="N389" s="913">
        <f t="shared" ref="N389:N399" si="154">IF(M389&gt;=0,+M389,0)</f>
        <v>2577.4149699979171</v>
      </c>
      <c r="O389" s="913">
        <f t="shared" ref="O389:O399" si="155">IF(N389&gt;0,0,IF(L389&lt;0,0,(-(M389)*(D389/E389))))</f>
        <v>0</v>
      </c>
      <c r="P389" s="913">
        <f t="shared" ref="P389:P399" si="156">IF(N389&gt;0,0,IF(L389&gt;0,0,(-(M389)*(D389/E389))))</f>
        <v>0</v>
      </c>
      <c r="Q389" s="913">
        <f t="shared" ref="Q389:Q399" si="157">IF(L389&lt;0,Q388+P389,Q388+I389+N389-O389)</f>
        <v>621.40415715018298</v>
      </c>
    </row>
    <row r="390" spans="1:17">
      <c r="A390" s="895">
        <f t="shared" si="137"/>
        <v>382</v>
      </c>
      <c r="B390" s="914" t="s">
        <v>905</v>
      </c>
      <c r="C390" s="910">
        <v>31</v>
      </c>
      <c r="D390" s="915">
        <f t="shared" si="149"/>
        <v>276</v>
      </c>
      <c r="E390" s="915">
        <f t="shared" ref="E390:E399" si="158">E389</f>
        <v>365</v>
      </c>
      <c r="F390" s="916">
        <f t="shared" si="151"/>
        <v>0.75616438356164384</v>
      </c>
      <c r="G390" s="909"/>
      <c r="H390" s="917">
        <f t="shared" ref="H390:H399" si="159">$H$388</f>
        <v>-2577.4149699979171</v>
      </c>
      <c r="I390" s="910">
        <f t="shared" si="152"/>
        <v>-1948.9494019710278</v>
      </c>
      <c r="J390" s="910">
        <f t="shared" si="150"/>
        <v>173957.17787390712</v>
      </c>
      <c r="K390" s="896"/>
      <c r="L390" s="917">
        <f t="shared" ref="L390:L399" si="160">$L$388</f>
        <v>0</v>
      </c>
      <c r="M390" s="913">
        <f t="shared" si="153"/>
        <v>2577.4149699979171</v>
      </c>
      <c r="N390" s="913">
        <f t="shared" si="154"/>
        <v>2577.4149699979171</v>
      </c>
      <c r="O390" s="913">
        <f t="shared" si="155"/>
        <v>0</v>
      </c>
      <c r="P390" s="913">
        <f t="shared" si="156"/>
        <v>0</v>
      </c>
      <c r="Q390" s="913">
        <f t="shared" si="157"/>
        <v>1249.8697251770723</v>
      </c>
    </row>
    <row r="391" spans="1:17">
      <c r="A391" s="895">
        <f t="shared" si="137"/>
        <v>383</v>
      </c>
      <c r="B391" s="914" t="s">
        <v>906</v>
      </c>
      <c r="C391" s="910">
        <v>30</v>
      </c>
      <c r="D391" s="915">
        <f t="shared" si="149"/>
        <v>246</v>
      </c>
      <c r="E391" s="915">
        <f t="shared" si="158"/>
        <v>365</v>
      </c>
      <c r="F391" s="916">
        <f t="shared" si="151"/>
        <v>0.67397260273972603</v>
      </c>
      <c r="G391" s="909"/>
      <c r="H391" s="917">
        <f t="shared" si="159"/>
        <v>-2577.4149699979171</v>
      </c>
      <c r="I391" s="910">
        <f t="shared" si="152"/>
        <v>-1737.1070756698291</v>
      </c>
      <c r="J391" s="910">
        <f t="shared" si="150"/>
        <v>172220.07079823728</v>
      </c>
      <c r="K391" s="896"/>
      <c r="L391" s="917">
        <f t="shared" si="160"/>
        <v>0</v>
      </c>
      <c r="M391" s="913">
        <f t="shared" si="153"/>
        <v>2577.4149699979171</v>
      </c>
      <c r="N391" s="913">
        <f t="shared" si="154"/>
        <v>2577.4149699979171</v>
      </c>
      <c r="O391" s="913">
        <f t="shared" si="155"/>
        <v>0</v>
      </c>
      <c r="P391" s="913">
        <f t="shared" si="156"/>
        <v>0</v>
      </c>
      <c r="Q391" s="913">
        <f t="shared" si="157"/>
        <v>2090.1776195051602</v>
      </c>
    </row>
    <row r="392" spans="1:17">
      <c r="A392" s="895">
        <f t="shared" si="137"/>
        <v>384</v>
      </c>
      <c r="B392" s="914" t="s">
        <v>907</v>
      </c>
      <c r="C392" s="910">
        <v>31</v>
      </c>
      <c r="D392" s="915">
        <f t="shared" si="149"/>
        <v>215</v>
      </c>
      <c r="E392" s="915">
        <f t="shared" si="158"/>
        <v>365</v>
      </c>
      <c r="F392" s="916">
        <f t="shared" si="151"/>
        <v>0.58904109589041098</v>
      </c>
      <c r="G392" s="909"/>
      <c r="H392" s="917">
        <f t="shared" si="159"/>
        <v>-2577.4149699979171</v>
      </c>
      <c r="I392" s="910">
        <f t="shared" si="152"/>
        <v>-1518.2033384919239</v>
      </c>
      <c r="J392" s="910">
        <f t="shared" si="150"/>
        <v>170701.86745974535</v>
      </c>
      <c r="K392" s="896"/>
      <c r="L392" s="917">
        <f t="shared" si="160"/>
        <v>0</v>
      </c>
      <c r="M392" s="913">
        <f t="shared" si="153"/>
        <v>2577.4149699979171</v>
      </c>
      <c r="N392" s="913">
        <f t="shared" si="154"/>
        <v>2577.4149699979171</v>
      </c>
      <c r="O392" s="913">
        <f t="shared" si="155"/>
        <v>0</v>
      </c>
      <c r="P392" s="913">
        <f t="shared" si="156"/>
        <v>0</v>
      </c>
      <c r="Q392" s="913">
        <f t="shared" si="157"/>
        <v>3149.3892510111536</v>
      </c>
    </row>
    <row r="393" spans="1:17">
      <c r="A393" s="895">
        <f t="shared" si="137"/>
        <v>385</v>
      </c>
      <c r="B393" s="914" t="s">
        <v>908</v>
      </c>
      <c r="C393" s="910">
        <v>30</v>
      </c>
      <c r="D393" s="915">
        <f t="shared" si="149"/>
        <v>185</v>
      </c>
      <c r="E393" s="915">
        <f t="shared" si="158"/>
        <v>365</v>
      </c>
      <c r="F393" s="916">
        <f t="shared" si="151"/>
        <v>0.50684931506849318</v>
      </c>
      <c r="G393" s="909"/>
      <c r="H393" s="917">
        <f t="shared" si="159"/>
        <v>-2577.4149699979171</v>
      </c>
      <c r="I393" s="910">
        <f t="shared" si="152"/>
        <v>-1306.3610121907252</v>
      </c>
      <c r="J393" s="910">
        <f t="shared" si="150"/>
        <v>169395.50644755462</v>
      </c>
      <c r="K393" s="896"/>
      <c r="L393" s="917">
        <f t="shared" si="160"/>
        <v>0</v>
      </c>
      <c r="M393" s="913">
        <f t="shared" si="153"/>
        <v>2577.4149699979171</v>
      </c>
      <c r="N393" s="913">
        <f t="shared" si="154"/>
        <v>2577.4149699979171</v>
      </c>
      <c r="O393" s="913">
        <f t="shared" si="155"/>
        <v>0</v>
      </c>
      <c r="P393" s="913">
        <f t="shared" si="156"/>
        <v>0</v>
      </c>
      <c r="Q393" s="913">
        <f t="shared" si="157"/>
        <v>4420.4432088183457</v>
      </c>
    </row>
    <row r="394" spans="1:17">
      <c r="A394" s="895">
        <f t="shared" si="137"/>
        <v>386</v>
      </c>
      <c r="B394" s="914" t="s">
        <v>909</v>
      </c>
      <c r="C394" s="910">
        <v>31</v>
      </c>
      <c r="D394" s="915">
        <f t="shared" si="149"/>
        <v>154</v>
      </c>
      <c r="E394" s="915">
        <f t="shared" si="158"/>
        <v>365</v>
      </c>
      <c r="F394" s="916">
        <f t="shared" si="151"/>
        <v>0.42191780821917807</v>
      </c>
      <c r="G394" s="909"/>
      <c r="H394" s="917">
        <f t="shared" si="159"/>
        <v>-2577.4149699979171</v>
      </c>
      <c r="I394" s="910">
        <f t="shared" si="152"/>
        <v>-1087.4572750128198</v>
      </c>
      <c r="J394" s="910">
        <f t="shared" si="150"/>
        <v>168308.0491725418</v>
      </c>
      <c r="K394" s="896"/>
      <c r="L394" s="917">
        <f t="shared" si="160"/>
        <v>0</v>
      </c>
      <c r="M394" s="913">
        <f t="shared" si="153"/>
        <v>2577.4149699979171</v>
      </c>
      <c r="N394" s="913">
        <f t="shared" si="154"/>
        <v>2577.4149699979171</v>
      </c>
      <c r="O394" s="913">
        <f t="shared" si="155"/>
        <v>0</v>
      </c>
      <c r="P394" s="913">
        <f t="shared" si="156"/>
        <v>0</v>
      </c>
      <c r="Q394" s="913">
        <f t="shared" si="157"/>
        <v>5910.4009038034428</v>
      </c>
    </row>
    <row r="395" spans="1:17">
      <c r="A395" s="895">
        <f t="shared" si="137"/>
        <v>387</v>
      </c>
      <c r="B395" s="914" t="s">
        <v>910</v>
      </c>
      <c r="C395" s="910">
        <v>31</v>
      </c>
      <c r="D395" s="915">
        <f t="shared" si="149"/>
        <v>123</v>
      </c>
      <c r="E395" s="915">
        <f t="shared" si="158"/>
        <v>365</v>
      </c>
      <c r="F395" s="916">
        <f t="shared" si="151"/>
        <v>0.33698630136986302</v>
      </c>
      <c r="G395" s="909"/>
      <c r="H395" s="917">
        <f t="shared" si="159"/>
        <v>-2577.4149699979171</v>
      </c>
      <c r="I395" s="910">
        <f t="shared" si="152"/>
        <v>-868.55353783491455</v>
      </c>
      <c r="J395" s="910">
        <f t="shared" si="150"/>
        <v>167439.49563470689</v>
      </c>
      <c r="K395" s="896"/>
      <c r="L395" s="917">
        <f t="shared" si="160"/>
        <v>0</v>
      </c>
      <c r="M395" s="913">
        <f t="shared" si="153"/>
        <v>2577.4149699979171</v>
      </c>
      <c r="N395" s="913">
        <f t="shared" si="154"/>
        <v>2577.4149699979171</v>
      </c>
      <c r="O395" s="913">
        <f t="shared" si="155"/>
        <v>0</v>
      </c>
      <c r="P395" s="913">
        <f t="shared" si="156"/>
        <v>0</v>
      </c>
      <c r="Q395" s="913">
        <f t="shared" si="157"/>
        <v>7619.2623359664449</v>
      </c>
    </row>
    <row r="396" spans="1:17">
      <c r="A396" s="895">
        <f t="shared" si="137"/>
        <v>388</v>
      </c>
      <c r="B396" s="914" t="s">
        <v>911</v>
      </c>
      <c r="C396" s="910">
        <v>30</v>
      </c>
      <c r="D396" s="915">
        <f t="shared" si="149"/>
        <v>93</v>
      </c>
      <c r="E396" s="915">
        <f t="shared" si="158"/>
        <v>365</v>
      </c>
      <c r="F396" s="916">
        <f t="shared" si="151"/>
        <v>0.25479452054794521</v>
      </c>
      <c r="G396" s="909"/>
      <c r="H396" s="917">
        <f t="shared" si="159"/>
        <v>-2577.4149699979171</v>
      </c>
      <c r="I396" s="910">
        <f t="shared" si="152"/>
        <v>-656.71121153371587</v>
      </c>
      <c r="J396" s="910">
        <f t="shared" si="150"/>
        <v>166782.78442317317</v>
      </c>
      <c r="K396" s="896"/>
      <c r="L396" s="917">
        <f t="shared" si="160"/>
        <v>0</v>
      </c>
      <c r="M396" s="913">
        <f t="shared" si="153"/>
        <v>2577.4149699979171</v>
      </c>
      <c r="N396" s="913">
        <f t="shared" si="154"/>
        <v>2577.4149699979171</v>
      </c>
      <c r="O396" s="913">
        <f t="shared" si="155"/>
        <v>0</v>
      </c>
      <c r="P396" s="913">
        <f t="shared" si="156"/>
        <v>0</v>
      </c>
      <c r="Q396" s="913">
        <f t="shared" si="157"/>
        <v>9539.9660944306452</v>
      </c>
    </row>
    <row r="397" spans="1:17">
      <c r="A397" s="895">
        <f t="shared" si="137"/>
        <v>389</v>
      </c>
      <c r="B397" s="914" t="s">
        <v>912</v>
      </c>
      <c r="C397" s="910">
        <v>31</v>
      </c>
      <c r="D397" s="915">
        <f>D398+C398</f>
        <v>62</v>
      </c>
      <c r="E397" s="915">
        <f t="shared" si="158"/>
        <v>365</v>
      </c>
      <c r="F397" s="916">
        <f t="shared" si="151"/>
        <v>0.16986301369863013</v>
      </c>
      <c r="G397" s="909"/>
      <c r="H397" s="917">
        <f t="shared" si="159"/>
        <v>-2577.4149699979171</v>
      </c>
      <c r="I397" s="910">
        <f t="shared" si="152"/>
        <v>-437.80747435581054</v>
      </c>
      <c r="J397" s="910">
        <f t="shared" si="150"/>
        <v>166344.97694881735</v>
      </c>
      <c r="K397" s="896"/>
      <c r="L397" s="917">
        <f t="shared" si="160"/>
        <v>0</v>
      </c>
      <c r="M397" s="913">
        <f t="shared" si="153"/>
        <v>2577.4149699979171</v>
      </c>
      <c r="N397" s="913">
        <f t="shared" si="154"/>
        <v>2577.4149699979171</v>
      </c>
      <c r="O397" s="913">
        <f t="shared" si="155"/>
        <v>0</v>
      </c>
      <c r="P397" s="913">
        <f t="shared" si="156"/>
        <v>0</v>
      </c>
      <c r="Q397" s="913">
        <f t="shared" si="157"/>
        <v>11679.573590072752</v>
      </c>
    </row>
    <row r="398" spans="1:17">
      <c r="A398" s="895">
        <f t="shared" si="137"/>
        <v>390</v>
      </c>
      <c r="B398" s="914" t="s">
        <v>913</v>
      </c>
      <c r="C398" s="910">
        <v>30</v>
      </c>
      <c r="D398" s="915">
        <f>D399+C399</f>
        <v>32</v>
      </c>
      <c r="E398" s="915">
        <f t="shared" si="158"/>
        <v>365</v>
      </c>
      <c r="F398" s="916">
        <f t="shared" si="151"/>
        <v>8.7671232876712329E-2</v>
      </c>
      <c r="G398" s="909"/>
      <c r="H398" s="917">
        <f t="shared" si="159"/>
        <v>-2577.4149699979171</v>
      </c>
      <c r="I398" s="910">
        <f t="shared" si="152"/>
        <v>-225.96514805461192</v>
      </c>
      <c r="J398" s="910">
        <f t="shared" si="150"/>
        <v>166119.01180076273</v>
      </c>
      <c r="K398" s="896"/>
      <c r="L398" s="917">
        <f t="shared" si="160"/>
        <v>0</v>
      </c>
      <c r="M398" s="913">
        <f t="shared" si="153"/>
        <v>2577.4149699979171</v>
      </c>
      <c r="N398" s="913">
        <f t="shared" si="154"/>
        <v>2577.4149699979171</v>
      </c>
      <c r="O398" s="913">
        <f t="shared" si="155"/>
        <v>0</v>
      </c>
      <c r="P398" s="913">
        <f t="shared" si="156"/>
        <v>0</v>
      </c>
      <c r="Q398" s="913">
        <f t="shared" si="157"/>
        <v>14031.023412016057</v>
      </c>
    </row>
    <row r="399" spans="1:17">
      <c r="A399" s="895">
        <f t="shared" si="137"/>
        <v>391</v>
      </c>
      <c r="B399" s="914" t="s">
        <v>914</v>
      </c>
      <c r="C399" s="910">
        <v>31</v>
      </c>
      <c r="D399" s="915">
        <v>1</v>
      </c>
      <c r="E399" s="915">
        <f t="shared" si="158"/>
        <v>365</v>
      </c>
      <c r="F399" s="916">
        <f t="shared" si="151"/>
        <v>2.7397260273972603E-3</v>
      </c>
      <c r="G399" s="909"/>
      <c r="H399" s="917">
        <f t="shared" si="159"/>
        <v>-2577.4149699979171</v>
      </c>
      <c r="I399" s="910">
        <f t="shared" si="152"/>
        <v>-7.0614108767066224</v>
      </c>
      <c r="J399" s="910">
        <f t="shared" si="150"/>
        <v>166111.95038988601</v>
      </c>
      <c r="K399" s="896"/>
      <c r="L399" s="917">
        <f t="shared" si="160"/>
        <v>0</v>
      </c>
      <c r="M399" s="913">
        <f t="shared" si="153"/>
        <v>2577.4149699979171</v>
      </c>
      <c r="N399" s="913">
        <f t="shared" si="154"/>
        <v>2577.4149699979171</v>
      </c>
      <c r="O399" s="913">
        <f t="shared" si="155"/>
        <v>0</v>
      </c>
      <c r="P399" s="913">
        <f t="shared" si="156"/>
        <v>0</v>
      </c>
      <c r="Q399" s="913">
        <f t="shared" si="157"/>
        <v>16601.376971137266</v>
      </c>
    </row>
    <row r="400" spans="1:17">
      <c r="A400" s="895">
        <f t="shared" si="137"/>
        <v>392</v>
      </c>
      <c r="B400" s="918"/>
      <c r="C400" s="918" t="s">
        <v>795</v>
      </c>
      <c r="D400" s="919">
        <f>+SUM(D388:D399)</f>
        <v>2029</v>
      </c>
      <c r="E400" s="919">
        <f>+SUM(E388:E399)</f>
        <v>4380</v>
      </c>
      <c r="F400" s="920"/>
      <c r="G400" s="909"/>
      <c r="H400" s="921">
        <f>SUM(H388:H399)</f>
        <v>-30928.979639975005</v>
      </c>
      <c r="I400" s="921">
        <f>SUM(I388:I399)</f>
        <v>-14327.602668837733</v>
      </c>
      <c r="J400" s="920"/>
      <c r="K400" s="896"/>
      <c r="L400" s="922">
        <f>SUM(L388:L399)</f>
        <v>0</v>
      </c>
      <c r="M400" s="922">
        <f>SUM(M388:M399)</f>
        <v>30928.979639975005</v>
      </c>
      <c r="N400" s="922">
        <f>SUM(N388:N399)</f>
        <v>30928.979639975005</v>
      </c>
      <c r="O400" s="922">
        <f>SUM(O388:O399)</f>
        <v>0</v>
      </c>
      <c r="P400" s="922">
        <f>SUM(P388:P399)</f>
        <v>0</v>
      </c>
      <c r="Q400" s="922"/>
    </row>
    <row r="401" spans="1:18">
      <c r="A401" s="895">
        <f t="shared" si="137"/>
        <v>393</v>
      </c>
      <c r="B401" s="924"/>
      <c r="C401" s="924"/>
      <c r="D401" s="925"/>
      <c r="E401" s="925"/>
      <c r="F401" s="926"/>
      <c r="G401" s="909"/>
      <c r="H401" s="910"/>
      <c r="I401" s="910"/>
      <c r="J401" s="926"/>
      <c r="K401" s="896"/>
      <c r="L401" s="928"/>
      <c r="M401" s="928"/>
      <c r="N401" s="928"/>
      <c r="O401" s="928"/>
      <c r="P401" s="928"/>
      <c r="Q401" s="928"/>
    </row>
    <row r="402" spans="1:18">
      <c r="A402" s="895">
        <f t="shared" si="137"/>
        <v>394</v>
      </c>
      <c r="B402" s="896" t="s">
        <v>1677</v>
      </c>
      <c r="C402" s="924"/>
      <c r="D402" s="925"/>
      <c r="E402" s="929">
        <f>1-(D400/E400)</f>
        <v>0.53675799086757991</v>
      </c>
      <c r="F402" s="926"/>
      <c r="G402" s="909"/>
      <c r="H402" s="910"/>
      <c r="I402" s="910"/>
      <c r="J402" s="926"/>
      <c r="K402" s="896"/>
      <c r="L402" s="928"/>
      <c r="M402" s="928"/>
      <c r="N402" s="928"/>
      <c r="O402" s="928"/>
      <c r="P402" s="928"/>
      <c r="Q402" s="928"/>
    </row>
    <row r="403" spans="1:18" s="901" customFormat="1">
      <c r="A403" s="895">
        <f t="shared" si="137"/>
        <v>395</v>
      </c>
      <c r="B403" s="947"/>
      <c r="C403" s="947"/>
      <c r="D403" s="947"/>
      <c r="E403" s="947"/>
      <c r="F403" s="948"/>
      <c r="G403" s="948"/>
      <c r="H403" s="900"/>
      <c r="I403" s="949"/>
      <c r="J403" s="948"/>
      <c r="K403" s="908"/>
      <c r="L403" s="908"/>
      <c r="M403" s="908"/>
      <c r="N403" s="908"/>
      <c r="O403" s="908"/>
      <c r="P403" s="908"/>
      <c r="Q403" s="908"/>
    </row>
    <row r="404" spans="1:18" s="901" customFormat="1">
      <c r="A404" s="895">
        <f t="shared" si="137"/>
        <v>396</v>
      </c>
      <c r="B404" s="950"/>
      <c r="C404" s="947"/>
      <c r="D404" s="908"/>
      <c r="E404" s="947"/>
      <c r="F404" s="908"/>
      <c r="G404" s="948"/>
      <c r="H404" s="900"/>
      <c r="I404" s="949"/>
      <c r="J404" s="951"/>
      <c r="K404" s="908"/>
      <c r="L404" s="908"/>
      <c r="M404" s="908"/>
      <c r="N404" s="908"/>
      <c r="O404" s="908"/>
      <c r="P404" s="908"/>
      <c r="Q404" s="951"/>
    </row>
    <row r="405" spans="1:18" s="109" customFormat="1">
      <c r="A405" s="895">
        <f t="shared" si="137"/>
        <v>397</v>
      </c>
      <c r="B405" s="934" t="s">
        <v>1678</v>
      </c>
      <c r="C405" s="934"/>
      <c r="D405" s="934"/>
      <c r="E405" s="934"/>
      <c r="F405" s="934" t="str">
        <f>"(Line "&amp;A387&amp;", Col H)"</f>
        <v>(Line 379, Col H)</v>
      </c>
      <c r="G405" s="952"/>
      <c r="H405" s="934"/>
      <c r="I405" s="952"/>
      <c r="J405" s="913">
        <f>J387</f>
        <v>180439.5530587238</v>
      </c>
      <c r="K405" s="934"/>
      <c r="L405" s="934"/>
      <c r="M405" s="934"/>
      <c r="N405" s="934" t="str">
        <f>"(Line "&amp;A387&amp;", Col N)"</f>
        <v>(Line 379, Col N)</v>
      </c>
      <c r="O405" s="934"/>
      <c r="P405" s="934"/>
      <c r="Q405" s="913">
        <f>Q387</f>
        <v>0</v>
      </c>
    </row>
    <row r="406" spans="1:18" s="109" customFormat="1">
      <c r="A406" s="895">
        <f t="shared" si="137"/>
        <v>398</v>
      </c>
      <c r="B406" s="934" t="s">
        <v>1679</v>
      </c>
      <c r="C406" s="934"/>
      <c r="D406" s="934"/>
      <c r="E406" s="934"/>
      <c r="F406" s="934" t="str">
        <f>"(Line "&amp;A399&amp;", Col H)"</f>
        <v>(Line 391, Col H)</v>
      </c>
      <c r="G406" s="952"/>
      <c r="H406" s="934"/>
      <c r="I406" s="952"/>
      <c r="J406" s="913">
        <f>J399</f>
        <v>166111.95038988601</v>
      </c>
      <c r="K406" s="934"/>
      <c r="L406" s="953"/>
      <c r="M406" s="934"/>
      <c r="N406" s="934" t="str">
        <f>"(Line "&amp;A399&amp;", Col N)"</f>
        <v>(Line 391, Col N)</v>
      </c>
      <c r="O406" s="934"/>
      <c r="P406" s="934"/>
      <c r="Q406" s="913">
        <f>Q399</f>
        <v>16601.376971137266</v>
      </c>
    </row>
    <row r="407" spans="1:18" s="109" customFormat="1">
      <c r="A407" s="895">
        <f t="shared" si="137"/>
        <v>399</v>
      </c>
      <c r="B407" s="934" t="s">
        <v>1680</v>
      </c>
      <c r="C407" s="934"/>
      <c r="D407" s="934"/>
      <c r="E407" s="934"/>
      <c r="F407" s="934" t="str">
        <f>"(Average of Line "&amp;A405&amp;" &amp; Line "&amp;A406&amp;")"</f>
        <v>(Average of Line 397 &amp; Line 398)</v>
      </c>
      <c r="G407" s="952"/>
      <c r="H407" s="934"/>
      <c r="I407" s="954"/>
      <c r="J407" s="938">
        <f>(J405+J406)/2</f>
        <v>173275.75172430492</v>
      </c>
      <c r="K407" s="934"/>
      <c r="L407" s="955"/>
      <c r="M407" s="934"/>
      <c r="N407" s="934" t="str">
        <f>"(Average of Line "&amp;A405&amp;" &amp; Line "&amp;A406&amp;")"</f>
        <v>(Average of Line 397 &amp; Line 398)</v>
      </c>
      <c r="O407" s="934"/>
      <c r="P407" s="934"/>
      <c r="Q407" s="938">
        <f>(Q405+Q406)/2</f>
        <v>8300.688485568633</v>
      </c>
    </row>
    <row r="408" spans="1:18" s="109" customFormat="1" ht="13.5" customHeight="1">
      <c r="A408" s="895">
        <f t="shared" si="137"/>
        <v>400</v>
      </c>
      <c r="B408" s="934" t="s">
        <v>1681</v>
      </c>
      <c r="C408" s="934"/>
      <c r="D408" s="934"/>
      <c r="E408" s="934"/>
      <c r="F408" s="934" t="s">
        <v>1830</v>
      </c>
      <c r="G408" s="934"/>
      <c r="H408" s="934"/>
      <c r="I408" s="934"/>
      <c r="J408" s="956">
        <f>AVERAGE(J387, (SUM(H388:H399)+J387))</f>
        <v>164975.0632387363</v>
      </c>
      <c r="K408" s="934"/>
      <c r="L408" s="934"/>
      <c r="M408" s="934"/>
      <c r="N408" s="934" t="s">
        <v>1830</v>
      </c>
      <c r="O408" s="934"/>
      <c r="P408" s="934"/>
      <c r="Q408" s="956">
        <f>AVERAGE(Q387, (SUM(L388:L399)+Q387))</f>
        <v>0</v>
      </c>
    </row>
    <row r="409" spans="1:18" s="109" customFormat="1" ht="13.5" customHeight="1">
      <c r="A409" s="895">
        <f t="shared" si="137"/>
        <v>401</v>
      </c>
      <c r="B409" s="934" t="s">
        <v>1682</v>
      </c>
      <c r="C409" s="934"/>
      <c r="D409" s="934"/>
      <c r="E409" s="934"/>
      <c r="F409" s="934"/>
      <c r="G409" s="934"/>
      <c r="H409" s="934"/>
      <c r="I409" s="934"/>
      <c r="J409" s="953">
        <f>J407-J408</f>
        <v>8300.6884855686221</v>
      </c>
      <c r="K409" s="934"/>
      <c r="L409" s="934"/>
      <c r="M409" s="934"/>
      <c r="N409" s="934"/>
      <c r="O409" s="934"/>
      <c r="P409" s="934"/>
      <c r="Q409" s="953">
        <v>0</v>
      </c>
    </row>
    <row r="410" spans="1:18" s="901" customFormat="1">
      <c r="A410" s="895">
        <f t="shared" si="137"/>
        <v>402</v>
      </c>
      <c r="B410" s="957"/>
      <c r="C410" s="957"/>
      <c r="D410" s="957"/>
      <c r="E410" s="957"/>
      <c r="F410" s="957"/>
      <c r="G410" s="957"/>
      <c r="H410" s="957"/>
      <c r="I410" s="957"/>
      <c r="J410" s="957"/>
      <c r="K410" s="908"/>
      <c r="L410" s="908"/>
      <c r="M410" s="908"/>
      <c r="N410" s="908"/>
      <c r="O410" s="908"/>
      <c r="P410" s="908"/>
      <c r="Q410" s="957"/>
    </row>
    <row r="411" spans="1:18" s="901" customFormat="1">
      <c r="A411" s="895">
        <f t="shared" si="137"/>
        <v>403</v>
      </c>
      <c r="B411" s="908"/>
      <c r="C411" s="908"/>
      <c r="D411" s="908"/>
      <c r="E411" s="908"/>
      <c r="F411" s="908"/>
      <c r="G411" s="908"/>
      <c r="H411" s="908"/>
      <c r="I411" s="908"/>
      <c r="J411" s="908"/>
      <c r="K411" s="908"/>
      <c r="L411" s="908"/>
      <c r="M411" s="908"/>
      <c r="N411" s="908"/>
      <c r="O411" s="908"/>
      <c r="P411" s="908"/>
      <c r="Q411" s="908"/>
    </row>
    <row r="412" spans="1:18">
      <c r="A412" s="895">
        <f t="shared" si="137"/>
        <v>404</v>
      </c>
      <c r="B412" s="1252" t="s">
        <v>1686</v>
      </c>
      <c r="C412" s="1252"/>
      <c r="D412" s="1252"/>
      <c r="E412" s="1252"/>
      <c r="F412" s="896"/>
      <c r="G412" s="896"/>
      <c r="H412" s="942"/>
      <c r="I412" s="942"/>
      <c r="J412" s="942"/>
      <c r="K412" s="896"/>
      <c r="L412" s="943"/>
      <c r="M412" s="944"/>
      <c r="N412" s="944"/>
      <c r="O412" s="944"/>
      <c r="P412" s="944"/>
      <c r="Q412" s="944"/>
      <c r="R412" s="901"/>
    </row>
    <row r="413" spans="1:18">
      <c r="A413" s="895">
        <f t="shared" si="137"/>
        <v>405</v>
      </c>
      <c r="B413" s="1253" t="s">
        <v>1795</v>
      </c>
      <c r="C413" s="1253"/>
      <c r="D413" s="1253"/>
      <c r="E413" s="1253"/>
      <c r="F413" s="896"/>
      <c r="G413" s="896"/>
      <c r="H413" s="942"/>
      <c r="I413" s="942"/>
      <c r="J413" s="942"/>
      <c r="K413" s="896"/>
      <c r="L413" s="943"/>
      <c r="M413" s="944"/>
      <c r="N413" s="944"/>
      <c r="O413" s="944"/>
      <c r="P413" s="944"/>
      <c r="Q413" s="944"/>
      <c r="R413" s="901"/>
    </row>
    <row r="414" spans="1:18">
      <c r="A414" s="895">
        <f t="shared" si="137"/>
        <v>406</v>
      </c>
      <c r="B414" s="1254" t="s">
        <v>1661</v>
      </c>
      <c r="C414" s="1255"/>
      <c r="D414" s="1255"/>
      <c r="E414" s="1255"/>
      <c r="F414" s="1256"/>
      <c r="G414" s="902"/>
      <c r="H414" s="1257" t="s">
        <v>1662</v>
      </c>
      <c r="I414" s="1258"/>
      <c r="J414" s="1259"/>
      <c r="K414" s="896"/>
      <c r="L414" s="1257" t="s">
        <v>1663</v>
      </c>
      <c r="M414" s="1258"/>
      <c r="N414" s="1258"/>
      <c r="O414" s="1258"/>
      <c r="P414" s="1258"/>
      <c r="Q414" s="1258"/>
    </row>
    <row r="415" spans="1:18">
      <c r="A415" s="895">
        <f t="shared" si="137"/>
        <v>407</v>
      </c>
      <c r="B415" s="903" t="s">
        <v>830</v>
      </c>
      <c r="C415" s="903" t="s">
        <v>831</v>
      </c>
      <c r="D415" s="903" t="s">
        <v>832</v>
      </c>
      <c r="E415" s="903" t="s">
        <v>833</v>
      </c>
      <c r="F415" s="903" t="s">
        <v>834</v>
      </c>
      <c r="G415" s="902"/>
      <c r="H415" s="903" t="s">
        <v>835</v>
      </c>
      <c r="I415" s="903" t="s">
        <v>836</v>
      </c>
      <c r="J415" s="903" t="s">
        <v>837</v>
      </c>
      <c r="K415" s="896"/>
      <c r="L415" s="903" t="s">
        <v>838</v>
      </c>
      <c r="M415" s="903" t="s">
        <v>839</v>
      </c>
      <c r="N415" s="903" t="s">
        <v>840</v>
      </c>
      <c r="O415" s="903" t="s">
        <v>841</v>
      </c>
      <c r="P415" s="903" t="s">
        <v>843</v>
      </c>
      <c r="Q415" s="903" t="s">
        <v>842</v>
      </c>
    </row>
    <row r="416" spans="1:18" ht="45">
      <c r="A416" s="895">
        <f t="shared" si="137"/>
        <v>408</v>
      </c>
      <c r="B416" s="905" t="s">
        <v>1352</v>
      </c>
      <c r="C416" s="905" t="s">
        <v>1587</v>
      </c>
      <c r="D416" s="905" t="s">
        <v>1664</v>
      </c>
      <c r="E416" s="905" t="s">
        <v>1665</v>
      </c>
      <c r="F416" s="905" t="s">
        <v>1666</v>
      </c>
      <c r="G416" s="906"/>
      <c r="H416" s="905" t="s">
        <v>1667</v>
      </c>
      <c r="I416" s="905" t="s">
        <v>1668</v>
      </c>
      <c r="J416" s="905" t="s">
        <v>1669</v>
      </c>
      <c r="K416" s="896"/>
      <c r="L416" s="905" t="s">
        <v>1670</v>
      </c>
      <c r="M416" s="905" t="s">
        <v>1671</v>
      </c>
      <c r="N416" s="905" t="s">
        <v>1672</v>
      </c>
      <c r="O416" s="905" t="s">
        <v>1673</v>
      </c>
      <c r="P416" s="905" t="s">
        <v>1674</v>
      </c>
      <c r="Q416" s="905" t="s">
        <v>1675</v>
      </c>
    </row>
    <row r="417" spans="1:17">
      <c r="A417" s="895">
        <f t="shared" si="137"/>
        <v>409</v>
      </c>
      <c r="B417" s="896"/>
      <c r="C417" s="906"/>
      <c r="D417" s="906"/>
      <c r="E417" s="906"/>
      <c r="F417" s="906"/>
      <c r="G417" s="906"/>
      <c r="H417" s="906"/>
      <c r="I417" s="906"/>
      <c r="J417" s="906"/>
      <c r="K417" s="896"/>
      <c r="L417" s="896"/>
      <c r="M417" s="896"/>
      <c r="N417" s="896"/>
      <c r="O417" s="896"/>
      <c r="P417" s="896"/>
      <c r="Q417" s="896"/>
    </row>
    <row r="418" spans="1:17">
      <c r="A418" s="895">
        <f t="shared" si="137"/>
        <v>410</v>
      </c>
      <c r="B418" s="1260" t="s">
        <v>1676</v>
      </c>
      <c r="C418" s="1260"/>
      <c r="D418" s="1260"/>
      <c r="E418" s="1260"/>
      <c r="F418" s="909"/>
      <c r="G418" s="909"/>
      <c r="H418" s="910"/>
      <c r="I418" s="910"/>
      <c r="J418" s="911">
        <f>+'WP_B-Inputs Est.'!H107</f>
        <v>2000460.1877856085</v>
      </c>
      <c r="K418" s="912"/>
      <c r="L418" s="910"/>
      <c r="M418" s="913"/>
      <c r="N418" s="913"/>
      <c r="O418" s="913"/>
      <c r="P418" s="913"/>
      <c r="Q418" s="911">
        <f>'WP_B-Inputs Act.'!F138</f>
        <v>0</v>
      </c>
    </row>
    <row r="419" spans="1:17">
      <c r="A419" s="895">
        <f t="shared" si="137"/>
        <v>411</v>
      </c>
      <c r="B419" s="914" t="s">
        <v>956</v>
      </c>
      <c r="C419" s="910">
        <v>31</v>
      </c>
      <c r="D419" s="915">
        <f t="shared" ref="D419:D427" si="161">D420+C420</f>
        <v>335</v>
      </c>
      <c r="E419" s="915">
        <f>SUM(C419:C430)</f>
        <v>365</v>
      </c>
      <c r="F419" s="916">
        <f>D419/E419</f>
        <v>0.9178082191780822</v>
      </c>
      <c r="G419" s="909"/>
      <c r="H419" s="917">
        <f>+('WP_B-Inputs Est.'!H108-'WP_B-Inputs Est.'!H107)/12</f>
        <v>335844.1716042718</v>
      </c>
      <c r="I419" s="910">
        <f>+H419*F419</f>
        <v>308240.54106145492</v>
      </c>
      <c r="J419" s="910">
        <f t="shared" ref="J419:J430" si="162">+I419+J418</f>
        <v>2308700.7288470631</v>
      </c>
      <c r="K419" s="896"/>
      <c r="L419" s="917">
        <f>('WP_B-Inputs Act.'!F139-'WP_B-Inputs Act.'!F138)/12</f>
        <v>0</v>
      </c>
      <c r="M419" s="913">
        <f>L419-H419</f>
        <v>-335844.1716042718</v>
      </c>
      <c r="N419" s="913">
        <f>IF(M419&gt;=0,+M419,0)</f>
        <v>0</v>
      </c>
      <c r="O419" s="913">
        <f>IF(N419&gt;0,0,IF(L419&lt;0,0,(-(M419)*(D419/E419))))</f>
        <v>308240.54106145492</v>
      </c>
      <c r="P419" s="913">
        <f>IF(N419&gt;0,0,IF(L419&gt;0,0,(-(M419)*(D419/E419))))</f>
        <v>308240.54106145492</v>
      </c>
      <c r="Q419" s="913">
        <f>IF(L419&lt;0,Q418+P419,Q418+I419+N419-O419)</f>
        <v>0</v>
      </c>
    </row>
    <row r="420" spans="1:17">
      <c r="A420" s="895">
        <f t="shared" si="137"/>
        <v>412</v>
      </c>
      <c r="B420" s="914" t="s">
        <v>904</v>
      </c>
      <c r="C420" s="917">
        <f>$C$17</f>
        <v>28</v>
      </c>
      <c r="D420" s="915">
        <f t="shared" si="161"/>
        <v>307</v>
      </c>
      <c r="E420" s="915">
        <f>E419</f>
        <v>365</v>
      </c>
      <c r="F420" s="916">
        <f t="shared" ref="F420:F430" si="163">D420/E420</f>
        <v>0.84109589041095889</v>
      </c>
      <c r="G420" s="909"/>
      <c r="H420" s="917">
        <f>$H$419</f>
        <v>335844.1716042718</v>
      </c>
      <c r="I420" s="910">
        <f t="shared" ref="I420:I430" si="164">+H420*F420</f>
        <v>282477.15255482588</v>
      </c>
      <c r="J420" s="910">
        <f t="shared" si="162"/>
        <v>2591177.881401889</v>
      </c>
      <c r="K420" s="896"/>
      <c r="L420" s="917">
        <f>$L$388</f>
        <v>0</v>
      </c>
      <c r="M420" s="913">
        <f t="shared" ref="M420:M430" si="165">L420-H420</f>
        <v>-335844.1716042718</v>
      </c>
      <c r="N420" s="913">
        <f t="shared" ref="N420:N430" si="166">IF(M420&gt;=0,+M420,0)</f>
        <v>0</v>
      </c>
      <c r="O420" s="913">
        <f t="shared" ref="O420:O430" si="167">IF(N420&gt;0,0,IF(L420&lt;0,0,(-(M420)*(D420/E420))))</f>
        <v>282477.15255482588</v>
      </c>
      <c r="P420" s="913">
        <f t="shared" ref="P420:P430" si="168">IF(N420&gt;0,0,IF(L420&gt;0,0,(-(M420)*(D420/E420))))</f>
        <v>282477.15255482588</v>
      </c>
      <c r="Q420" s="913">
        <f t="shared" ref="Q420:Q430" si="169">IF(L420&lt;0,Q419+P420,Q419+I420+N420-O420)</f>
        <v>0</v>
      </c>
    </row>
    <row r="421" spans="1:17">
      <c r="A421" s="895">
        <f t="shared" si="137"/>
        <v>413</v>
      </c>
      <c r="B421" s="914" t="s">
        <v>905</v>
      </c>
      <c r="C421" s="910">
        <v>31</v>
      </c>
      <c r="D421" s="915">
        <f t="shared" si="161"/>
        <v>276</v>
      </c>
      <c r="E421" s="915">
        <f t="shared" ref="E421:E430" si="170">E420</f>
        <v>365</v>
      </c>
      <c r="F421" s="916">
        <f t="shared" si="163"/>
        <v>0.75616438356164384</v>
      </c>
      <c r="G421" s="909"/>
      <c r="H421" s="917">
        <f t="shared" ref="H421:H430" si="171">$H$419</f>
        <v>335844.1716042718</v>
      </c>
      <c r="I421" s="910">
        <f t="shared" si="164"/>
        <v>253953.40099391513</v>
      </c>
      <c r="J421" s="910">
        <f t="shared" si="162"/>
        <v>2845131.2823958043</v>
      </c>
      <c r="K421" s="896"/>
      <c r="L421" s="917">
        <f t="shared" ref="L421:L430" si="172">$L$388</f>
        <v>0</v>
      </c>
      <c r="M421" s="913">
        <f t="shared" si="165"/>
        <v>-335844.1716042718</v>
      </c>
      <c r="N421" s="913">
        <f t="shared" si="166"/>
        <v>0</v>
      </c>
      <c r="O421" s="913">
        <f t="shared" si="167"/>
        <v>253953.40099391513</v>
      </c>
      <c r="P421" s="913">
        <f t="shared" si="168"/>
        <v>253953.40099391513</v>
      </c>
      <c r="Q421" s="913">
        <f t="shared" si="169"/>
        <v>0</v>
      </c>
    </row>
    <row r="422" spans="1:17">
      <c r="A422" s="895">
        <f t="shared" si="137"/>
        <v>414</v>
      </c>
      <c r="B422" s="914" t="s">
        <v>906</v>
      </c>
      <c r="C422" s="910">
        <v>30</v>
      </c>
      <c r="D422" s="915">
        <f t="shared" si="161"/>
        <v>246</v>
      </c>
      <c r="E422" s="915">
        <f t="shared" si="170"/>
        <v>365</v>
      </c>
      <c r="F422" s="916">
        <f t="shared" si="163"/>
        <v>0.67397260273972603</v>
      </c>
      <c r="G422" s="909"/>
      <c r="H422" s="917">
        <f t="shared" si="171"/>
        <v>335844.1716042718</v>
      </c>
      <c r="I422" s="910">
        <f t="shared" si="164"/>
        <v>226349.77045109827</v>
      </c>
      <c r="J422" s="910">
        <f t="shared" si="162"/>
        <v>3071481.0528469025</v>
      </c>
      <c r="K422" s="896"/>
      <c r="L422" s="917">
        <f t="shared" si="172"/>
        <v>0</v>
      </c>
      <c r="M422" s="913">
        <f t="shared" si="165"/>
        <v>-335844.1716042718</v>
      </c>
      <c r="N422" s="913">
        <f t="shared" si="166"/>
        <v>0</v>
      </c>
      <c r="O422" s="913">
        <f t="shared" si="167"/>
        <v>226349.77045109827</v>
      </c>
      <c r="P422" s="913">
        <f t="shared" si="168"/>
        <v>226349.77045109827</v>
      </c>
      <c r="Q422" s="913">
        <f t="shared" si="169"/>
        <v>0</v>
      </c>
    </row>
    <row r="423" spans="1:17">
      <c r="A423" s="895">
        <f t="shared" si="137"/>
        <v>415</v>
      </c>
      <c r="B423" s="914" t="s">
        <v>907</v>
      </c>
      <c r="C423" s="910">
        <v>31</v>
      </c>
      <c r="D423" s="915">
        <f t="shared" si="161"/>
        <v>215</v>
      </c>
      <c r="E423" s="915">
        <f t="shared" si="170"/>
        <v>365</v>
      </c>
      <c r="F423" s="916">
        <f t="shared" si="163"/>
        <v>0.58904109589041098</v>
      </c>
      <c r="G423" s="909"/>
      <c r="H423" s="917">
        <f t="shared" si="171"/>
        <v>335844.1716042718</v>
      </c>
      <c r="I423" s="910">
        <f t="shared" si="164"/>
        <v>197826.01889018752</v>
      </c>
      <c r="J423" s="910">
        <f t="shared" si="162"/>
        <v>3269307.0717370901</v>
      </c>
      <c r="K423" s="896"/>
      <c r="L423" s="917">
        <f t="shared" si="172"/>
        <v>0</v>
      </c>
      <c r="M423" s="913">
        <f t="shared" si="165"/>
        <v>-335844.1716042718</v>
      </c>
      <c r="N423" s="913">
        <f t="shared" si="166"/>
        <v>0</v>
      </c>
      <c r="O423" s="913">
        <f t="shared" si="167"/>
        <v>197826.01889018752</v>
      </c>
      <c r="P423" s="913">
        <f t="shared" si="168"/>
        <v>197826.01889018752</v>
      </c>
      <c r="Q423" s="913">
        <f t="shared" si="169"/>
        <v>0</v>
      </c>
    </row>
    <row r="424" spans="1:17">
      <c r="A424" s="895">
        <f t="shared" si="137"/>
        <v>416</v>
      </c>
      <c r="B424" s="914" t="s">
        <v>908</v>
      </c>
      <c r="C424" s="910">
        <v>30</v>
      </c>
      <c r="D424" s="915">
        <f t="shared" si="161"/>
        <v>185</v>
      </c>
      <c r="E424" s="915">
        <f t="shared" si="170"/>
        <v>365</v>
      </c>
      <c r="F424" s="916">
        <f t="shared" si="163"/>
        <v>0.50684931506849318</v>
      </c>
      <c r="G424" s="909"/>
      <c r="H424" s="917">
        <f t="shared" si="171"/>
        <v>335844.1716042718</v>
      </c>
      <c r="I424" s="910">
        <f t="shared" si="164"/>
        <v>170222.38834737064</v>
      </c>
      <c r="J424" s="910">
        <f t="shared" si="162"/>
        <v>3439529.4600844607</v>
      </c>
      <c r="K424" s="896"/>
      <c r="L424" s="917">
        <f t="shared" si="172"/>
        <v>0</v>
      </c>
      <c r="M424" s="913">
        <f t="shared" si="165"/>
        <v>-335844.1716042718</v>
      </c>
      <c r="N424" s="913">
        <f t="shared" si="166"/>
        <v>0</v>
      </c>
      <c r="O424" s="913">
        <f t="shared" si="167"/>
        <v>170222.38834737064</v>
      </c>
      <c r="P424" s="913">
        <f t="shared" si="168"/>
        <v>170222.38834737064</v>
      </c>
      <c r="Q424" s="913">
        <f t="shared" si="169"/>
        <v>0</v>
      </c>
    </row>
    <row r="425" spans="1:17">
      <c r="A425" s="895">
        <f t="shared" si="137"/>
        <v>417</v>
      </c>
      <c r="B425" s="914" t="s">
        <v>909</v>
      </c>
      <c r="C425" s="910">
        <v>31</v>
      </c>
      <c r="D425" s="915">
        <f t="shared" si="161"/>
        <v>154</v>
      </c>
      <c r="E425" s="915">
        <f t="shared" si="170"/>
        <v>365</v>
      </c>
      <c r="F425" s="916">
        <f t="shared" si="163"/>
        <v>0.42191780821917807</v>
      </c>
      <c r="G425" s="909"/>
      <c r="H425" s="917">
        <f t="shared" si="171"/>
        <v>335844.1716042718</v>
      </c>
      <c r="I425" s="910">
        <f t="shared" si="164"/>
        <v>141698.63678645989</v>
      </c>
      <c r="J425" s="910">
        <f t="shared" si="162"/>
        <v>3581228.0968709206</v>
      </c>
      <c r="K425" s="896"/>
      <c r="L425" s="917">
        <f t="shared" si="172"/>
        <v>0</v>
      </c>
      <c r="M425" s="913">
        <f t="shared" si="165"/>
        <v>-335844.1716042718</v>
      </c>
      <c r="N425" s="913">
        <f t="shared" si="166"/>
        <v>0</v>
      </c>
      <c r="O425" s="913">
        <f t="shared" si="167"/>
        <v>141698.63678645989</v>
      </c>
      <c r="P425" s="913">
        <f t="shared" si="168"/>
        <v>141698.63678645989</v>
      </c>
      <c r="Q425" s="913">
        <f t="shared" si="169"/>
        <v>0</v>
      </c>
    </row>
    <row r="426" spans="1:17">
      <c r="A426" s="895">
        <f t="shared" si="137"/>
        <v>418</v>
      </c>
      <c r="B426" s="914" t="s">
        <v>910</v>
      </c>
      <c r="C426" s="910">
        <v>31</v>
      </c>
      <c r="D426" s="915">
        <f t="shared" si="161"/>
        <v>123</v>
      </c>
      <c r="E426" s="915">
        <f t="shared" si="170"/>
        <v>365</v>
      </c>
      <c r="F426" s="916">
        <f t="shared" si="163"/>
        <v>0.33698630136986302</v>
      </c>
      <c r="G426" s="909"/>
      <c r="H426" s="917">
        <f t="shared" si="171"/>
        <v>335844.1716042718</v>
      </c>
      <c r="I426" s="910">
        <f t="shared" si="164"/>
        <v>113174.88522554914</v>
      </c>
      <c r="J426" s="910">
        <f t="shared" si="162"/>
        <v>3694402.98209647</v>
      </c>
      <c r="K426" s="896"/>
      <c r="L426" s="917">
        <f t="shared" si="172"/>
        <v>0</v>
      </c>
      <c r="M426" s="913">
        <f t="shared" si="165"/>
        <v>-335844.1716042718</v>
      </c>
      <c r="N426" s="913">
        <f t="shared" si="166"/>
        <v>0</v>
      </c>
      <c r="O426" s="913">
        <f t="shared" si="167"/>
        <v>113174.88522554914</v>
      </c>
      <c r="P426" s="913">
        <f t="shared" si="168"/>
        <v>113174.88522554914</v>
      </c>
      <c r="Q426" s="913">
        <f t="shared" si="169"/>
        <v>0</v>
      </c>
    </row>
    <row r="427" spans="1:17">
      <c r="A427" s="895">
        <f t="shared" si="137"/>
        <v>419</v>
      </c>
      <c r="B427" s="914" t="s">
        <v>911</v>
      </c>
      <c r="C427" s="910">
        <v>30</v>
      </c>
      <c r="D427" s="915">
        <f t="shared" si="161"/>
        <v>93</v>
      </c>
      <c r="E427" s="915">
        <f t="shared" si="170"/>
        <v>365</v>
      </c>
      <c r="F427" s="916">
        <f t="shared" si="163"/>
        <v>0.25479452054794521</v>
      </c>
      <c r="G427" s="909"/>
      <c r="H427" s="917">
        <f t="shared" si="171"/>
        <v>335844.1716042718</v>
      </c>
      <c r="I427" s="910">
        <f t="shared" si="164"/>
        <v>85571.254682732266</v>
      </c>
      <c r="J427" s="910">
        <f t="shared" si="162"/>
        <v>3779974.2367792022</v>
      </c>
      <c r="K427" s="896"/>
      <c r="L427" s="917">
        <f t="shared" si="172"/>
        <v>0</v>
      </c>
      <c r="M427" s="913">
        <f t="shared" si="165"/>
        <v>-335844.1716042718</v>
      </c>
      <c r="N427" s="913">
        <f t="shared" si="166"/>
        <v>0</v>
      </c>
      <c r="O427" s="913">
        <f t="shared" si="167"/>
        <v>85571.254682732266</v>
      </c>
      <c r="P427" s="913">
        <f t="shared" si="168"/>
        <v>85571.254682732266</v>
      </c>
      <c r="Q427" s="913">
        <f t="shared" si="169"/>
        <v>0</v>
      </c>
    </row>
    <row r="428" spans="1:17">
      <c r="A428" s="895">
        <f t="shared" si="137"/>
        <v>420</v>
      </c>
      <c r="B428" s="914" t="s">
        <v>912</v>
      </c>
      <c r="C428" s="910">
        <v>31</v>
      </c>
      <c r="D428" s="915">
        <f>D429+C429</f>
        <v>62</v>
      </c>
      <c r="E428" s="915">
        <f t="shared" si="170"/>
        <v>365</v>
      </c>
      <c r="F428" s="916">
        <f t="shared" si="163"/>
        <v>0.16986301369863013</v>
      </c>
      <c r="G428" s="909"/>
      <c r="H428" s="917">
        <f t="shared" si="171"/>
        <v>335844.1716042718</v>
      </c>
      <c r="I428" s="910">
        <f t="shared" si="164"/>
        <v>57047.503121821508</v>
      </c>
      <c r="J428" s="910">
        <f t="shared" si="162"/>
        <v>3837021.7399010239</v>
      </c>
      <c r="K428" s="896"/>
      <c r="L428" s="917">
        <f t="shared" si="172"/>
        <v>0</v>
      </c>
      <c r="M428" s="913">
        <f t="shared" si="165"/>
        <v>-335844.1716042718</v>
      </c>
      <c r="N428" s="913">
        <f t="shared" si="166"/>
        <v>0</v>
      </c>
      <c r="O428" s="913">
        <f t="shared" si="167"/>
        <v>57047.503121821508</v>
      </c>
      <c r="P428" s="913">
        <f t="shared" si="168"/>
        <v>57047.503121821508</v>
      </c>
      <c r="Q428" s="913">
        <f t="shared" si="169"/>
        <v>0</v>
      </c>
    </row>
    <row r="429" spans="1:17">
      <c r="A429" s="895">
        <f t="shared" si="137"/>
        <v>421</v>
      </c>
      <c r="B429" s="914" t="s">
        <v>913</v>
      </c>
      <c r="C429" s="910">
        <v>30</v>
      </c>
      <c r="D429" s="915">
        <f>D430+C430</f>
        <v>32</v>
      </c>
      <c r="E429" s="915">
        <f t="shared" si="170"/>
        <v>365</v>
      </c>
      <c r="F429" s="916">
        <f t="shared" si="163"/>
        <v>8.7671232876712329E-2</v>
      </c>
      <c r="G429" s="909"/>
      <c r="H429" s="917">
        <f t="shared" si="171"/>
        <v>335844.1716042718</v>
      </c>
      <c r="I429" s="910">
        <f t="shared" si="164"/>
        <v>29443.872579004652</v>
      </c>
      <c r="J429" s="910">
        <f t="shared" si="162"/>
        <v>3866465.6124800285</v>
      </c>
      <c r="K429" s="896"/>
      <c r="L429" s="917">
        <f t="shared" si="172"/>
        <v>0</v>
      </c>
      <c r="M429" s="913">
        <f t="shared" si="165"/>
        <v>-335844.1716042718</v>
      </c>
      <c r="N429" s="913">
        <f t="shared" si="166"/>
        <v>0</v>
      </c>
      <c r="O429" s="913">
        <f t="shared" si="167"/>
        <v>29443.872579004652</v>
      </c>
      <c r="P429" s="913">
        <f t="shared" si="168"/>
        <v>29443.872579004652</v>
      </c>
      <c r="Q429" s="913">
        <f t="shared" si="169"/>
        <v>0</v>
      </c>
    </row>
    <row r="430" spans="1:17">
      <c r="A430" s="895">
        <f t="shared" si="137"/>
        <v>422</v>
      </c>
      <c r="B430" s="914" t="s">
        <v>914</v>
      </c>
      <c r="C430" s="910">
        <v>31</v>
      </c>
      <c r="D430" s="915">
        <v>1</v>
      </c>
      <c r="E430" s="915">
        <f t="shared" si="170"/>
        <v>365</v>
      </c>
      <c r="F430" s="916">
        <f t="shared" si="163"/>
        <v>2.7397260273972603E-3</v>
      </c>
      <c r="G430" s="909"/>
      <c r="H430" s="917">
        <f t="shared" si="171"/>
        <v>335844.1716042718</v>
      </c>
      <c r="I430" s="910">
        <f t="shared" si="164"/>
        <v>920.12101809389537</v>
      </c>
      <c r="J430" s="910">
        <f t="shared" si="162"/>
        <v>3867385.7334981225</v>
      </c>
      <c r="K430" s="896"/>
      <c r="L430" s="917">
        <f t="shared" si="172"/>
        <v>0</v>
      </c>
      <c r="M430" s="913">
        <f t="shared" si="165"/>
        <v>-335844.1716042718</v>
      </c>
      <c r="N430" s="913">
        <f t="shared" si="166"/>
        <v>0</v>
      </c>
      <c r="O430" s="913">
        <f t="shared" si="167"/>
        <v>920.12101809389537</v>
      </c>
      <c r="P430" s="913">
        <f t="shared" si="168"/>
        <v>920.12101809389537</v>
      </c>
      <c r="Q430" s="913">
        <f t="shared" si="169"/>
        <v>0</v>
      </c>
    </row>
    <row r="431" spans="1:17">
      <c r="A431" s="895">
        <f t="shared" si="137"/>
        <v>423</v>
      </c>
      <c r="B431" s="918"/>
      <c r="C431" s="918" t="s">
        <v>795</v>
      </c>
      <c r="D431" s="919">
        <f>+SUM(D419:D430)</f>
        <v>2029</v>
      </c>
      <c r="E431" s="919">
        <f>+SUM(E419:E430)</f>
        <v>4380</v>
      </c>
      <c r="F431" s="920"/>
      <c r="G431" s="909"/>
      <c r="H431" s="921">
        <f>SUM(H419:H430)</f>
        <v>4030130.0592512623</v>
      </c>
      <c r="I431" s="921">
        <f>SUM(I419:I430)</f>
        <v>1866925.5457125138</v>
      </c>
      <c r="J431" s="920"/>
      <c r="K431" s="896"/>
      <c r="L431" s="922">
        <f>SUM(L419:L430)</f>
        <v>0</v>
      </c>
      <c r="M431" s="922">
        <f>SUM(M419:M430)</f>
        <v>-4030130.0592512623</v>
      </c>
      <c r="N431" s="922">
        <f>SUM(N419:N430)</f>
        <v>0</v>
      </c>
      <c r="O431" s="922">
        <f>SUM(O419:O430)</f>
        <v>1866925.5457125138</v>
      </c>
      <c r="P431" s="922">
        <f>SUM(P419:P430)</f>
        <v>1866925.5457125138</v>
      </c>
      <c r="Q431" s="922"/>
    </row>
    <row r="432" spans="1:17">
      <c r="A432" s="895">
        <f t="shared" si="137"/>
        <v>424</v>
      </c>
      <c r="B432" s="924"/>
      <c r="C432" s="924"/>
      <c r="D432" s="925"/>
      <c r="E432" s="925"/>
      <c r="F432" s="926"/>
      <c r="G432" s="909"/>
      <c r="H432" s="910"/>
      <c r="I432" s="910"/>
      <c r="J432" s="926"/>
      <c r="K432" s="896"/>
      <c r="L432" s="928"/>
      <c r="M432" s="928"/>
      <c r="N432" s="928"/>
      <c r="O432" s="928"/>
      <c r="P432" s="928"/>
      <c r="Q432" s="928"/>
    </row>
    <row r="433" spans="1:18">
      <c r="A433" s="895">
        <f t="shared" si="137"/>
        <v>425</v>
      </c>
      <c r="B433" s="896" t="s">
        <v>1677</v>
      </c>
      <c r="C433" s="924"/>
      <c r="D433" s="925"/>
      <c r="E433" s="929">
        <f>1-(D431/E431)</f>
        <v>0.53675799086757991</v>
      </c>
      <c r="F433" s="926"/>
      <c r="G433" s="909"/>
      <c r="H433" s="910"/>
      <c r="I433" s="910"/>
      <c r="J433" s="926"/>
      <c r="K433" s="896"/>
      <c r="L433" s="928"/>
      <c r="M433" s="928"/>
      <c r="N433" s="928"/>
      <c r="O433" s="928"/>
      <c r="P433" s="928"/>
      <c r="Q433" s="928"/>
    </row>
    <row r="434" spans="1:18" s="901" customFormat="1">
      <c r="A434" s="895">
        <f t="shared" si="137"/>
        <v>426</v>
      </c>
      <c r="B434" s="947"/>
      <c r="C434" s="947"/>
      <c r="D434" s="947"/>
      <c r="E434" s="947"/>
      <c r="F434" s="948"/>
      <c r="G434" s="948"/>
      <c r="H434" s="900"/>
      <c r="I434" s="949"/>
      <c r="J434" s="948"/>
      <c r="K434" s="908"/>
      <c r="L434" s="908"/>
      <c r="M434" s="908"/>
      <c r="N434" s="908"/>
      <c r="O434" s="908"/>
      <c r="P434" s="908"/>
      <c r="Q434" s="908"/>
    </row>
    <row r="435" spans="1:18" s="901" customFormat="1">
      <c r="A435" s="895">
        <f t="shared" si="137"/>
        <v>427</v>
      </c>
      <c r="B435" s="950"/>
      <c r="C435" s="947"/>
      <c r="D435" s="908"/>
      <c r="E435" s="947"/>
      <c r="F435" s="908"/>
      <c r="G435" s="948"/>
      <c r="H435" s="900"/>
      <c r="I435" s="949"/>
      <c r="J435" s="951"/>
      <c r="K435" s="908"/>
      <c r="L435" s="908"/>
      <c r="M435" s="908"/>
      <c r="N435" s="908"/>
      <c r="O435" s="908"/>
      <c r="P435" s="908"/>
      <c r="Q435" s="951"/>
    </row>
    <row r="436" spans="1:18" s="109" customFormat="1">
      <c r="A436" s="895">
        <f t="shared" si="137"/>
        <v>428</v>
      </c>
      <c r="B436" s="934" t="s">
        <v>1678</v>
      </c>
      <c r="C436" s="934"/>
      <c r="D436" s="934"/>
      <c r="E436" s="934"/>
      <c r="F436" s="934" t="str">
        <f>"(Line "&amp;A418&amp;", Col H)"</f>
        <v>(Line 410, Col H)</v>
      </c>
      <c r="G436" s="952"/>
      <c r="H436" s="934"/>
      <c r="I436" s="952"/>
      <c r="J436" s="913">
        <f>J418</f>
        <v>2000460.1877856085</v>
      </c>
      <c r="K436" s="934"/>
      <c r="L436" s="934"/>
      <c r="M436" s="934"/>
      <c r="N436" s="934" t="str">
        <f>"(Line "&amp;A418&amp;", Col N)"</f>
        <v>(Line 410, Col N)</v>
      </c>
      <c r="O436" s="934"/>
      <c r="P436" s="934"/>
      <c r="Q436" s="913">
        <f>Q418</f>
        <v>0</v>
      </c>
    </row>
    <row r="437" spans="1:18" s="109" customFormat="1">
      <c r="A437" s="895">
        <f t="shared" si="137"/>
        <v>429</v>
      </c>
      <c r="B437" s="934" t="s">
        <v>1679</v>
      </c>
      <c r="C437" s="934"/>
      <c r="D437" s="934"/>
      <c r="E437" s="934"/>
      <c r="F437" s="934" t="str">
        <f>"(Line "&amp;A430&amp;", Col H)"</f>
        <v>(Line 422, Col H)</v>
      </c>
      <c r="G437" s="952"/>
      <c r="H437" s="934"/>
      <c r="I437" s="952"/>
      <c r="J437" s="913">
        <f>J430</f>
        <v>3867385.7334981225</v>
      </c>
      <c r="K437" s="934"/>
      <c r="L437" s="953"/>
      <c r="M437" s="934"/>
      <c r="N437" s="934" t="str">
        <f>"(Line "&amp;A430&amp;", Col N)"</f>
        <v>(Line 422, Col N)</v>
      </c>
      <c r="O437" s="934"/>
      <c r="P437" s="934"/>
      <c r="Q437" s="913">
        <f>Q430</f>
        <v>0</v>
      </c>
    </row>
    <row r="438" spans="1:18" s="109" customFormat="1">
      <c r="A438" s="895">
        <f t="shared" si="137"/>
        <v>430</v>
      </c>
      <c r="B438" s="934" t="s">
        <v>1680</v>
      </c>
      <c r="C438" s="934"/>
      <c r="D438" s="934"/>
      <c r="E438" s="934"/>
      <c r="F438" s="934" t="str">
        <f>"(Average of Line "&amp;A436&amp;" &amp; Line "&amp;A437&amp;")"</f>
        <v>(Average of Line 428 &amp; Line 429)</v>
      </c>
      <c r="G438" s="952"/>
      <c r="H438" s="934"/>
      <c r="I438" s="954"/>
      <c r="J438" s="938">
        <f>(J436+J437)/2</f>
        <v>2933922.9606418656</v>
      </c>
      <c r="K438" s="934"/>
      <c r="L438" s="955"/>
      <c r="M438" s="934"/>
      <c r="N438" s="934" t="str">
        <f>"(Average of Line "&amp;A436&amp;" &amp; Line "&amp;A437&amp;")"</f>
        <v>(Average of Line 428 &amp; Line 429)</v>
      </c>
      <c r="O438" s="934"/>
      <c r="P438" s="934"/>
      <c r="Q438" s="938">
        <f>(Q436+Q437)/2</f>
        <v>0</v>
      </c>
    </row>
    <row r="439" spans="1:18" s="109" customFormat="1" ht="13.5" customHeight="1">
      <c r="A439" s="895">
        <f t="shared" si="137"/>
        <v>431</v>
      </c>
      <c r="B439" s="934" t="s">
        <v>1681</v>
      </c>
      <c r="C439" s="934"/>
      <c r="D439" s="934"/>
      <c r="E439" s="934"/>
      <c r="F439" s="934" t="s">
        <v>1830</v>
      </c>
      <c r="G439" s="934"/>
      <c r="H439" s="934"/>
      <c r="I439" s="934"/>
      <c r="J439" s="956">
        <f>AVERAGE(J418, (SUM(H419:H430)+J418))</f>
        <v>4015525.2174112396</v>
      </c>
      <c r="K439" s="934"/>
      <c r="L439" s="934"/>
      <c r="M439" s="934"/>
      <c r="N439" s="934" t="s">
        <v>1830</v>
      </c>
      <c r="O439" s="934"/>
      <c r="P439" s="934"/>
      <c r="Q439" s="956">
        <f>AVERAGE(Q418, (SUM(L419:L430)+Q418))</f>
        <v>0</v>
      </c>
    </row>
    <row r="440" spans="1:18" s="109" customFormat="1" ht="13.5" customHeight="1">
      <c r="A440" s="895">
        <f t="shared" si="137"/>
        <v>432</v>
      </c>
      <c r="B440" s="934" t="s">
        <v>1682</v>
      </c>
      <c r="C440" s="934"/>
      <c r="D440" s="934"/>
      <c r="E440" s="934"/>
      <c r="F440" s="934"/>
      <c r="G440" s="934"/>
      <c r="H440" s="934"/>
      <c r="I440" s="934"/>
      <c r="J440" s="953">
        <f>J438-J439</f>
        <v>-1081602.256769374</v>
      </c>
      <c r="K440" s="934"/>
      <c r="L440" s="934"/>
      <c r="M440" s="934"/>
      <c r="N440" s="934"/>
      <c r="O440" s="934"/>
      <c r="P440" s="934"/>
      <c r="Q440" s="953">
        <f>Q438-Q439</f>
        <v>0</v>
      </c>
    </row>
    <row r="441" spans="1:18" s="901" customFormat="1">
      <c r="A441" s="895">
        <f t="shared" si="137"/>
        <v>433</v>
      </c>
      <c r="B441" s="957"/>
      <c r="C441" s="957"/>
      <c r="D441" s="957"/>
      <c r="E441" s="957"/>
      <c r="F441" s="957"/>
      <c r="G441" s="957"/>
      <c r="H441" s="957"/>
      <c r="I441" s="957"/>
      <c r="J441" s="957"/>
      <c r="K441" s="908"/>
      <c r="L441" s="908"/>
      <c r="M441" s="908"/>
      <c r="N441" s="908"/>
      <c r="O441" s="908"/>
      <c r="P441" s="908"/>
      <c r="Q441" s="957"/>
    </row>
    <row r="442" spans="1:18" s="901" customFormat="1">
      <c r="A442" s="895">
        <f t="shared" si="137"/>
        <v>434</v>
      </c>
      <c r="B442" s="908"/>
      <c r="C442" s="908"/>
      <c r="D442" s="908"/>
      <c r="E442" s="908"/>
      <c r="F442" s="908"/>
      <c r="G442" s="908"/>
      <c r="H442" s="908"/>
      <c r="I442" s="908"/>
      <c r="J442" s="908"/>
      <c r="K442" s="908"/>
      <c r="L442" s="908"/>
      <c r="M442" s="908"/>
      <c r="N442" s="908"/>
      <c r="O442" s="908"/>
      <c r="P442" s="908"/>
      <c r="Q442" s="908"/>
    </row>
    <row r="443" spans="1:18">
      <c r="A443" s="895">
        <f t="shared" si="137"/>
        <v>435</v>
      </c>
      <c r="B443" s="1252" t="s">
        <v>1686</v>
      </c>
      <c r="C443" s="1252"/>
      <c r="D443" s="1252"/>
      <c r="E443" s="1252"/>
      <c r="F443" s="896"/>
      <c r="G443" s="896"/>
      <c r="H443" s="942"/>
      <c r="I443" s="942"/>
      <c r="J443" s="942"/>
      <c r="K443" s="896"/>
      <c r="L443" s="943"/>
      <c r="M443" s="944"/>
      <c r="N443" s="944"/>
      <c r="O443" s="944"/>
      <c r="P443" s="944"/>
      <c r="Q443" s="944"/>
      <c r="R443" s="901"/>
    </row>
    <row r="444" spans="1:18">
      <c r="A444" s="895">
        <f t="shared" si="137"/>
        <v>436</v>
      </c>
      <c r="B444" s="1253" t="s">
        <v>1690</v>
      </c>
      <c r="C444" s="1253"/>
      <c r="D444" s="1253"/>
      <c r="E444" s="1253"/>
      <c r="F444" s="896"/>
      <c r="G444" s="896"/>
      <c r="H444" s="942"/>
      <c r="I444" s="942"/>
      <c r="J444" s="942"/>
      <c r="K444" s="896"/>
      <c r="L444" s="943"/>
      <c r="M444" s="944"/>
      <c r="N444" s="944"/>
      <c r="O444" s="944"/>
      <c r="P444" s="944"/>
      <c r="Q444" s="944"/>
      <c r="R444" s="901"/>
    </row>
    <row r="445" spans="1:18">
      <c r="A445" s="895">
        <f t="shared" si="137"/>
        <v>437</v>
      </c>
      <c r="B445" s="1254" t="s">
        <v>1661</v>
      </c>
      <c r="C445" s="1255"/>
      <c r="D445" s="1255"/>
      <c r="E445" s="1255"/>
      <c r="F445" s="1256"/>
      <c r="G445" s="902"/>
      <c r="H445" s="1257" t="s">
        <v>1662</v>
      </c>
      <c r="I445" s="1258"/>
      <c r="J445" s="1259"/>
      <c r="K445" s="896"/>
      <c r="L445" s="1257" t="s">
        <v>1663</v>
      </c>
      <c r="M445" s="1258"/>
      <c r="N445" s="1258"/>
      <c r="O445" s="1258"/>
      <c r="P445" s="1258"/>
      <c r="Q445" s="1258"/>
    </row>
    <row r="446" spans="1:18">
      <c r="A446" s="895">
        <f t="shared" si="137"/>
        <v>438</v>
      </c>
      <c r="B446" s="903" t="s">
        <v>830</v>
      </c>
      <c r="C446" s="903" t="s">
        <v>831</v>
      </c>
      <c r="D446" s="903" t="s">
        <v>832</v>
      </c>
      <c r="E446" s="903" t="s">
        <v>833</v>
      </c>
      <c r="F446" s="903" t="s">
        <v>834</v>
      </c>
      <c r="G446" s="902"/>
      <c r="H446" s="903" t="s">
        <v>835</v>
      </c>
      <c r="I446" s="903" t="s">
        <v>836</v>
      </c>
      <c r="J446" s="903" t="s">
        <v>837</v>
      </c>
      <c r="K446" s="896"/>
      <c r="L446" s="903" t="s">
        <v>838</v>
      </c>
      <c r="M446" s="903" t="s">
        <v>839</v>
      </c>
      <c r="N446" s="903" t="s">
        <v>840</v>
      </c>
      <c r="O446" s="903" t="s">
        <v>841</v>
      </c>
      <c r="P446" s="903" t="s">
        <v>843</v>
      </c>
      <c r="Q446" s="903" t="s">
        <v>842</v>
      </c>
    </row>
    <row r="447" spans="1:18" ht="45">
      <c r="A447" s="895">
        <f t="shared" si="137"/>
        <v>439</v>
      </c>
      <c r="B447" s="905" t="s">
        <v>1352</v>
      </c>
      <c r="C447" s="905" t="s">
        <v>1587</v>
      </c>
      <c r="D447" s="905" t="s">
        <v>1664</v>
      </c>
      <c r="E447" s="905" t="s">
        <v>1665</v>
      </c>
      <c r="F447" s="905" t="s">
        <v>1666</v>
      </c>
      <c r="G447" s="906"/>
      <c r="H447" s="905" t="s">
        <v>1667</v>
      </c>
      <c r="I447" s="905" t="s">
        <v>1668</v>
      </c>
      <c r="J447" s="905" t="s">
        <v>1669</v>
      </c>
      <c r="K447" s="896"/>
      <c r="L447" s="905" t="s">
        <v>1670</v>
      </c>
      <c r="M447" s="905" t="s">
        <v>1671</v>
      </c>
      <c r="N447" s="905" t="s">
        <v>1672</v>
      </c>
      <c r="O447" s="905" t="s">
        <v>1673</v>
      </c>
      <c r="P447" s="905" t="s">
        <v>1674</v>
      </c>
      <c r="Q447" s="905" t="s">
        <v>1675</v>
      </c>
    </row>
    <row r="448" spans="1:18">
      <c r="A448" s="895">
        <f t="shared" si="137"/>
        <v>440</v>
      </c>
      <c r="B448" s="896"/>
      <c r="C448" s="906"/>
      <c r="D448" s="906"/>
      <c r="E448" s="906"/>
      <c r="F448" s="906"/>
      <c r="G448" s="906"/>
      <c r="H448" s="906"/>
      <c r="I448" s="906"/>
      <c r="J448" s="906"/>
      <c r="K448" s="896"/>
      <c r="L448" s="896"/>
      <c r="M448" s="896"/>
      <c r="N448" s="896"/>
      <c r="O448" s="896"/>
      <c r="P448" s="896"/>
      <c r="Q448" s="896"/>
    </row>
    <row r="449" spans="1:17">
      <c r="A449" s="895">
        <f t="shared" si="137"/>
        <v>441</v>
      </c>
      <c r="B449" s="1260" t="s">
        <v>1676</v>
      </c>
      <c r="C449" s="1260"/>
      <c r="D449" s="1260"/>
      <c r="E449" s="1260"/>
      <c r="F449" s="909"/>
      <c r="G449" s="909"/>
      <c r="H449" s="910"/>
      <c r="I449" s="910"/>
      <c r="J449" s="911">
        <f>'WP_B-Inputs Est.'!J107</f>
        <v>2877518.4762037825</v>
      </c>
      <c r="K449" s="912"/>
      <c r="L449" s="910"/>
      <c r="M449" s="913"/>
      <c r="N449" s="913"/>
      <c r="O449" s="913"/>
      <c r="P449" s="913"/>
      <c r="Q449" s="911">
        <f>'WP_B-Inputs Act.'!J107</f>
        <v>0</v>
      </c>
    </row>
    <row r="450" spans="1:17">
      <c r="A450" s="895">
        <f t="shared" si="137"/>
        <v>442</v>
      </c>
      <c r="B450" s="914" t="s">
        <v>956</v>
      </c>
      <c r="C450" s="910">
        <v>31</v>
      </c>
      <c r="D450" s="915">
        <f t="shared" ref="D450:D458" si="173">D451+C451</f>
        <v>335</v>
      </c>
      <c r="E450" s="915">
        <f>SUM(C450:C461)</f>
        <v>365</v>
      </c>
      <c r="F450" s="916">
        <f>D450/E450</f>
        <v>0.9178082191780822</v>
      </c>
      <c r="G450" s="909"/>
      <c r="H450" s="917">
        <f>('WP_B-Inputs Est.'!J108-'WP_B-Inputs Est.'!J107)/12</f>
        <v>-33185.964340211358</v>
      </c>
      <c r="I450" s="910">
        <f>+H450*F450</f>
        <v>-30458.350832796725</v>
      </c>
      <c r="J450" s="910">
        <f t="shared" ref="J450:J461" si="174">+I450+J449</f>
        <v>2847060.1253709858</v>
      </c>
      <c r="K450" s="896"/>
      <c r="L450" s="917">
        <f>('WP_B-Inputs Act.'!J108-'WP_B-Inputs Act.'!J107)/12</f>
        <v>0</v>
      </c>
      <c r="M450" s="913">
        <f>L450-H450</f>
        <v>33185.964340211358</v>
      </c>
      <c r="N450" s="913">
        <f>IF(M450&gt;=0,+M450,0)</f>
        <v>33185.964340211358</v>
      </c>
      <c r="O450" s="913">
        <f>IF(N450&gt;0,0,IF(L450&lt;0,0,(-(M450)*(D450/E450))))</f>
        <v>0</v>
      </c>
      <c r="P450" s="913">
        <f>IF(N450&gt;0,0,IF(L450&gt;0,0,(-(M450)*(D450/E450))))</f>
        <v>0</v>
      </c>
      <c r="Q450" s="913">
        <f>IF(L450&lt;0,Q449+P450,Q449+I450+N450-O450)</f>
        <v>2727.6135074146332</v>
      </c>
    </row>
    <row r="451" spans="1:17">
      <c r="A451" s="895">
        <f t="shared" si="137"/>
        <v>443</v>
      </c>
      <c r="B451" s="914" t="s">
        <v>904</v>
      </c>
      <c r="C451" s="917">
        <f>$C$17</f>
        <v>28</v>
      </c>
      <c r="D451" s="915">
        <f t="shared" si="173"/>
        <v>307</v>
      </c>
      <c r="E451" s="915">
        <f>E450</f>
        <v>365</v>
      </c>
      <c r="F451" s="916">
        <f t="shared" ref="F451:F461" si="175">D451/E451</f>
        <v>0.84109589041095889</v>
      </c>
      <c r="G451" s="909"/>
      <c r="H451" s="917">
        <f>$H$450</f>
        <v>-33185.964340211358</v>
      </c>
      <c r="I451" s="910">
        <f t="shared" ref="I451:I461" si="176">+H451*F451</f>
        <v>-27912.578225876401</v>
      </c>
      <c r="J451" s="910">
        <f t="shared" si="174"/>
        <v>2819147.5471451096</v>
      </c>
      <c r="K451" s="896"/>
      <c r="L451" s="917">
        <f>$L$450</f>
        <v>0</v>
      </c>
      <c r="M451" s="913">
        <f t="shared" ref="M451:M461" si="177">L451-H451</f>
        <v>33185.964340211358</v>
      </c>
      <c r="N451" s="913">
        <f t="shared" ref="N451:N461" si="178">IF(M451&gt;=0,+M451,0)</f>
        <v>33185.964340211358</v>
      </c>
      <c r="O451" s="913">
        <f t="shared" ref="O451:O461" si="179">IF(N451&gt;0,0,IF(L451&lt;0,0,(-(M451)*(D451/E451))))</f>
        <v>0</v>
      </c>
      <c r="P451" s="913">
        <f t="shared" ref="P451:P461" si="180">IF(N451&gt;0,0,IF(L451&gt;0,0,(-(M451)*(D451/E451))))</f>
        <v>0</v>
      </c>
      <c r="Q451" s="913">
        <f t="shared" ref="Q451:Q461" si="181">IF(L451&lt;0,Q450+P451,Q450+I451+N451-O451)</f>
        <v>8000.99962174959</v>
      </c>
    </row>
    <row r="452" spans="1:17">
      <c r="A452" s="895">
        <f t="shared" si="137"/>
        <v>444</v>
      </c>
      <c r="B452" s="914" t="s">
        <v>905</v>
      </c>
      <c r="C452" s="910">
        <v>31</v>
      </c>
      <c r="D452" s="915">
        <f t="shared" si="173"/>
        <v>276</v>
      </c>
      <c r="E452" s="915">
        <f t="shared" ref="E452:E461" si="182">E451</f>
        <v>365</v>
      </c>
      <c r="F452" s="916">
        <f t="shared" si="175"/>
        <v>0.75616438356164384</v>
      </c>
      <c r="G452" s="909"/>
      <c r="H452" s="917">
        <f t="shared" ref="H452:H461" si="183">$H$450</f>
        <v>-33185.964340211358</v>
      </c>
      <c r="I452" s="910">
        <f t="shared" si="176"/>
        <v>-25094.044268214617</v>
      </c>
      <c r="J452" s="910">
        <f t="shared" si="174"/>
        <v>2794053.502876895</v>
      </c>
      <c r="K452" s="896"/>
      <c r="L452" s="917">
        <f t="shared" ref="L452:L461" si="184">$L$450</f>
        <v>0</v>
      </c>
      <c r="M452" s="913">
        <f t="shared" si="177"/>
        <v>33185.964340211358</v>
      </c>
      <c r="N452" s="913">
        <f t="shared" si="178"/>
        <v>33185.964340211358</v>
      </c>
      <c r="O452" s="913">
        <f t="shared" si="179"/>
        <v>0</v>
      </c>
      <c r="P452" s="913">
        <f t="shared" si="180"/>
        <v>0</v>
      </c>
      <c r="Q452" s="913">
        <f t="shared" si="181"/>
        <v>16092.919693746331</v>
      </c>
    </row>
    <row r="453" spans="1:17">
      <c r="A453" s="895">
        <f t="shared" si="137"/>
        <v>445</v>
      </c>
      <c r="B453" s="914" t="s">
        <v>906</v>
      </c>
      <c r="C453" s="910">
        <v>30</v>
      </c>
      <c r="D453" s="915">
        <f t="shared" si="173"/>
        <v>246</v>
      </c>
      <c r="E453" s="915">
        <f t="shared" si="182"/>
        <v>365</v>
      </c>
      <c r="F453" s="916">
        <f t="shared" si="175"/>
        <v>0.67397260273972603</v>
      </c>
      <c r="G453" s="909"/>
      <c r="H453" s="917">
        <f t="shared" si="183"/>
        <v>-33185.964340211358</v>
      </c>
      <c r="I453" s="910">
        <f t="shared" si="176"/>
        <v>-22366.430760799984</v>
      </c>
      <c r="J453" s="910">
        <f t="shared" si="174"/>
        <v>2771687.0721160951</v>
      </c>
      <c r="K453" s="896"/>
      <c r="L453" s="917">
        <f t="shared" si="184"/>
        <v>0</v>
      </c>
      <c r="M453" s="913">
        <f t="shared" si="177"/>
        <v>33185.964340211358</v>
      </c>
      <c r="N453" s="913">
        <f t="shared" si="178"/>
        <v>33185.964340211358</v>
      </c>
      <c r="O453" s="913">
        <f t="shared" si="179"/>
        <v>0</v>
      </c>
      <c r="P453" s="913">
        <f t="shared" si="180"/>
        <v>0</v>
      </c>
      <c r="Q453" s="913">
        <f t="shared" si="181"/>
        <v>26912.453273157706</v>
      </c>
    </row>
    <row r="454" spans="1:17">
      <c r="A454" s="895">
        <f t="shared" si="137"/>
        <v>446</v>
      </c>
      <c r="B454" s="914" t="s">
        <v>907</v>
      </c>
      <c r="C454" s="910">
        <v>31</v>
      </c>
      <c r="D454" s="915">
        <f t="shared" si="173"/>
        <v>215</v>
      </c>
      <c r="E454" s="915">
        <f t="shared" si="182"/>
        <v>365</v>
      </c>
      <c r="F454" s="916">
        <f t="shared" si="175"/>
        <v>0.58904109589041098</v>
      </c>
      <c r="G454" s="909"/>
      <c r="H454" s="917">
        <f t="shared" si="183"/>
        <v>-33185.964340211358</v>
      </c>
      <c r="I454" s="910">
        <f t="shared" si="176"/>
        <v>-19547.896803138199</v>
      </c>
      <c r="J454" s="910">
        <f t="shared" si="174"/>
        <v>2752139.1753129568</v>
      </c>
      <c r="K454" s="896"/>
      <c r="L454" s="917">
        <f t="shared" si="184"/>
        <v>0</v>
      </c>
      <c r="M454" s="913">
        <f t="shared" si="177"/>
        <v>33185.964340211358</v>
      </c>
      <c r="N454" s="913">
        <f t="shared" si="178"/>
        <v>33185.964340211358</v>
      </c>
      <c r="O454" s="913">
        <f t="shared" si="179"/>
        <v>0</v>
      </c>
      <c r="P454" s="913">
        <f t="shared" si="180"/>
        <v>0</v>
      </c>
      <c r="Q454" s="913">
        <f t="shared" si="181"/>
        <v>40550.520810230868</v>
      </c>
    </row>
    <row r="455" spans="1:17">
      <c r="A455" s="895">
        <f t="shared" si="137"/>
        <v>447</v>
      </c>
      <c r="B455" s="914" t="s">
        <v>908</v>
      </c>
      <c r="C455" s="910">
        <v>30</v>
      </c>
      <c r="D455" s="915">
        <f t="shared" si="173"/>
        <v>185</v>
      </c>
      <c r="E455" s="915">
        <f t="shared" si="182"/>
        <v>365</v>
      </c>
      <c r="F455" s="916">
        <f t="shared" si="175"/>
        <v>0.50684931506849318</v>
      </c>
      <c r="G455" s="909"/>
      <c r="H455" s="917">
        <f t="shared" si="183"/>
        <v>-33185.964340211358</v>
      </c>
      <c r="I455" s="910">
        <f t="shared" si="176"/>
        <v>-16820.283295723566</v>
      </c>
      <c r="J455" s="910">
        <f t="shared" si="174"/>
        <v>2735318.8920172332</v>
      </c>
      <c r="K455" s="896"/>
      <c r="L455" s="917">
        <f t="shared" si="184"/>
        <v>0</v>
      </c>
      <c r="M455" s="913">
        <f t="shared" si="177"/>
        <v>33185.964340211358</v>
      </c>
      <c r="N455" s="913">
        <f t="shared" si="178"/>
        <v>33185.964340211358</v>
      </c>
      <c r="O455" s="913">
        <f t="shared" si="179"/>
        <v>0</v>
      </c>
      <c r="P455" s="913">
        <f t="shared" si="180"/>
        <v>0</v>
      </c>
      <c r="Q455" s="913">
        <f t="shared" si="181"/>
        <v>56916.20185471866</v>
      </c>
    </row>
    <row r="456" spans="1:17">
      <c r="A456" s="895">
        <f t="shared" si="137"/>
        <v>448</v>
      </c>
      <c r="B456" s="914" t="s">
        <v>909</v>
      </c>
      <c r="C456" s="910">
        <v>31</v>
      </c>
      <c r="D456" s="915">
        <f t="shared" si="173"/>
        <v>154</v>
      </c>
      <c r="E456" s="915">
        <f t="shared" si="182"/>
        <v>365</v>
      </c>
      <c r="F456" s="916">
        <f t="shared" si="175"/>
        <v>0.42191780821917807</v>
      </c>
      <c r="G456" s="909"/>
      <c r="H456" s="917">
        <f t="shared" si="183"/>
        <v>-33185.964340211358</v>
      </c>
      <c r="I456" s="910">
        <f t="shared" si="176"/>
        <v>-14001.749338061778</v>
      </c>
      <c r="J456" s="910">
        <f t="shared" si="174"/>
        <v>2721317.1426791716</v>
      </c>
      <c r="K456" s="896"/>
      <c r="L456" s="917">
        <f t="shared" si="184"/>
        <v>0</v>
      </c>
      <c r="M456" s="913">
        <f t="shared" si="177"/>
        <v>33185.964340211358</v>
      </c>
      <c r="N456" s="913">
        <f t="shared" si="178"/>
        <v>33185.964340211358</v>
      </c>
      <c r="O456" s="913">
        <f t="shared" si="179"/>
        <v>0</v>
      </c>
      <c r="P456" s="913">
        <f t="shared" si="180"/>
        <v>0</v>
      </c>
      <c r="Q456" s="913">
        <f t="shared" si="181"/>
        <v>76100.416856868236</v>
      </c>
    </row>
    <row r="457" spans="1:17">
      <c r="A457" s="895">
        <f t="shared" ref="A457:A520" si="185">+A456+1</f>
        <v>449</v>
      </c>
      <c r="B457" s="914" t="s">
        <v>910</v>
      </c>
      <c r="C457" s="910">
        <v>31</v>
      </c>
      <c r="D457" s="915">
        <f t="shared" si="173"/>
        <v>123</v>
      </c>
      <c r="E457" s="915">
        <f t="shared" si="182"/>
        <v>365</v>
      </c>
      <c r="F457" s="916">
        <f t="shared" si="175"/>
        <v>0.33698630136986302</v>
      </c>
      <c r="G457" s="909"/>
      <c r="H457" s="917">
        <f t="shared" si="183"/>
        <v>-33185.964340211358</v>
      </c>
      <c r="I457" s="910">
        <f t="shared" si="176"/>
        <v>-11183.215380399992</v>
      </c>
      <c r="J457" s="910">
        <f t="shared" si="174"/>
        <v>2710133.9272987717</v>
      </c>
      <c r="K457" s="896"/>
      <c r="L457" s="917">
        <f t="shared" si="184"/>
        <v>0</v>
      </c>
      <c r="M457" s="913">
        <f t="shared" si="177"/>
        <v>33185.964340211358</v>
      </c>
      <c r="N457" s="913">
        <f t="shared" si="178"/>
        <v>33185.964340211358</v>
      </c>
      <c r="O457" s="913">
        <f t="shared" si="179"/>
        <v>0</v>
      </c>
      <c r="P457" s="913">
        <f t="shared" si="180"/>
        <v>0</v>
      </c>
      <c r="Q457" s="913">
        <f t="shared" si="181"/>
        <v>98103.165816679597</v>
      </c>
    </row>
    <row r="458" spans="1:17">
      <c r="A458" s="895">
        <f t="shared" si="185"/>
        <v>450</v>
      </c>
      <c r="B458" s="914" t="s">
        <v>911</v>
      </c>
      <c r="C458" s="910">
        <v>30</v>
      </c>
      <c r="D458" s="915">
        <f t="shared" si="173"/>
        <v>93</v>
      </c>
      <c r="E458" s="915">
        <f t="shared" si="182"/>
        <v>365</v>
      </c>
      <c r="F458" s="916">
        <f t="shared" si="175"/>
        <v>0.25479452054794521</v>
      </c>
      <c r="G458" s="909"/>
      <c r="H458" s="917">
        <f t="shared" si="183"/>
        <v>-33185.964340211358</v>
      </c>
      <c r="I458" s="910">
        <f t="shared" si="176"/>
        <v>-8455.6018729853604</v>
      </c>
      <c r="J458" s="910">
        <f t="shared" si="174"/>
        <v>2701678.3254257864</v>
      </c>
      <c r="K458" s="896"/>
      <c r="L458" s="917">
        <f t="shared" si="184"/>
        <v>0</v>
      </c>
      <c r="M458" s="913">
        <f t="shared" si="177"/>
        <v>33185.964340211358</v>
      </c>
      <c r="N458" s="913">
        <f t="shared" si="178"/>
        <v>33185.964340211358</v>
      </c>
      <c r="O458" s="913">
        <f t="shared" si="179"/>
        <v>0</v>
      </c>
      <c r="P458" s="913">
        <f t="shared" si="180"/>
        <v>0</v>
      </c>
      <c r="Q458" s="913">
        <f t="shared" si="181"/>
        <v>122833.52828390559</v>
      </c>
    </row>
    <row r="459" spans="1:17">
      <c r="A459" s="895">
        <f t="shared" si="185"/>
        <v>451</v>
      </c>
      <c r="B459" s="914" t="s">
        <v>912</v>
      </c>
      <c r="C459" s="910">
        <v>31</v>
      </c>
      <c r="D459" s="915">
        <f>D460+C460</f>
        <v>62</v>
      </c>
      <c r="E459" s="915">
        <f t="shared" si="182"/>
        <v>365</v>
      </c>
      <c r="F459" s="916">
        <f t="shared" si="175"/>
        <v>0.16986301369863013</v>
      </c>
      <c r="G459" s="909"/>
      <c r="H459" s="917">
        <f t="shared" si="183"/>
        <v>-33185.964340211358</v>
      </c>
      <c r="I459" s="910">
        <f t="shared" si="176"/>
        <v>-5637.0679153235733</v>
      </c>
      <c r="J459" s="910">
        <f t="shared" si="174"/>
        <v>2696041.2575104628</v>
      </c>
      <c r="K459" s="896"/>
      <c r="L459" s="917">
        <f t="shared" si="184"/>
        <v>0</v>
      </c>
      <c r="M459" s="913">
        <f t="shared" si="177"/>
        <v>33185.964340211358</v>
      </c>
      <c r="N459" s="913">
        <f t="shared" si="178"/>
        <v>33185.964340211358</v>
      </c>
      <c r="O459" s="913">
        <f t="shared" si="179"/>
        <v>0</v>
      </c>
      <c r="P459" s="913">
        <f t="shared" si="180"/>
        <v>0</v>
      </c>
      <c r="Q459" s="913">
        <f t="shared" si="181"/>
        <v>150382.42470879338</v>
      </c>
    </row>
    <row r="460" spans="1:17">
      <c r="A460" s="895">
        <f t="shared" si="185"/>
        <v>452</v>
      </c>
      <c r="B460" s="914" t="s">
        <v>913</v>
      </c>
      <c r="C460" s="910">
        <v>30</v>
      </c>
      <c r="D460" s="915">
        <f>D461+C461</f>
        <v>32</v>
      </c>
      <c r="E460" s="915">
        <f t="shared" si="182"/>
        <v>365</v>
      </c>
      <c r="F460" s="916">
        <f t="shared" si="175"/>
        <v>8.7671232876712329E-2</v>
      </c>
      <c r="G460" s="909"/>
      <c r="H460" s="917">
        <f t="shared" si="183"/>
        <v>-33185.964340211358</v>
      </c>
      <c r="I460" s="910">
        <f t="shared" si="176"/>
        <v>-2909.454407908941</v>
      </c>
      <c r="J460" s="910">
        <f t="shared" si="174"/>
        <v>2693131.8031025538</v>
      </c>
      <c r="K460" s="896"/>
      <c r="L460" s="917">
        <f t="shared" si="184"/>
        <v>0</v>
      </c>
      <c r="M460" s="913">
        <f t="shared" si="177"/>
        <v>33185.964340211358</v>
      </c>
      <c r="N460" s="913">
        <f t="shared" si="178"/>
        <v>33185.964340211358</v>
      </c>
      <c r="O460" s="913">
        <f t="shared" si="179"/>
        <v>0</v>
      </c>
      <c r="P460" s="913">
        <f t="shared" si="180"/>
        <v>0</v>
      </c>
      <c r="Q460" s="913">
        <f t="shared" si="181"/>
        <v>180658.93464109578</v>
      </c>
    </row>
    <row r="461" spans="1:17">
      <c r="A461" s="895">
        <f t="shared" si="185"/>
        <v>453</v>
      </c>
      <c r="B461" s="914" t="s">
        <v>914</v>
      </c>
      <c r="C461" s="910">
        <v>31</v>
      </c>
      <c r="D461" s="915">
        <v>1</v>
      </c>
      <c r="E461" s="915">
        <f t="shared" si="182"/>
        <v>365</v>
      </c>
      <c r="F461" s="916">
        <f t="shared" si="175"/>
        <v>2.7397260273972603E-3</v>
      </c>
      <c r="G461" s="909"/>
      <c r="H461" s="917">
        <f t="shared" si="183"/>
        <v>-33185.964340211358</v>
      </c>
      <c r="I461" s="910">
        <f t="shared" si="176"/>
        <v>-90.920450247154406</v>
      </c>
      <c r="J461" s="910">
        <f t="shared" si="174"/>
        <v>2693040.8826523065</v>
      </c>
      <c r="K461" s="896"/>
      <c r="L461" s="917">
        <f t="shared" si="184"/>
        <v>0</v>
      </c>
      <c r="M461" s="913">
        <f t="shared" si="177"/>
        <v>33185.964340211358</v>
      </c>
      <c r="N461" s="913">
        <f t="shared" si="178"/>
        <v>33185.964340211358</v>
      </c>
      <c r="O461" s="913">
        <f t="shared" si="179"/>
        <v>0</v>
      </c>
      <c r="P461" s="913">
        <f t="shared" si="180"/>
        <v>0</v>
      </c>
      <c r="Q461" s="913">
        <f t="shared" si="181"/>
        <v>213753.97853105998</v>
      </c>
    </row>
    <row r="462" spans="1:17">
      <c r="A462" s="895">
        <f t="shared" si="185"/>
        <v>454</v>
      </c>
      <c r="B462" s="918"/>
      <c r="C462" s="918" t="s">
        <v>795</v>
      </c>
      <c r="D462" s="919">
        <f>+SUM(D450:D461)</f>
        <v>2029</v>
      </c>
      <c r="E462" s="919">
        <f>+SUM(E450:E461)</f>
        <v>4380</v>
      </c>
      <c r="F462" s="920"/>
      <c r="G462" s="909"/>
      <c r="H462" s="921">
        <f>SUM(H450:H461)</f>
        <v>-398231.5720825363</v>
      </c>
      <c r="I462" s="921">
        <f>SUM(I450:I461)</f>
        <v>-184477.59355147628</v>
      </c>
      <c r="J462" s="920"/>
      <c r="K462" s="896"/>
      <c r="L462" s="922">
        <f>SUM(L450:L461)</f>
        <v>0</v>
      </c>
      <c r="M462" s="922">
        <f>SUM(M450:M461)</f>
        <v>398231.5720825363</v>
      </c>
      <c r="N462" s="922">
        <f>SUM(N450:N461)</f>
        <v>398231.5720825363</v>
      </c>
      <c r="O462" s="922">
        <f>SUM(O450:O461)</f>
        <v>0</v>
      </c>
      <c r="P462" s="922">
        <f>SUM(P450:P461)</f>
        <v>0</v>
      </c>
      <c r="Q462" s="922"/>
    </row>
    <row r="463" spans="1:17">
      <c r="A463" s="895">
        <f t="shared" si="185"/>
        <v>455</v>
      </c>
      <c r="B463" s="924"/>
      <c r="C463" s="924"/>
      <c r="D463" s="925"/>
      <c r="E463" s="925"/>
      <c r="F463" s="926"/>
      <c r="G463" s="909"/>
      <c r="H463" s="910"/>
      <c r="I463" s="910"/>
      <c r="J463" s="926"/>
      <c r="K463" s="896"/>
      <c r="L463" s="928"/>
      <c r="M463" s="928"/>
      <c r="N463" s="928"/>
      <c r="O463" s="928"/>
      <c r="P463" s="928"/>
      <c r="Q463" s="928"/>
    </row>
    <row r="464" spans="1:17">
      <c r="A464" s="895">
        <f t="shared" si="185"/>
        <v>456</v>
      </c>
      <c r="B464" s="896" t="s">
        <v>1677</v>
      </c>
      <c r="C464" s="924"/>
      <c r="D464" s="925"/>
      <c r="E464" s="929">
        <f>1-(D462/E462)</f>
        <v>0.53675799086757991</v>
      </c>
      <c r="F464" s="926"/>
      <c r="G464" s="909"/>
      <c r="H464" s="910"/>
      <c r="I464" s="910"/>
      <c r="J464" s="926"/>
      <c r="K464" s="896"/>
      <c r="L464" s="928"/>
      <c r="M464" s="928"/>
      <c r="N464" s="928"/>
      <c r="O464" s="928"/>
      <c r="P464" s="928"/>
      <c r="Q464" s="928"/>
    </row>
    <row r="465" spans="1:18" s="901" customFormat="1">
      <c r="A465" s="895">
        <f t="shared" si="185"/>
        <v>457</v>
      </c>
      <c r="B465" s="947"/>
      <c r="C465" s="947"/>
      <c r="D465" s="947"/>
      <c r="E465" s="947"/>
      <c r="F465" s="948"/>
      <c r="G465" s="948"/>
      <c r="H465" s="900"/>
      <c r="I465" s="949"/>
      <c r="J465" s="948"/>
      <c r="K465" s="908"/>
      <c r="L465" s="908"/>
      <c r="M465" s="908"/>
      <c r="N465" s="908"/>
      <c r="O465" s="908"/>
      <c r="P465" s="908"/>
      <c r="Q465" s="908"/>
    </row>
    <row r="466" spans="1:18" s="901" customFormat="1">
      <c r="A466" s="895">
        <f t="shared" si="185"/>
        <v>458</v>
      </c>
      <c r="B466" s="950"/>
      <c r="C466" s="947"/>
      <c r="D466" s="908"/>
      <c r="E466" s="947"/>
      <c r="F466" s="908"/>
      <c r="G466" s="948"/>
      <c r="H466" s="900"/>
      <c r="I466" s="949"/>
      <c r="J466" s="951"/>
      <c r="K466" s="908"/>
      <c r="L466" s="908"/>
      <c r="M466" s="908"/>
      <c r="N466" s="908"/>
      <c r="O466" s="908"/>
      <c r="P466" s="908"/>
      <c r="Q466" s="951"/>
    </row>
    <row r="467" spans="1:18" s="109" customFormat="1">
      <c r="A467" s="895">
        <f t="shared" si="185"/>
        <v>459</v>
      </c>
      <c r="B467" s="934" t="s">
        <v>1678</v>
      </c>
      <c r="C467" s="934"/>
      <c r="D467" s="934"/>
      <c r="E467" s="934"/>
      <c r="F467" s="934" t="str">
        <f>"(Line "&amp;A449&amp;", Col H)"</f>
        <v>(Line 441, Col H)</v>
      </c>
      <c r="G467" s="952"/>
      <c r="H467" s="934"/>
      <c r="I467" s="952"/>
      <c r="J467" s="913">
        <f>J449</f>
        <v>2877518.4762037825</v>
      </c>
      <c r="K467" s="934"/>
      <c r="L467" s="934"/>
      <c r="M467" s="934"/>
      <c r="N467" s="934" t="str">
        <f>"(Line "&amp;A449&amp;", Col N)"</f>
        <v>(Line 441, Col N)</v>
      </c>
      <c r="O467" s="934"/>
      <c r="P467" s="934"/>
      <c r="Q467" s="913">
        <f>Q449</f>
        <v>0</v>
      </c>
    </row>
    <row r="468" spans="1:18" s="109" customFormat="1">
      <c r="A468" s="895">
        <f t="shared" si="185"/>
        <v>460</v>
      </c>
      <c r="B468" s="934" t="s">
        <v>1679</v>
      </c>
      <c r="C468" s="934"/>
      <c r="D468" s="934"/>
      <c r="E468" s="934"/>
      <c r="F468" s="934" t="str">
        <f>"(Line "&amp;A461&amp;", Col H)"</f>
        <v>(Line 453, Col H)</v>
      </c>
      <c r="G468" s="952"/>
      <c r="H468" s="934"/>
      <c r="I468" s="952"/>
      <c r="J468" s="913">
        <f>J461</f>
        <v>2693040.8826523065</v>
      </c>
      <c r="K468" s="934"/>
      <c r="L468" s="953"/>
      <c r="M468" s="934"/>
      <c r="N468" s="934" t="str">
        <f>"(Line "&amp;A461&amp;", Col N)"</f>
        <v>(Line 453, Col N)</v>
      </c>
      <c r="O468" s="934"/>
      <c r="P468" s="934"/>
      <c r="Q468" s="913">
        <f>Q461</f>
        <v>213753.97853105998</v>
      </c>
    </row>
    <row r="469" spans="1:18" s="109" customFormat="1">
      <c r="A469" s="895">
        <f t="shared" si="185"/>
        <v>461</v>
      </c>
      <c r="B469" s="934" t="s">
        <v>1680</v>
      </c>
      <c r="C469" s="934"/>
      <c r="D469" s="934"/>
      <c r="E469" s="934"/>
      <c r="F469" s="934" t="str">
        <f>"(Average of Line "&amp;A467&amp;" &amp; Line "&amp;A468&amp;")"</f>
        <v>(Average of Line 459 &amp; Line 460)</v>
      </c>
      <c r="G469" s="952"/>
      <c r="H469" s="934"/>
      <c r="I469" s="954"/>
      <c r="J469" s="938">
        <f>(J467+J468)/2</f>
        <v>2785279.6794280447</v>
      </c>
      <c r="K469" s="934"/>
      <c r="L469" s="955"/>
      <c r="M469" s="934"/>
      <c r="N469" s="934" t="str">
        <f>"(Average of Line "&amp;A467&amp;" &amp; Line "&amp;A468&amp;")"</f>
        <v>(Average of Line 459 &amp; Line 460)</v>
      </c>
      <c r="O469" s="934"/>
      <c r="P469" s="934"/>
      <c r="Q469" s="938">
        <f>(Q467+Q468)/2</f>
        <v>106876.98926552999</v>
      </c>
    </row>
    <row r="470" spans="1:18" s="109" customFormat="1" ht="13.5" customHeight="1">
      <c r="A470" s="895">
        <f t="shared" si="185"/>
        <v>462</v>
      </c>
      <c r="B470" s="934" t="s">
        <v>1681</v>
      </c>
      <c r="C470" s="934"/>
      <c r="D470" s="934"/>
      <c r="E470" s="934"/>
      <c r="F470" s="934" t="s">
        <v>1830</v>
      </c>
      <c r="G470" s="934"/>
      <c r="H470" s="934"/>
      <c r="I470" s="934"/>
      <c r="J470" s="956">
        <f>AVERAGE(J449, (SUM(H450:H461)+J449))</f>
        <v>2678402.6901625143</v>
      </c>
      <c r="K470" s="934"/>
      <c r="L470" s="934"/>
      <c r="M470" s="934"/>
      <c r="N470" s="934" t="s">
        <v>1830</v>
      </c>
      <c r="O470" s="934"/>
      <c r="P470" s="934"/>
      <c r="Q470" s="956">
        <f>AVERAGE(Q449, (SUM(L450:L461)+Q449))</f>
        <v>0</v>
      </c>
    </row>
    <row r="471" spans="1:18" s="109" customFormat="1" ht="13.5" customHeight="1">
      <c r="A471" s="895">
        <f t="shared" si="185"/>
        <v>463</v>
      </c>
      <c r="B471" s="934" t="s">
        <v>1682</v>
      </c>
      <c r="C471" s="934"/>
      <c r="D471" s="934"/>
      <c r="E471" s="934"/>
      <c r="F471" s="934"/>
      <c r="G471" s="934"/>
      <c r="H471" s="934"/>
      <c r="I471" s="934"/>
      <c r="J471" s="953">
        <f>J469-J470</f>
        <v>106876.98926553037</v>
      </c>
      <c r="K471" s="934"/>
      <c r="L471" s="934"/>
      <c r="M471" s="934"/>
      <c r="N471" s="934"/>
      <c r="O471" s="934"/>
      <c r="P471" s="934"/>
      <c r="Q471" s="953">
        <v>0</v>
      </c>
    </row>
    <row r="472" spans="1:18" s="901" customFormat="1">
      <c r="A472" s="895">
        <f t="shared" si="185"/>
        <v>464</v>
      </c>
      <c r="B472" s="957"/>
      <c r="C472" s="957"/>
      <c r="D472" s="957"/>
      <c r="E472" s="957"/>
      <c r="F472" s="957"/>
      <c r="G472" s="957"/>
      <c r="H472" s="957"/>
      <c r="I472" s="957"/>
      <c r="J472" s="957"/>
      <c r="K472" s="908"/>
      <c r="L472" s="908"/>
      <c r="M472" s="908"/>
      <c r="N472" s="908"/>
      <c r="O472" s="908"/>
      <c r="P472" s="908"/>
      <c r="Q472" s="957"/>
    </row>
    <row r="473" spans="1:18" s="901" customFormat="1">
      <c r="A473" s="895">
        <f t="shared" si="185"/>
        <v>465</v>
      </c>
      <c r="B473" s="908"/>
      <c r="C473" s="908"/>
      <c r="D473" s="908"/>
      <c r="E473" s="908"/>
      <c r="F473" s="908"/>
      <c r="G473" s="908"/>
      <c r="H473" s="908"/>
      <c r="I473" s="908"/>
      <c r="J473" s="908"/>
      <c r="K473" s="908"/>
      <c r="L473" s="908"/>
      <c r="M473" s="908"/>
      <c r="N473" s="908"/>
      <c r="O473" s="908"/>
      <c r="P473" s="908"/>
      <c r="Q473" s="908"/>
    </row>
    <row r="474" spans="1:18">
      <c r="A474" s="895">
        <f t="shared" si="185"/>
        <v>466</v>
      </c>
      <c r="B474" s="1252" t="s">
        <v>1686</v>
      </c>
      <c r="C474" s="1252"/>
      <c r="D474" s="1252"/>
      <c r="E474" s="1252"/>
      <c r="F474" s="896"/>
      <c r="G474" s="896"/>
      <c r="H474" s="942"/>
      <c r="I474" s="942"/>
      <c r="J474" s="942"/>
      <c r="K474" s="896"/>
      <c r="L474" s="943"/>
      <c r="M474" s="944"/>
      <c r="N474" s="944"/>
      <c r="O474" s="944"/>
      <c r="P474" s="944"/>
      <c r="Q474" s="944"/>
      <c r="R474" s="901"/>
    </row>
    <row r="475" spans="1:18">
      <c r="A475" s="895">
        <f t="shared" si="185"/>
        <v>467</v>
      </c>
      <c r="B475" s="1253" t="s">
        <v>1796</v>
      </c>
      <c r="C475" s="1253"/>
      <c r="D475" s="1253"/>
      <c r="E475" s="1253"/>
      <c r="F475" s="896"/>
      <c r="G475" s="896"/>
      <c r="H475" s="942"/>
      <c r="I475" s="942"/>
      <c r="J475" s="942"/>
      <c r="K475" s="896"/>
      <c r="L475" s="943"/>
      <c r="M475" s="944"/>
      <c r="N475" s="944"/>
      <c r="O475" s="944"/>
      <c r="P475" s="944"/>
      <c r="Q475" s="944"/>
      <c r="R475" s="901"/>
    </row>
    <row r="476" spans="1:18">
      <c r="A476" s="895">
        <f t="shared" si="185"/>
        <v>468</v>
      </c>
      <c r="B476" s="1254" t="s">
        <v>1661</v>
      </c>
      <c r="C476" s="1255"/>
      <c r="D476" s="1255"/>
      <c r="E476" s="1255"/>
      <c r="F476" s="1256"/>
      <c r="G476" s="902"/>
      <c r="H476" s="1257" t="s">
        <v>1662</v>
      </c>
      <c r="I476" s="1258"/>
      <c r="J476" s="1259"/>
      <c r="K476" s="896"/>
      <c r="L476" s="1257" t="s">
        <v>1663</v>
      </c>
      <c r="M476" s="1258"/>
      <c r="N476" s="1258"/>
      <c r="O476" s="1258"/>
      <c r="P476" s="1258"/>
      <c r="Q476" s="1258"/>
    </row>
    <row r="477" spans="1:18">
      <c r="A477" s="895">
        <f t="shared" si="185"/>
        <v>469</v>
      </c>
      <c r="B477" s="903" t="s">
        <v>830</v>
      </c>
      <c r="C477" s="903" t="s">
        <v>831</v>
      </c>
      <c r="D477" s="903" t="s">
        <v>832</v>
      </c>
      <c r="E477" s="903" t="s">
        <v>833</v>
      </c>
      <c r="F477" s="903" t="s">
        <v>834</v>
      </c>
      <c r="G477" s="902"/>
      <c r="H477" s="903" t="s">
        <v>835</v>
      </c>
      <c r="I477" s="903" t="s">
        <v>836</v>
      </c>
      <c r="J477" s="903" t="s">
        <v>837</v>
      </c>
      <c r="K477" s="896"/>
      <c r="L477" s="903" t="s">
        <v>838</v>
      </c>
      <c r="M477" s="903" t="s">
        <v>839</v>
      </c>
      <c r="N477" s="903" t="s">
        <v>840</v>
      </c>
      <c r="O477" s="903" t="s">
        <v>841</v>
      </c>
      <c r="P477" s="903" t="s">
        <v>843</v>
      </c>
      <c r="Q477" s="903" t="s">
        <v>842</v>
      </c>
    </row>
    <row r="478" spans="1:18" ht="45">
      <c r="A478" s="895">
        <f t="shared" si="185"/>
        <v>470</v>
      </c>
      <c r="B478" s="905" t="s">
        <v>1352</v>
      </c>
      <c r="C478" s="905" t="s">
        <v>1587</v>
      </c>
      <c r="D478" s="905" t="s">
        <v>1664</v>
      </c>
      <c r="E478" s="905" t="s">
        <v>1665</v>
      </c>
      <c r="F478" s="905" t="s">
        <v>1666</v>
      </c>
      <c r="G478" s="906"/>
      <c r="H478" s="905" t="s">
        <v>1667</v>
      </c>
      <c r="I478" s="905" t="s">
        <v>1668</v>
      </c>
      <c r="J478" s="905" t="s">
        <v>1669</v>
      </c>
      <c r="K478" s="896"/>
      <c r="L478" s="905" t="s">
        <v>1670</v>
      </c>
      <c r="M478" s="905" t="s">
        <v>1671</v>
      </c>
      <c r="N478" s="905" t="s">
        <v>1672</v>
      </c>
      <c r="O478" s="905" t="s">
        <v>1673</v>
      </c>
      <c r="P478" s="905" t="s">
        <v>1674</v>
      </c>
      <c r="Q478" s="905" t="s">
        <v>1675</v>
      </c>
    </row>
    <row r="479" spans="1:18">
      <c r="A479" s="895">
        <f t="shared" si="185"/>
        <v>471</v>
      </c>
      <c r="B479" s="896"/>
      <c r="C479" s="906"/>
      <c r="D479" s="906"/>
      <c r="E479" s="906"/>
      <c r="F479" s="906"/>
      <c r="G479" s="906"/>
      <c r="H479" s="906"/>
      <c r="I479" s="906"/>
      <c r="J479" s="906"/>
      <c r="K479" s="896"/>
      <c r="L479" s="896"/>
      <c r="M479" s="896"/>
      <c r="N479" s="896"/>
      <c r="O479" s="896"/>
      <c r="P479" s="896"/>
      <c r="Q479" s="896"/>
    </row>
    <row r="480" spans="1:18">
      <c r="A480" s="895">
        <f t="shared" si="185"/>
        <v>472</v>
      </c>
      <c r="B480" s="1260" t="s">
        <v>1676</v>
      </c>
      <c r="C480" s="1260"/>
      <c r="D480" s="1260"/>
      <c r="E480" s="1260"/>
      <c r="F480" s="909"/>
      <c r="G480" s="909"/>
      <c r="H480" s="910"/>
      <c r="I480" s="910"/>
      <c r="J480" s="1163">
        <f>+'WP_B-Inputs Est.'!K107</f>
        <v>430294.70452390285</v>
      </c>
      <c r="K480" s="912"/>
      <c r="L480" s="910"/>
      <c r="M480" s="913"/>
      <c r="N480" s="913"/>
      <c r="O480" s="913"/>
      <c r="P480" s="913"/>
      <c r="Q480" s="911">
        <f>+'WP_B-Inputs Est.'!K107</f>
        <v>430294.70452390285</v>
      </c>
    </row>
    <row r="481" spans="1:17">
      <c r="A481" s="895">
        <f t="shared" si="185"/>
        <v>473</v>
      </c>
      <c r="B481" s="914" t="s">
        <v>956</v>
      </c>
      <c r="C481" s="910">
        <v>31</v>
      </c>
      <c r="D481" s="915">
        <f t="shared" ref="D481:D489" si="186">D482+C482</f>
        <v>335</v>
      </c>
      <c r="E481" s="915">
        <f>SUM(C481:C492)</f>
        <v>365</v>
      </c>
      <c r="F481" s="916">
        <f>D481/E481</f>
        <v>0.9178082191780822</v>
      </c>
      <c r="G481" s="909"/>
      <c r="H481" s="917">
        <f>('WP_B-Inputs Est.'!K108-'WP_B-Inputs Est.'!K107)/12</f>
        <v>19320.704366788337</v>
      </c>
      <c r="I481" s="910">
        <f>+H481*F481</f>
        <v>17732.701268148201</v>
      </c>
      <c r="J481" s="910">
        <f t="shared" ref="J481:J492" si="187">+I481+J480</f>
        <v>448027.40579205105</v>
      </c>
      <c r="K481" s="896"/>
      <c r="L481" s="917">
        <v>0</v>
      </c>
      <c r="M481" s="913">
        <f>L481-H481</f>
        <v>-19320.704366788337</v>
      </c>
      <c r="N481" s="913">
        <f>IF(M481&gt;=0,+M481,0)</f>
        <v>0</v>
      </c>
      <c r="O481" s="913">
        <f>IF(N481&gt;0,0,IF(L481&lt;0,0,(-(M481)*(D481/E481))))</f>
        <v>17732.701268148201</v>
      </c>
      <c r="P481" s="913">
        <f>IF(N481&gt;0,0,IF(L481&gt;0,0,(-(M481)*(D481/E481))))</f>
        <v>17732.701268148201</v>
      </c>
      <c r="Q481" s="913">
        <f>IF(L481&lt;0,Q480+P481,Q480+I481+N481-O481)</f>
        <v>430294.70452390285</v>
      </c>
    </row>
    <row r="482" spans="1:17">
      <c r="A482" s="895">
        <f t="shared" si="185"/>
        <v>474</v>
      </c>
      <c r="B482" s="914" t="s">
        <v>904</v>
      </c>
      <c r="C482" s="917">
        <f>$C$17</f>
        <v>28</v>
      </c>
      <c r="D482" s="915">
        <f t="shared" si="186"/>
        <v>307</v>
      </c>
      <c r="E482" s="915">
        <f>E481</f>
        <v>365</v>
      </c>
      <c r="F482" s="916">
        <f t="shared" ref="F482:F492" si="188">D482/E482</f>
        <v>0.84109589041095889</v>
      </c>
      <c r="G482" s="909"/>
      <c r="H482" s="917">
        <f>+$H$481</f>
        <v>19320.704366788337</v>
      </c>
      <c r="I482" s="910">
        <f t="shared" ref="I482:I492" si="189">+H482*F482</f>
        <v>16250.565042750739</v>
      </c>
      <c r="J482" s="910">
        <f t="shared" si="187"/>
        <v>464277.97083480179</v>
      </c>
      <c r="K482" s="896"/>
      <c r="L482" s="917">
        <f>$L$450</f>
        <v>0</v>
      </c>
      <c r="M482" s="913">
        <f t="shared" ref="M482:M492" si="190">L482-H482</f>
        <v>-19320.704366788337</v>
      </c>
      <c r="N482" s="913">
        <f t="shared" ref="N482:N492" si="191">IF(M482&gt;=0,+M482,0)</f>
        <v>0</v>
      </c>
      <c r="O482" s="913">
        <f t="shared" ref="O482:O492" si="192">IF(N482&gt;0,0,IF(L482&lt;0,0,(-(M482)*(D482/E482))))</f>
        <v>16250.565042750739</v>
      </c>
      <c r="P482" s="913">
        <f t="shared" ref="P482:P492" si="193">IF(N482&gt;0,0,IF(L482&gt;0,0,(-(M482)*(D482/E482))))</f>
        <v>16250.565042750739</v>
      </c>
      <c r="Q482" s="913">
        <f t="shared" ref="Q482:Q492" si="194">IF(L482&lt;0,Q481+P482,Q481+I482+N482-O482)</f>
        <v>430294.70452390285</v>
      </c>
    </row>
    <row r="483" spans="1:17">
      <c r="A483" s="895">
        <f t="shared" si="185"/>
        <v>475</v>
      </c>
      <c r="B483" s="914" t="s">
        <v>905</v>
      </c>
      <c r="C483" s="910">
        <v>31</v>
      </c>
      <c r="D483" s="915">
        <f t="shared" si="186"/>
        <v>276</v>
      </c>
      <c r="E483" s="915">
        <f t="shared" ref="E483:E492" si="195">E482</f>
        <v>365</v>
      </c>
      <c r="F483" s="916">
        <f t="shared" si="188"/>
        <v>0.75616438356164384</v>
      </c>
      <c r="G483" s="909"/>
      <c r="H483" s="917">
        <f t="shared" ref="H483:H492" si="196">+$H$481</f>
        <v>19320.704366788337</v>
      </c>
      <c r="I483" s="910">
        <f t="shared" si="189"/>
        <v>14609.628507489264</v>
      </c>
      <c r="J483" s="910">
        <f t="shared" si="187"/>
        <v>478887.59934229107</v>
      </c>
      <c r="K483" s="896"/>
      <c r="L483" s="917">
        <f t="shared" ref="L483:L492" si="197">$L$450</f>
        <v>0</v>
      </c>
      <c r="M483" s="913">
        <f t="shared" si="190"/>
        <v>-19320.704366788337</v>
      </c>
      <c r="N483" s="913">
        <f t="shared" si="191"/>
        <v>0</v>
      </c>
      <c r="O483" s="913">
        <f t="shared" si="192"/>
        <v>14609.628507489264</v>
      </c>
      <c r="P483" s="913">
        <f t="shared" si="193"/>
        <v>14609.628507489264</v>
      </c>
      <c r="Q483" s="913">
        <f t="shared" si="194"/>
        <v>430294.70452390285</v>
      </c>
    </row>
    <row r="484" spans="1:17">
      <c r="A484" s="895">
        <f t="shared" si="185"/>
        <v>476</v>
      </c>
      <c r="B484" s="914" t="s">
        <v>906</v>
      </c>
      <c r="C484" s="910">
        <v>30</v>
      </c>
      <c r="D484" s="915">
        <f t="shared" si="186"/>
        <v>246</v>
      </c>
      <c r="E484" s="915">
        <f t="shared" si="195"/>
        <v>365</v>
      </c>
      <c r="F484" s="916">
        <f t="shared" si="188"/>
        <v>0.67397260273972603</v>
      </c>
      <c r="G484" s="909"/>
      <c r="H484" s="917">
        <f t="shared" si="196"/>
        <v>19320.704366788337</v>
      </c>
      <c r="I484" s="910">
        <f t="shared" si="189"/>
        <v>13021.625408849126</v>
      </c>
      <c r="J484" s="910">
        <f t="shared" si="187"/>
        <v>491909.22475114022</v>
      </c>
      <c r="K484" s="896"/>
      <c r="L484" s="917">
        <f t="shared" si="197"/>
        <v>0</v>
      </c>
      <c r="M484" s="913">
        <f t="shared" si="190"/>
        <v>-19320.704366788337</v>
      </c>
      <c r="N484" s="913">
        <f t="shared" si="191"/>
        <v>0</v>
      </c>
      <c r="O484" s="913">
        <f t="shared" si="192"/>
        <v>13021.625408849126</v>
      </c>
      <c r="P484" s="913">
        <f t="shared" si="193"/>
        <v>13021.625408849126</v>
      </c>
      <c r="Q484" s="913">
        <f t="shared" si="194"/>
        <v>430294.70452390285</v>
      </c>
    </row>
    <row r="485" spans="1:17">
      <c r="A485" s="895">
        <f t="shared" si="185"/>
        <v>477</v>
      </c>
      <c r="B485" s="914" t="s">
        <v>907</v>
      </c>
      <c r="C485" s="910">
        <v>31</v>
      </c>
      <c r="D485" s="915">
        <f t="shared" si="186"/>
        <v>215</v>
      </c>
      <c r="E485" s="915">
        <f t="shared" si="195"/>
        <v>365</v>
      </c>
      <c r="F485" s="916">
        <f t="shared" si="188"/>
        <v>0.58904109589041098</v>
      </c>
      <c r="G485" s="909"/>
      <c r="H485" s="917">
        <f t="shared" si="196"/>
        <v>19320.704366788337</v>
      </c>
      <c r="I485" s="910">
        <f t="shared" si="189"/>
        <v>11380.688873587651</v>
      </c>
      <c r="J485" s="910">
        <f t="shared" si="187"/>
        <v>503289.91362472787</v>
      </c>
      <c r="K485" s="896"/>
      <c r="L485" s="917">
        <f t="shared" si="197"/>
        <v>0</v>
      </c>
      <c r="M485" s="913">
        <f t="shared" si="190"/>
        <v>-19320.704366788337</v>
      </c>
      <c r="N485" s="913">
        <f t="shared" si="191"/>
        <v>0</v>
      </c>
      <c r="O485" s="913">
        <f t="shared" si="192"/>
        <v>11380.688873587651</v>
      </c>
      <c r="P485" s="913">
        <f t="shared" si="193"/>
        <v>11380.688873587651</v>
      </c>
      <c r="Q485" s="913">
        <f t="shared" si="194"/>
        <v>430294.70452390285</v>
      </c>
    </row>
    <row r="486" spans="1:17">
      <c r="A486" s="895">
        <f t="shared" si="185"/>
        <v>478</v>
      </c>
      <c r="B486" s="914" t="s">
        <v>908</v>
      </c>
      <c r="C486" s="910">
        <v>30</v>
      </c>
      <c r="D486" s="915">
        <f t="shared" si="186"/>
        <v>185</v>
      </c>
      <c r="E486" s="915">
        <f t="shared" si="195"/>
        <v>365</v>
      </c>
      <c r="F486" s="916">
        <f t="shared" si="188"/>
        <v>0.50684931506849318</v>
      </c>
      <c r="G486" s="909"/>
      <c r="H486" s="917">
        <f t="shared" si="196"/>
        <v>19320.704366788337</v>
      </c>
      <c r="I486" s="910">
        <f t="shared" si="189"/>
        <v>9792.6857749475148</v>
      </c>
      <c r="J486" s="910">
        <f t="shared" si="187"/>
        <v>513082.59939967538</v>
      </c>
      <c r="K486" s="896"/>
      <c r="L486" s="917">
        <f t="shared" si="197"/>
        <v>0</v>
      </c>
      <c r="M486" s="913">
        <f t="shared" si="190"/>
        <v>-19320.704366788337</v>
      </c>
      <c r="N486" s="913">
        <f t="shared" si="191"/>
        <v>0</v>
      </c>
      <c r="O486" s="913">
        <f t="shared" si="192"/>
        <v>9792.6857749475148</v>
      </c>
      <c r="P486" s="913">
        <f t="shared" si="193"/>
        <v>9792.6857749475148</v>
      </c>
      <c r="Q486" s="913">
        <f t="shared" si="194"/>
        <v>430294.70452390285</v>
      </c>
    </row>
    <row r="487" spans="1:17">
      <c r="A487" s="895">
        <f t="shared" si="185"/>
        <v>479</v>
      </c>
      <c r="B487" s="914" t="s">
        <v>909</v>
      </c>
      <c r="C487" s="910">
        <v>31</v>
      </c>
      <c r="D487" s="915">
        <f t="shared" si="186"/>
        <v>154</v>
      </c>
      <c r="E487" s="915">
        <f t="shared" si="195"/>
        <v>365</v>
      </c>
      <c r="F487" s="916">
        <f t="shared" si="188"/>
        <v>0.42191780821917807</v>
      </c>
      <c r="G487" s="909"/>
      <c r="H487" s="917">
        <f t="shared" si="196"/>
        <v>19320.704366788337</v>
      </c>
      <c r="I487" s="910">
        <f t="shared" si="189"/>
        <v>8151.749239686038</v>
      </c>
      <c r="J487" s="910">
        <f t="shared" si="187"/>
        <v>521234.34863936144</v>
      </c>
      <c r="K487" s="896"/>
      <c r="L487" s="917">
        <f t="shared" si="197"/>
        <v>0</v>
      </c>
      <c r="M487" s="913">
        <f t="shared" si="190"/>
        <v>-19320.704366788337</v>
      </c>
      <c r="N487" s="913">
        <f t="shared" si="191"/>
        <v>0</v>
      </c>
      <c r="O487" s="913">
        <f t="shared" si="192"/>
        <v>8151.749239686038</v>
      </c>
      <c r="P487" s="913">
        <f t="shared" si="193"/>
        <v>8151.749239686038</v>
      </c>
      <c r="Q487" s="913">
        <f t="shared" si="194"/>
        <v>430294.70452390285</v>
      </c>
    </row>
    <row r="488" spans="1:17">
      <c r="A488" s="895">
        <f t="shared" si="185"/>
        <v>480</v>
      </c>
      <c r="B488" s="914" t="s">
        <v>910</v>
      </c>
      <c r="C488" s="910">
        <v>31</v>
      </c>
      <c r="D488" s="915">
        <f t="shared" si="186"/>
        <v>123</v>
      </c>
      <c r="E488" s="915">
        <f t="shared" si="195"/>
        <v>365</v>
      </c>
      <c r="F488" s="916">
        <f t="shared" si="188"/>
        <v>0.33698630136986302</v>
      </c>
      <c r="G488" s="909"/>
      <c r="H488" s="917">
        <f t="shared" si="196"/>
        <v>19320.704366788337</v>
      </c>
      <c r="I488" s="910">
        <f t="shared" si="189"/>
        <v>6510.812704424563</v>
      </c>
      <c r="J488" s="910">
        <f t="shared" si="187"/>
        <v>527745.16134378605</v>
      </c>
      <c r="K488" s="896"/>
      <c r="L488" s="917">
        <f t="shared" si="197"/>
        <v>0</v>
      </c>
      <c r="M488" s="913">
        <f t="shared" si="190"/>
        <v>-19320.704366788337</v>
      </c>
      <c r="N488" s="913">
        <f t="shared" si="191"/>
        <v>0</v>
      </c>
      <c r="O488" s="913">
        <f t="shared" si="192"/>
        <v>6510.812704424563</v>
      </c>
      <c r="P488" s="913">
        <f t="shared" si="193"/>
        <v>6510.812704424563</v>
      </c>
      <c r="Q488" s="913">
        <f t="shared" si="194"/>
        <v>430294.70452390285</v>
      </c>
    </row>
    <row r="489" spans="1:17">
      <c r="A489" s="895">
        <f t="shared" si="185"/>
        <v>481</v>
      </c>
      <c r="B489" s="914" t="s">
        <v>911</v>
      </c>
      <c r="C489" s="910">
        <v>30</v>
      </c>
      <c r="D489" s="915">
        <f t="shared" si="186"/>
        <v>93</v>
      </c>
      <c r="E489" s="915">
        <f t="shared" si="195"/>
        <v>365</v>
      </c>
      <c r="F489" s="916">
        <f t="shared" si="188"/>
        <v>0.25479452054794521</v>
      </c>
      <c r="G489" s="909"/>
      <c r="H489" s="917">
        <f t="shared" si="196"/>
        <v>19320.704366788337</v>
      </c>
      <c r="I489" s="910">
        <f t="shared" si="189"/>
        <v>4922.8096057844259</v>
      </c>
      <c r="J489" s="910">
        <f t="shared" si="187"/>
        <v>532667.97094957053</v>
      </c>
      <c r="K489" s="896"/>
      <c r="L489" s="917">
        <f t="shared" si="197"/>
        <v>0</v>
      </c>
      <c r="M489" s="913">
        <f t="shared" si="190"/>
        <v>-19320.704366788337</v>
      </c>
      <c r="N489" s="913">
        <f t="shared" si="191"/>
        <v>0</v>
      </c>
      <c r="O489" s="913">
        <f t="shared" si="192"/>
        <v>4922.8096057844259</v>
      </c>
      <c r="P489" s="913">
        <f t="shared" si="193"/>
        <v>4922.8096057844259</v>
      </c>
      <c r="Q489" s="913">
        <f t="shared" si="194"/>
        <v>430294.70452390285</v>
      </c>
    </row>
    <row r="490" spans="1:17">
      <c r="A490" s="895">
        <f t="shared" si="185"/>
        <v>482</v>
      </c>
      <c r="B490" s="914" t="s">
        <v>912</v>
      </c>
      <c r="C490" s="910">
        <v>31</v>
      </c>
      <c r="D490" s="915">
        <f>D491+C491</f>
        <v>62</v>
      </c>
      <c r="E490" s="915">
        <f t="shared" si="195"/>
        <v>365</v>
      </c>
      <c r="F490" s="916">
        <f t="shared" si="188"/>
        <v>0.16986301369863013</v>
      </c>
      <c r="G490" s="909"/>
      <c r="H490" s="917">
        <f t="shared" si="196"/>
        <v>19320.704366788337</v>
      </c>
      <c r="I490" s="910">
        <f t="shared" si="189"/>
        <v>3281.8730705229505</v>
      </c>
      <c r="J490" s="910">
        <f t="shared" si="187"/>
        <v>535949.84402009344</v>
      </c>
      <c r="K490" s="896"/>
      <c r="L490" s="917">
        <f t="shared" si="197"/>
        <v>0</v>
      </c>
      <c r="M490" s="913">
        <f t="shared" si="190"/>
        <v>-19320.704366788337</v>
      </c>
      <c r="N490" s="913">
        <f t="shared" si="191"/>
        <v>0</v>
      </c>
      <c r="O490" s="913">
        <f t="shared" si="192"/>
        <v>3281.8730705229505</v>
      </c>
      <c r="P490" s="913">
        <f t="shared" si="193"/>
        <v>3281.8730705229505</v>
      </c>
      <c r="Q490" s="913">
        <f t="shared" si="194"/>
        <v>430294.70452390285</v>
      </c>
    </row>
    <row r="491" spans="1:17">
      <c r="A491" s="895">
        <f t="shared" si="185"/>
        <v>483</v>
      </c>
      <c r="B491" s="914" t="s">
        <v>913</v>
      </c>
      <c r="C491" s="910">
        <v>30</v>
      </c>
      <c r="D491" s="915">
        <f>D492+C492</f>
        <v>32</v>
      </c>
      <c r="E491" s="915">
        <f t="shared" si="195"/>
        <v>365</v>
      </c>
      <c r="F491" s="916">
        <f t="shared" si="188"/>
        <v>8.7671232876712329E-2</v>
      </c>
      <c r="G491" s="909"/>
      <c r="H491" s="917">
        <f t="shared" si="196"/>
        <v>19320.704366788337</v>
      </c>
      <c r="I491" s="910">
        <f t="shared" si="189"/>
        <v>1693.8699718828132</v>
      </c>
      <c r="J491" s="910">
        <f t="shared" si="187"/>
        <v>537643.71399197623</v>
      </c>
      <c r="K491" s="896"/>
      <c r="L491" s="917">
        <f t="shared" si="197"/>
        <v>0</v>
      </c>
      <c r="M491" s="913">
        <f t="shared" si="190"/>
        <v>-19320.704366788337</v>
      </c>
      <c r="N491" s="913">
        <f t="shared" si="191"/>
        <v>0</v>
      </c>
      <c r="O491" s="913">
        <f t="shared" si="192"/>
        <v>1693.8699718828132</v>
      </c>
      <c r="P491" s="913">
        <f t="shared" si="193"/>
        <v>1693.8699718828132</v>
      </c>
      <c r="Q491" s="913">
        <f t="shared" si="194"/>
        <v>430294.70452390285</v>
      </c>
    </row>
    <row r="492" spans="1:17">
      <c r="A492" s="895">
        <f t="shared" si="185"/>
        <v>484</v>
      </c>
      <c r="B492" s="914" t="s">
        <v>914</v>
      </c>
      <c r="C492" s="910">
        <v>31</v>
      </c>
      <c r="D492" s="915">
        <v>1</v>
      </c>
      <c r="E492" s="915">
        <f t="shared" si="195"/>
        <v>365</v>
      </c>
      <c r="F492" s="916">
        <f t="shared" si="188"/>
        <v>2.7397260273972603E-3</v>
      </c>
      <c r="G492" s="909"/>
      <c r="H492" s="917">
        <f t="shared" si="196"/>
        <v>19320.704366788337</v>
      </c>
      <c r="I492" s="910">
        <f t="shared" si="189"/>
        <v>52.933436621337911</v>
      </c>
      <c r="J492" s="910">
        <f t="shared" si="187"/>
        <v>537696.64742859756</v>
      </c>
      <c r="K492" s="896"/>
      <c r="L492" s="917">
        <f t="shared" si="197"/>
        <v>0</v>
      </c>
      <c r="M492" s="913">
        <f t="shared" si="190"/>
        <v>-19320.704366788337</v>
      </c>
      <c r="N492" s="913">
        <f t="shared" si="191"/>
        <v>0</v>
      </c>
      <c r="O492" s="913">
        <f t="shared" si="192"/>
        <v>52.933436621337911</v>
      </c>
      <c r="P492" s="913">
        <f t="shared" si="193"/>
        <v>52.933436621337911</v>
      </c>
      <c r="Q492" s="913">
        <f t="shared" si="194"/>
        <v>430294.70452390285</v>
      </c>
    </row>
    <row r="493" spans="1:17">
      <c r="A493" s="895">
        <f t="shared" si="185"/>
        <v>485</v>
      </c>
      <c r="B493" s="918"/>
      <c r="C493" s="918" t="s">
        <v>795</v>
      </c>
      <c r="D493" s="919">
        <f>+SUM(D481:D492)</f>
        <v>2029</v>
      </c>
      <c r="E493" s="919">
        <f>+SUM(E481:E492)</f>
        <v>4380</v>
      </c>
      <c r="F493" s="920"/>
      <c r="G493" s="909"/>
      <c r="H493" s="921">
        <f>SUM(H481:H492)</f>
        <v>231848.45240146</v>
      </c>
      <c r="I493" s="921">
        <f>SUM(I481:I492)</f>
        <v>107401.94290469463</v>
      </c>
      <c r="J493" s="920"/>
      <c r="K493" s="896"/>
      <c r="L493" s="922">
        <f>SUM(L481:L492)</f>
        <v>0</v>
      </c>
      <c r="M493" s="922">
        <f>SUM(M481:M492)</f>
        <v>-231848.45240146</v>
      </c>
      <c r="N493" s="922">
        <f>SUM(N481:N492)</f>
        <v>0</v>
      </c>
      <c r="O493" s="922">
        <f>SUM(O481:O492)</f>
        <v>107401.94290469463</v>
      </c>
      <c r="P493" s="922">
        <f>SUM(P481:P492)</f>
        <v>107401.94290469463</v>
      </c>
      <c r="Q493" s="922"/>
    </row>
    <row r="494" spans="1:17">
      <c r="A494" s="895">
        <f t="shared" si="185"/>
        <v>486</v>
      </c>
      <c r="B494" s="924"/>
      <c r="C494" s="924"/>
      <c r="D494" s="925"/>
      <c r="E494" s="925"/>
      <c r="F494" s="926"/>
      <c r="G494" s="909"/>
      <c r="H494" s="910"/>
      <c r="I494" s="910"/>
      <c r="J494" s="926"/>
      <c r="K494" s="896"/>
      <c r="L494" s="928"/>
      <c r="M494" s="928"/>
      <c r="N494" s="928"/>
      <c r="O494" s="928"/>
      <c r="P494" s="928"/>
      <c r="Q494" s="928"/>
    </row>
    <row r="495" spans="1:17">
      <c r="A495" s="895">
        <f t="shared" si="185"/>
        <v>487</v>
      </c>
      <c r="B495" s="896" t="s">
        <v>1677</v>
      </c>
      <c r="C495" s="924"/>
      <c r="D495" s="925"/>
      <c r="E495" s="929">
        <f>1-(D493/E493)</f>
        <v>0.53675799086757991</v>
      </c>
      <c r="F495" s="926"/>
      <c r="G495" s="909"/>
      <c r="H495" s="910"/>
      <c r="I495" s="910"/>
      <c r="J495" s="926"/>
      <c r="K495" s="896"/>
      <c r="L495" s="928"/>
      <c r="M495" s="928"/>
      <c r="N495" s="928"/>
      <c r="O495" s="928"/>
      <c r="P495" s="928"/>
      <c r="Q495" s="928"/>
    </row>
    <row r="496" spans="1:17" s="901" customFormat="1">
      <c r="A496" s="895">
        <f t="shared" si="185"/>
        <v>488</v>
      </c>
      <c r="B496" s="947"/>
      <c r="C496" s="947"/>
      <c r="D496" s="947"/>
      <c r="E496" s="947"/>
      <c r="F496" s="948"/>
      <c r="G496" s="948"/>
      <c r="H496" s="900"/>
      <c r="I496" s="949"/>
      <c r="J496" s="948"/>
      <c r="K496" s="908"/>
      <c r="L496" s="908"/>
      <c r="M496" s="908"/>
      <c r="N496" s="908"/>
      <c r="O496" s="908"/>
      <c r="P496" s="908"/>
      <c r="Q496" s="908"/>
    </row>
    <row r="497" spans="1:18" s="901" customFormat="1">
      <c r="A497" s="895">
        <f t="shared" si="185"/>
        <v>489</v>
      </c>
      <c r="B497" s="950"/>
      <c r="C497" s="947"/>
      <c r="D497" s="908"/>
      <c r="E497" s="947"/>
      <c r="F497" s="908"/>
      <c r="G497" s="948"/>
      <c r="H497" s="900"/>
      <c r="I497" s="949"/>
      <c r="J497" s="951"/>
      <c r="K497" s="908"/>
      <c r="L497" s="908"/>
      <c r="M497" s="908"/>
      <c r="N497" s="908"/>
      <c r="O497" s="908"/>
      <c r="P497" s="908"/>
      <c r="Q497" s="951"/>
    </row>
    <row r="498" spans="1:18" s="109" customFormat="1">
      <c r="A498" s="895">
        <f t="shared" si="185"/>
        <v>490</v>
      </c>
      <c r="B498" s="934" t="s">
        <v>1678</v>
      </c>
      <c r="C498" s="934"/>
      <c r="D498" s="934"/>
      <c r="E498" s="934"/>
      <c r="F498" s="934" t="str">
        <f>"(Line "&amp;A480&amp;", Col H)"</f>
        <v>(Line 472, Col H)</v>
      </c>
      <c r="G498" s="952"/>
      <c r="H498" s="934"/>
      <c r="I498" s="952"/>
      <c r="J498" s="913">
        <f>J480</f>
        <v>430294.70452390285</v>
      </c>
      <c r="K498" s="934"/>
      <c r="L498" s="934"/>
      <c r="M498" s="934"/>
      <c r="N498" s="934" t="str">
        <f>"(Line "&amp;A480&amp;", Col N)"</f>
        <v>(Line 472, Col N)</v>
      </c>
      <c r="O498" s="934"/>
      <c r="P498" s="934"/>
      <c r="Q498" s="913">
        <f>Q480</f>
        <v>430294.70452390285</v>
      </c>
    </row>
    <row r="499" spans="1:18" s="109" customFormat="1">
      <c r="A499" s="895">
        <f t="shared" si="185"/>
        <v>491</v>
      </c>
      <c r="B499" s="934" t="s">
        <v>1679</v>
      </c>
      <c r="C499" s="934"/>
      <c r="D499" s="934"/>
      <c r="E499" s="934"/>
      <c r="F499" s="934" t="str">
        <f>"(Line "&amp;A492&amp;", Col H)"</f>
        <v>(Line 484, Col H)</v>
      </c>
      <c r="G499" s="952"/>
      <c r="H499" s="934"/>
      <c r="I499" s="952"/>
      <c r="J499" s="913">
        <f>J492</f>
        <v>537696.64742859756</v>
      </c>
      <c r="K499" s="934"/>
      <c r="L499" s="953"/>
      <c r="M499" s="934"/>
      <c r="N499" s="934" t="str">
        <f>"(Line "&amp;A492&amp;", Col N)"</f>
        <v>(Line 484, Col N)</v>
      </c>
      <c r="O499" s="934"/>
      <c r="P499" s="934"/>
      <c r="Q499" s="913">
        <f>Q492</f>
        <v>430294.70452390285</v>
      </c>
    </row>
    <row r="500" spans="1:18" s="109" customFormat="1">
      <c r="A500" s="895">
        <f t="shared" si="185"/>
        <v>492</v>
      </c>
      <c r="B500" s="934" t="s">
        <v>1680</v>
      </c>
      <c r="C500" s="934"/>
      <c r="D500" s="934"/>
      <c r="E500" s="934"/>
      <c r="F500" s="934" t="str">
        <f>"(Average of Line "&amp;A498&amp;" &amp; Line "&amp;A499&amp;")"</f>
        <v>(Average of Line 490 &amp; Line 491)</v>
      </c>
      <c r="G500" s="952"/>
      <c r="H500" s="934"/>
      <c r="I500" s="954"/>
      <c r="J500" s="938">
        <f>(J498+J499)/2</f>
        <v>483995.6759762502</v>
      </c>
      <c r="K500" s="934"/>
      <c r="L500" s="955"/>
      <c r="M500" s="934"/>
      <c r="N500" s="934" t="str">
        <f>"(Average of Line "&amp;A498&amp;" &amp; Line "&amp;A499&amp;")"</f>
        <v>(Average of Line 490 &amp; Line 491)</v>
      </c>
      <c r="O500" s="934"/>
      <c r="P500" s="934"/>
      <c r="Q500" s="938">
        <f>(Q498+Q499)/2</f>
        <v>430294.70452390285</v>
      </c>
    </row>
    <row r="501" spans="1:18" s="109" customFormat="1" ht="13.5" customHeight="1">
      <c r="A501" s="895">
        <f t="shared" si="185"/>
        <v>493</v>
      </c>
      <c r="B501" s="934" t="s">
        <v>1681</v>
      </c>
      <c r="C501" s="934"/>
      <c r="D501" s="934"/>
      <c r="E501" s="934"/>
      <c r="F501" s="934" t="s">
        <v>1830</v>
      </c>
      <c r="G501" s="934"/>
      <c r="H501" s="934"/>
      <c r="I501" s="934"/>
      <c r="J501" s="956">
        <f>AVERAGE(J480, (SUM(H481:H492)+J480))</f>
        <v>546218.93072463293</v>
      </c>
      <c r="K501" s="934"/>
      <c r="L501" s="934"/>
      <c r="M501" s="934"/>
      <c r="N501" s="934" t="s">
        <v>1830</v>
      </c>
      <c r="O501" s="934"/>
      <c r="P501" s="934"/>
      <c r="Q501" s="956">
        <f>AVERAGE(Q480, (SUM(L481:L492)+Q480))</f>
        <v>430294.70452390285</v>
      </c>
    </row>
    <row r="502" spans="1:18" s="109" customFormat="1" ht="13.5" customHeight="1">
      <c r="A502" s="895">
        <f t="shared" si="185"/>
        <v>494</v>
      </c>
      <c r="B502" s="934" t="s">
        <v>1682</v>
      </c>
      <c r="C502" s="934"/>
      <c r="D502" s="934"/>
      <c r="E502" s="934"/>
      <c r="F502" s="934"/>
      <c r="G502" s="934"/>
      <c r="H502" s="934"/>
      <c r="I502" s="934"/>
      <c r="J502" s="953">
        <f>J500-J501</f>
        <v>-62223.254748382722</v>
      </c>
      <c r="K502" s="934"/>
      <c r="L502" s="934"/>
      <c r="M502" s="934"/>
      <c r="N502" s="934"/>
      <c r="O502" s="934"/>
      <c r="P502" s="934"/>
      <c r="Q502" s="953">
        <f>Q500-Q501</f>
        <v>0</v>
      </c>
    </row>
    <row r="503" spans="1:18" s="901" customFormat="1">
      <c r="A503" s="895">
        <f t="shared" si="185"/>
        <v>495</v>
      </c>
      <c r="B503" s="957"/>
      <c r="C503" s="957"/>
      <c r="D503" s="957"/>
      <c r="E503" s="957"/>
      <c r="F503" s="957"/>
      <c r="G503" s="957"/>
      <c r="H503" s="957"/>
      <c r="I503" s="957"/>
      <c r="J503" s="957"/>
      <c r="K503" s="908"/>
      <c r="L503" s="908"/>
      <c r="M503" s="908"/>
      <c r="N503" s="908"/>
      <c r="O503" s="908"/>
      <c r="P503" s="908"/>
      <c r="Q503" s="957"/>
    </row>
    <row r="504" spans="1:18" s="901" customFormat="1">
      <c r="A504" s="895">
        <f t="shared" si="185"/>
        <v>496</v>
      </c>
      <c r="B504" s="908"/>
      <c r="C504" s="908"/>
      <c r="D504" s="908"/>
      <c r="E504" s="908"/>
      <c r="F504" s="908"/>
      <c r="G504" s="908"/>
      <c r="H504" s="908"/>
      <c r="I504" s="908"/>
      <c r="J504" s="908"/>
      <c r="K504" s="908"/>
      <c r="L504" s="908"/>
      <c r="M504" s="908"/>
      <c r="N504" s="908"/>
      <c r="O504" s="908"/>
      <c r="P504" s="908"/>
      <c r="Q504" s="908"/>
    </row>
    <row r="505" spans="1:18">
      <c r="A505" s="895">
        <f t="shared" si="185"/>
        <v>497</v>
      </c>
      <c r="B505" s="1252" t="s">
        <v>1686</v>
      </c>
      <c r="C505" s="1252"/>
      <c r="D505" s="1252"/>
      <c r="E505" s="1252"/>
      <c r="F505" s="896"/>
      <c r="G505" s="896"/>
      <c r="H505" s="942"/>
      <c r="I505" s="942"/>
      <c r="J505" s="942"/>
      <c r="K505" s="896"/>
      <c r="L505" s="943"/>
      <c r="M505" s="944"/>
      <c r="N505" s="944"/>
      <c r="O505" s="944"/>
      <c r="P505" s="944"/>
      <c r="Q505" s="944"/>
      <c r="R505" s="901"/>
    </row>
    <row r="506" spans="1:18">
      <c r="A506" s="895">
        <f t="shared" si="185"/>
        <v>498</v>
      </c>
      <c r="B506" s="1253" t="s">
        <v>1691</v>
      </c>
      <c r="C506" s="1253"/>
      <c r="D506" s="1253"/>
      <c r="E506" s="1253"/>
      <c r="F506" s="896"/>
      <c r="G506" s="896"/>
      <c r="H506" s="942"/>
      <c r="I506" s="942"/>
      <c r="J506" s="942"/>
      <c r="K506" s="896"/>
      <c r="L506" s="943"/>
      <c r="M506" s="944"/>
      <c r="N506" s="944"/>
      <c r="O506" s="944"/>
      <c r="P506" s="944"/>
      <c r="Q506" s="944"/>
      <c r="R506" s="901"/>
    </row>
    <row r="507" spans="1:18">
      <c r="A507" s="895">
        <f t="shared" si="185"/>
        <v>499</v>
      </c>
      <c r="B507" s="1254" t="s">
        <v>1661</v>
      </c>
      <c r="C507" s="1255"/>
      <c r="D507" s="1255"/>
      <c r="E507" s="1255"/>
      <c r="F507" s="1256"/>
      <c r="G507" s="902"/>
      <c r="H507" s="1257" t="s">
        <v>1662</v>
      </c>
      <c r="I507" s="1258"/>
      <c r="J507" s="1259"/>
      <c r="K507" s="896"/>
      <c r="L507" s="1257" t="s">
        <v>1663</v>
      </c>
      <c r="M507" s="1258"/>
      <c r="N507" s="1258"/>
      <c r="O507" s="1258"/>
      <c r="P507" s="1258"/>
      <c r="Q507" s="1258"/>
    </row>
    <row r="508" spans="1:18">
      <c r="A508" s="895">
        <f t="shared" si="185"/>
        <v>500</v>
      </c>
      <c r="B508" s="903" t="s">
        <v>830</v>
      </c>
      <c r="C508" s="903" t="s">
        <v>831</v>
      </c>
      <c r="D508" s="903" t="s">
        <v>832</v>
      </c>
      <c r="E508" s="903" t="s">
        <v>833</v>
      </c>
      <c r="F508" s="903" t="s">
        <v>834</v>
      </c>
      <c r="G508" s="902"/>
      <c r="H508" s="903" t="s">
        <v>835</v>
      </c>
      <c r="I508" s="903" t="s">
        <v>836</v>
      </c>
      <c r="J508" s="903" t="s">
        <v>837</v>
      </c>
      <c r="K508" s="896"/>
      <c r="L508" s="903" t="s">
        <v>838</v>
      </c>
      <c r="M508" s="903" t="s">
        <v>839</v>
      </c>
      <c r="N508" s="903" t="s">
        <v>840</v>
      </c>
      <c r="O508" s="903" t="s">
        <v>841</v>
      </c>
      <c r="P508" s="903" t="s">
        <v>843</v>
      </c>
      <c r="Q508" s="903" t="s">
        <v>842</v>
      </c>
    </row>
    <row r="509" spans="1:18" ht="45">
      <c r="A509" s="895">
        <f t="shared" si="185"/>
        <v>501</v>
      </c>
      <c r="B509" s="905" t="s">
        <v>1352</v>
      </c>
      <c r="C509" s="905" t="s">
        <v>1587</v>
      </c>
      <c r="D509" s="905" t="s">
        <v>1664</v>
      </c>
      <c r="E509" s="905" t="s">
        <v>1665</v>
      </c>
      <c r="F509" s="905" t="s">
        <v>1666</v>
      </c>
      <c r="G509" s="906"/>
      <c r="H509" s="905" t="s">
        <v>1667</v>
      </c>
      <c r="I509" s="905" t="s">
        <v>1668</v>
      </c>
      <c r="J509" s="905" t="s">
        <v>1669</v>
      </c>
      <c r="K509" s="896"/>
      <c r="L509" s="905" t="s">
        <v>1670</v>
      </c>
      <c r="M509" s="905" t="s">
        <v>1671</v>
      </c>
      <c r="N509" s="905" t="s">
        <v>1672</v>
      </c>
      <c r="O509" s="905" t="s">
        <v>1673</v>
      </c>
      <c r="P509" s="905" t="s">
        <v>1674</v>
      </c>
      <c r="Q509" s="905" t="s">
        <v>1675</v>
      </c>
    </row>
    <row r="510" spans="1:18">
      <c r="A510" s="895">
        <f t="shared" si="185"/>
        <v>502</v>
      </c>
      <c r="B510" s="896"/>
      <c r="C510" s="906"/>
      <c r="D510" s="906"/>
      <c r="E510" s="906"/>
      <c r="F510" s="906"/>
      <c r="G510" s="906"/>
      <c r="H510" s="906"/>
      <c r="I510" s="906"/>
      <c r="J510" s="906"/>
      <c r="K510" s="896"/>
      <c r="L510" s="896"/>
      <c r="M510" s="896"/>
      <c r="N510" s="896"/>
      <c r="O510" s="896"/>
      <c r="P510" s="896"/>
      <c r="Q510" s="896"/>
    </row>
    <row r="511" spans="1:18">
      <c r="A511" s="895">
        <f t="shared" si="185"/>
        <v>503</v>
      </c>
      <c r="B511" s="1260" t="s">
        <v>1676</v>
      </c>
      <c r="C511" s="1260"/>
      <c r="D511" s="1260"/>
      <c r="E511" s="1260"/>
      <c r="F511" s="909"/>
      <c r="G511" s="909"/>
      <c r="H511" s="910"/>
      <c r="I511" s="910"/>
      <c r="J511" s="911">
        <f>'WP_B-Inputs Est.'!M107</f>
        <v>-237242.12999999968</v>
      </c>
      <c r="K511" s="912"/>
      <c r="L511" s="910"/>
      <c r="M511" s="913"/>
      <c r="N511" s="913"/>
      <c r="O511" s="913"/>
      <c r="P511" s="913"/>
      <c r="Q511" s="911">
        <f>'WP_B-Inputs Act.'!M107</f>
        <v>0</v>
      </c>
    </row>
    <row r="512" spans="1:18">
      <c r="A512" s="895">
        <f t="shared" si="185"/>
        <v>504</v>
      </c>
      <c r="B512" s="914" t="s">
        <v>956</v>
      </c>
      <c r="C512" s="910">
        <v>31</v>
      </c>
      <c r="D512" s="915">
        <f t="shared" ref="D512:D520" si="198">D513+C513</f>
        <v>335</v>
      </c>
      <c r="E512" s="915">
        <f>SUM(C512:C523)</f>
        <v>365</v>
      </c>
      <c r="F512" s="916">
        <f>D512/E512</f>
        <v>0.9178082191780822</v>
      </c>
      <c r="G512" s="909"/>
      <c r="H512" s="917">
        <f>('WP_B-Inputs Est.'!M108-'WP_B-Inputs Est.'!M107)/12</f>
        <v>-649.25583333338238</v>
      </c>
      <c r="I512" s="910">
        <f>+H512*F512</f>
        <v>-595.89234018269337</v>
      </c>
      <c r="J512" s="910">
        <f t="shared" ref="J512:J523" si="199">+I512+J511</f>
        <v>-237838.02234018239</v>
      </c>
      <c r="K512" s="896"/>
      <c r="L512" s="917">
        <f>('WP_B-Inputs Act.'!M108-'WP_B-Inputs Act.'!M107)/12</f>
        <v>0</v>
      </c>
      <c r="M512" s="913">
        <f>L512-H512</f>
        <v>649.25583333338238</v>
      </c>
      <c r="N512" s="913">
        <f>IF(M512&lt;=0,+M512,0)</f>
        <v>0</v>
      </c>
      <c r="O512" s="913">
        <f>IF(N512&lt;0,0,IF(L512&gt;0,0,(-(M512)*(D512/E512))))</f>
        <v>-595.89234018269337</v>
      </c>
      <c r="P512" s="913">
        <f>IF(N512&lt;0,0,IF(L512&lt;0,0,(-(M512)*(D512/E512))))</f>
        <v>-595.89234018269337</v>
      </c>
      <c r="Q512" s="913">
        <f>IF(L512&gt;0,Q511+P512,Q511+I512+N512-O512)</f>
        <v>0</v>
      </c>
    </row>
    <row r="513" spans="1:17">
      <c r="A513" s="895">
        <f t="shared" si="185"/>
        <v>505</v>
      </c>
      <c r="B513" s="914" t="s">
        <v>904</v>
      </c>
      <c r="C513" s="917">
        <f>$C$17</f>
        <v>28</v>
      </c>
      <c r="D513" s="915">
        <f t="shared" si="198"/>
        <v>307</v>
      </c>
      <c r="E513" s="915">
        <f>E512</f>
        <v>365</v>
      </c>
      <c r="F513" s="916">
        <f t="shared" ref="F513:F523" si="200">D513/E513</f>
        <v>0.84109589041095889</v>
      </c>
      <c r="G513" s="909"/>
      <c r="H513" s="917">
        <f>$H$512</f>
        <v>-649.25583333338238</v>
      </c>
      <c r="I513" s="910">
        <f t="shared" ref="I513:I523" si="201">+H513*F513</f>
        <v>-546.08641324205041</v>
      </c>
      <c r="J513" s="910">
        <f t="shared" si="199"/>
        <v>-238384.10875342443</v>
      </c>
      <c r="K513" s="896"/>
      <c r="L513" s="917">
        <f>$L$512</f>
        <v>0</v>
      </c>
      <c r="M513" s="913">
        <f t="shared" ref="M513:M523" si="202">L513-H513</f>
        <v>649.25583333338238</v>
      </c>
      <c r="N513" s="913">
        <f t="shared" ref="N513:N523" si="203">IF(M513&lt;=0,+M513,0)</f>
        <v>0</v>
      </c>
      <c r="O513" s="913">
        <f t="shared" ref="O513:O523" si="204">IF(N513&lt;0,0,IF(L513&gt;0,0,(-(M513)*(D513/E513))))</f>
        <v>-546.08641324205041</v>
      </c>
      <c r="P513" s="913">
        <f t="shared" ref="P513:P523" si="205">IF(N513&lt;0,0,IF(L513&lt;0,0,(-(M513)*(D513/E513))))</f>
        <v>-546.08641324205041</v>
      </c>
      <c r="Q513" s="913">
        <f t="shared" ref="Q513:Q523" si="206">IF(L513&gt;0,Q512+P513,Q512+I513+N513-O513)</f>
        <v>0</v>
      </c>
    </row>
    <row r="514" spans="1:17">
      <c r="A514" s="895">
        <f t="shared" si="185"/>
        <v>506</v>
      </c>
      <c r="B514" s="914" t="s">
        <v>905</v>
      </c>
      <c r="C514" s="910">
        <v>31</v>
      </c>
      <c r="D514" s="915">
        <f t="shared" si="198"/>
        <v>276</v>
      </c>
      <c r="E514" s="915">
        <f t="shared" ref="E514:E523" si="207">E513</f>
        <v>365</v>
      </c>
      <c r="F514" s="916">
        <f t="shared" si="200"/>
        <v>0.75616438356164384</v>
      </c>
      <c r="G514" s="909"/>
      <c r="H514" s="917">
        <f t="shared" ref="H514:H523" si="208">$H$512</f>
        <v>-649.25583333338238</v>
      </c>
      <c r="I514" s="910">
        <f t="shared" si="201"/>
        <v>-490.94413698633844</v>
      </c>
      <c r="J514" s="910">
        <f t="shared" si="199"/>
        <v>-238875.05289041076</v>
      </c>
      <c r="K514" s="896"/>
      <c r="L514" s="917">
        <f t="shared" ref="L514:L523" si="209">$L$512</f>
        <v>0</v>
      </c>
      <c r="M514" s="913">
        <f t="shared" si="202"/>
        <v>649.25583333338238</v>
      </c>
      <c r="N514" s="913">
        <f t="shared" si="203"/>
        <v>0</v>
      </c>
      <c r="O514" s="913">
        <f t="shared" si="204"/>
        <v>-490.94413698633844</v>
      </c>
      <c r="P514" s="913">
        <f t="shared" si="205"/>
        <v>-490.94413698633844</v>
      </c>
      <c r="Q514" s="913">
        <f t="shared" si="206"/>
        <v>0</v>
      </c>
    </row>
    <row r="515" spans="1:17">
      <c r="A515" s="895">
        <f t="shared" si="185"/>
        <v>507</v>
      </c>
      <c r="B515" s="914" t="s">
        <v>906</v>
      </c>
      <c r="C515" s="910">
        <v>30</v>
      </c>
      <c r="D515" s="915">
        <f t="shared" si="198"/>
        <v>246</v>
      </c>
      <c r="E515" s="915">
        <f t="shared" si="207"/>
        <v>365</v>
      </c>
      <c r="F515" s="916">
        <f t="shared" si="200"/>
        <v>0.67397260273972603</v>
      </c>
      <c r="G515" s="909"/>
      <c r="H515" s="917">
        <f t="shared" si="208"/>
        <v>-649.25583333338238</v>
      </c>
      <c r="I515" s="910">
        <f t="shared" si="201"/>
        <v>-437.58064383564948</v>
      </c>
      <c r="J515" s="910">
        <f t="shared" si="199"/>
        <v>-239312.63353424642</v>
      </c>
      <c r="K515" s="896"/>
      <c r="L515" s="917">
        <f t="shared" si="209"/>
        <v>0</v>
      </c>
      <c r="M515" s="913">
        <f t="shared" si="202"/>
        <v>649.25583333338238</v>
      </c>
      <c r="N515" s="913">
        <f t="shared" si="203"/>
        <v>0</v>
      </c>
      <c r="O515" s="913">
        <f t="shared" si="204"/>
        <v>-437.58064383564948</v>
      </c>
      <c r="P515" s="913">
        <f t="shared" si="205"/>
        <v>-437.58064383564948</v>
      </c>
      <c r="Q515" s="913">
        <f t="shared" si="206"/>
        <v>0</v>
      </c>
    </row>
    <row r="516" spans="1:17">
      <c r="A516" s="895">
        <f t="shared" si="185"/>
        <v>508</v>
      </c>
      <c r="B516" s="914" t="s">
        <v>907</v>
      </c>
      <c r="C516" s="910">
        <v>31</v>
      </c>
      <c r="D516" s="915">
        <f t="shared" si="198"/>
        <v>215</v>
      </c>
      <c r="E516" s="915">
        <f t="shared" si="207"/>
        <v>365</v>
      </c>
      <c r="F516" s="916">
        <f t="shared" si="200"/>
        <v>0.58904109589041098</v>
      </c>
      <c r="G516" s="909"/>
      <c r="H516" s="917">
        <f t="shared" si="208"/>
        <v>-649.25583333338238</v>
      </c>
      <c r="I516" s="910">
        <f t="shared" si="201"/>
        <v>-382.43836757993756</v>
      </c>
      <c r="J516" s="910">
        <f t="shared" si="199"/>
        <v>-239695.07190182636</v>
      </c>
      <c r="K516" s="896"/>
      <c r="L516" s="917">
        <f t="shared" si="209"/>
        <v>0</v>
      </c>
      <c r="M516" s="913">
        <f t="shared" si="202"/>
        <v>649.25583333338238</v>
      </c>
      <c r="N516" s="913">
        <f t="shared" si="203"/>
        <v>0</v>
      </c>
      <c r="O516" s="913">
        <f t="shared" si="204"/>
        <v>-382.43836757993756</v>
      </c>
      <c r="P516" s="913">
        <f t="shared" si="205"/>
        <v>-382.43836757993756</v>
      </c>
      <c r="Q516" s="913">
        <f t="shared" si="206"/>
        <v>0</v>
      </c>
    </row>
    <row r="517" spans="1:17">
      <c r="A517" s="895">
        <f t="shared" si="185"/>
        <v>509</v>
      </c>
      <c r="B517" s="914" t="s">
        <v>908</v>
      </c>
      <c r="C517" s="910">
        <v>30</v>
      </c>
      <c r="D517" s="915">
        <f t="shared" si="198"/>
        <v>185</v>
      </c>
      <c r="E517" s="915">
        <f t="shared" si="207"/>
        <v>365</v>
      </c>
      <c r="F517" s="916">
        <f t="shared" si="200"/>
        <v>0.50684931506849318</v>
      </c>
      <c r="G517" s="909"/>
      <c r="H517" s="917">
        <f t="shared" si="208"/>
        <v>-649.25583333338238</v>
      </c>
      <c r="I517" s="910">
        <f t="shared" si="201"/>
        <v>-329.07487442924861</v>
      </c>
      <c r="J517" s="910">
        <f t="shared" si="199"/>
        <v>-240024.1467762556</v>
      </c>
      <c r="K517" s="896"/>
      <c r="L517" s="917">
        <f t="shared" si="209"/>
        <v>0</v>
      </c>
      <c r="M517" s="913">
        <f t="shared" si="202"/>
        <v>649.25583333338238</v>
      </c>
      <c r="N517" s="913">
        <f t="shared" si="203"/>
        <v>0</v>
      </c>
      <c r="O517" s="913">
        <f t="shared" si="204"/>
        <v>-329.07487442924861</v>
      </c>
      <c r="P517" s="913">
        <f t="shared" si="205"/>
        <v>-329.07487442924861</v>
      </c>
      <c r="Q517" s="913">
        <f t="shared" si="206"/>
        <v>0</v>
      </c>
    </row>
    <row r="518" spans="1:17">
      <c r="A518" s="895">
        <f t="shared" si="185"/>
        <v>510</v>
      </c>
      <c r="B518" s="914" t="s">
        <v>909</v>
      </c>
      <c r="C518" s="910">
        <v>31</v>
      </c>
      <c r="D518" s="915">
        <f t="shared" si="198"/>
        <v>154</v>
      </c>
      <c r="E518" s="915">
        <f t="shared" si="207"/>
        <v>365</v>
      </c>
      <c r="F518" s="916">
        <f t="shared" si="200"/>
        <v>0.42191780821917807</v>
      </c>
      <c r="G518" s="909"/>
      <c r="H518" s="917">
        <f t="shared" si="208"/>
        <v>-649.25583333338238</v>
      </c>
      <c r="I518" s="910">
        <f t="shared" si="201"/>
        <v>-273.93259817353669</v>
      </c>
      <c r="J518" s="910">
        <f t="shared" si="199"/>
        <v>-240298.07937442913</v>
      </c>
      <c r="K518" s="896"/>
      <c r="L518" s="917">
        <f t="shared" si="209"/>
        <v>0</v>
      </c>
      <c r="M518" s="913">
        <f t="shared" si="202"/>
        <v>649.25583333338238</v>
      </c>
      <c r="N518" s="913">
        <f t="shared" si="203"/>
        <v>0</v>
      </c>
      <c r="O518" s="913">
        <f t="shared" si="204"/>
        <v>-273.93259817353669</v>
      </c>
      <c r="P518" s="913">
        <f t="shared" si="205"/>
        <v>-273.93259817353669</v>
      </c>
      <c r="Q518" s="913">
        <f t="shared" si="206"/>
        <v>0</v>
      </c>
    </row>
    <row r="519" spans="1:17">
      <c r="A519" s="895">
        <f t="shared" si="185"/>
        <v>511</v>
      </c>
      <c r="B519" s="914" t="s">
        <v>910</v>
      </c>
      <c r="C519" s="910">
        <v>31</v>
      </c>
      <c r="D519" s="915">
        <f t="shared" si="198"/>
        <v>123</v>
      </c>
      <c r="E519" s="915">
        <f t="shared" si="207"/>
        <v>365</v>
      </c>
      <c r="F519" s="916">
        <f t="shared" si="200"/>
        <v>0.33698630136986302</v>
      </c>
      <c r="G519" s="909"/>
      <c r="H519" s="917">
        <f t="shared" si="208"/>
        <v>-649.25583333338238</v>
      </c>
      <c r="I519" s="910">
        <f t="shared" si="201"/>
        <v>-218.79032191782474</v>
      </c>
      <c r="J519" s="910">
        <f t="shared" si="199"/>
        <v>-240516.86969634696</v>
      </c>
      <c r="K519" s="896"/>
      <c r="L519" s="917">
        <f t="shared" si="209"/>
        <v>0</v>
      </c>
      <c r="M519" s="913">
        <f t="shared" si="202"/>
        <v>649.25583333338238</v>
      </c>
      <c r="N519" s="913">
        <f t="shared" si="203"/>
        <v>0</v>
      </c>
      <c r="O519" s="913">
        <f t="shared" si="204"/>
        <v>-218.79032191782474</v>
      </c>
      <c r="P519" s="913">
        <f t="shared" si="205"/>
        <v>-218.79032191782474</v>
      </c>
      <c r="Q519" s="913">
        <f t="shared" si="206"/>
        <v>0</v>
      </c>
    </row>
    <row r="520" spans="1:17">
      <c r="A520" s="895">
        <f t="shared" si="185"/>
        <v>512</v>
      </c>
      <c r="B520" s="914" t="s">
        <v>911</v>
      </c>
      <c r="C520" s="910">
        <v>30</v>
      </c>
      <c r="D520" s="915">
        <f t="shared" si="198"/>
        <v>93</v>
      </c>
      <c r="E520" s="915">
        <f t="shared" si="207"/>
        <v>365</v>
      </c>
      <c r="F520" s="916">
        <f t="shared" si="200"/>
        <v>0.25479452054794521</v>
      </c>
      <c r="G520" s="909"/>
      <c r="H520" s="917">
        <f t="shared" si="208"/>
        <v>-649.25583333338238</v>
      </c>
      <c r="I520" s="910">
        <f t="shared" si="201"/>
        <v>-165.42682876713579</v>
      </c>
      <c r="J520" s="910">
        <f t="shared" si="199"/>
        <v>-240682.2965251141</v>
      </c>
      <c r="K520" s="896"/>
      <c r="L520" s="917">
        <f t="shared" si="209"/>
        <v>0</v>
      </c>
      <c r="M520" s="913">
        <f t="shared" si="202"/>
        <v>649.25583333338238</v>
      </c>
      <c r="N520" s="913">
        <f t="shared" si="203"/>
        <v>0</v>
      </c>
      <c r="O520" s="913">
        <f t="shared" si="204"/>
        <v>-165.42682876713579</v>
      </c>
      <c r="P520" s="913">
        <f t="shared" si="205"/>
        <v>-165.42682876713579</v>
      </c>
      <c r="Q520" s="913">
        <f t="shared" si="206"/>
        <v>0</v>
      </c>
    </row>
    <row r="521" spans="1:17">
      <c r="A521" s="895">
        <f t="shared" ref="A521:A584" si="210">+A520+1</f>
        <v>513</v>
      </c>
      <c r="B521" s="914" t="s">
        <v>912</v>
      </c>
      <c r="C521" s="910">
        <v>31</v>
      </c>
      <c r="D521" s="915">
        <f>D522+C522</f>
        <v>62</v>
      </c>
      <c r="E521" s="915">
        <f t="shared" si="207"/>
        <v>365</v>
      </c>
      <c r="F521" s="916">
        <f t="shared" si="200"/>
        <v>0.16986301369863013</v>
      </c>
      <c r="G521" s="909"/>
      <c r="H521" s="917">
        <f t="shared" si="208"/>
        <v>-649.25583333338238</v>
      </c>
      <c r="I521" s="910">
        <f t="shared" si="201"/>
        <v>-110.28455251142385</v>
      </c>
      <c r="J521" s="910">
        <f t="shared" si="199"/>
        <v>-240792.58107762551</v>
      </c>
      <c r="K521" s="896"/>
      <c r="L521" s="917">
        <f t="shared" si="209"/>
        <v>0</v>
      </c>
      <c r="M521" s="913">
        <f t="shared" si="202"/>
        <v>649.25583333338238</v>
      </c>
      <c r="N521" s="913">
        <f t="shared" si="203"/>
        <v>0</v>
      </c>
      <c r="O521" s="913">
        <f t="shared" si="204"/>
        <v>-110.28455251142385</v>
      </c>
      <c r="P521" s="913">
        <f t="shared" si="205"/>
        <v>-110.28455251142385</v>
      </c>
      <c r="Q521" s="913">
        <f t="shared" si="206"/>
        <v>0</v>
      </c>
    </row>
    <row r="522" spans="1:17">
      <c r="A522" s="895">
        <f t="shared" si="210"/>
        <v>514</v>
      </c>
      <c r="B522" s="914" t="s">
        <v>913</v>
      </c>
      <c r="C522" s="910">
        <v>30</v>
      </c>
      <c r="D522" s="915">
        <f>D523+C523</f>
        <v>32</v>
      </c>
      <c r="E522" s="915">
        <f t="shared" si="207"/>
        <v>365</v>
      </c>
      <c r="F522" s="916">
        <f t="shared" si="200"/>
        <v>8.7671232876712329E-2</v>
      </c>
      <c r="G522" s="909"/>
      <c r="H522" s="917">
        <f t="shared" si="208"/>
        <v>-649.25583333338238</v>
      </c>
      <c r="I522" s="910">
        <f t="shared" si="201"/>
        <v>-56.921059360734894</v>
      </c>
      <c r="J522" s="910">
        <f t="shared" si="199"/>
        <v>-240849.50213698624</v>
      </c>
      <c r="K522" s="896"/>
      <c r="L522" s="917">
        <f t="shared" si="209"/>
        <v>0</v>
      </c>
      <c r="M522" s="913">
        <f t="shared" si="202"/>
        <v>649.25583333338238</v>
      </c>
      <c r="N522" s="913">
        <f t="shared" si="203"/>
        <v>0</v>
      </c>
      <c r="O522" s="913">
        <f t="shared" si="204"/>
        <v>-56.921059360734894</v>
      </c>
      <c r="P522" s="913">
        <f t="shared" si="205"/>
        <v>-56.921059360734894</v>
      </c>
      <c r="Q522" s="913">
        <f t="shared" si="206"/>
        <v>0</v>
      </c>
    </row>
    <row r="523" spans="1:17">
      <c r="A523" s="895">
        <f t="shared" si="210"/>
        <v>515</v>
      </c>
      <c r="B523" s="914" t="s">
        <v>914</v>
      </c>
      <c r="C523" s="910">
        <v>31</v>
      </c>
      <c r="D523" s="915">
        <v>1</v>
      </c>
      <c r="E523" s="915">
        <f t="shared" si="207"/>
        <v>365</v>
      </c>
      <c r="F523" s="916">
        <f t="shared" si="200"/>
        <v>2.7397260273972603E-3</v>
      </c>
      <c r="G523" s="909"/>
      <c r="H523" s="917">
        <f t="shared" si="208"/>
        <v>-649.25583333338238</v>
      </c>
      <c r="I523" s="910">
        <f t="shared" si="201"/>
        <v>-1.7787831050229654</v>
      </c>
      <c r="J523" s="910">
        <f t="shared" si="199"/>
        <v>-240851.28092009126</v>
      </c>
      <c r="K523" s="896"/>
      <c r="L523" s="917">
        <f t="shared" si="209"/>
        <v>0</v>
      </c>
      <c r="M523" s="913">
        <f t="shared" si="202"/>
        <v>649.25583333338238</v>
      </c>
      <c r="N523" s="913">
        <f t="shared" si="203"/>
        <v>0</v>
      </c>
      <c r="O523" s="913">
        <f t="shared" si="204"/>
        <v>-1.7787831050229654</v>
      </c>
      <c r="P523" s="913">
        <f t="shared" si="205"/>
        <v>-1.7787831050229654</v>
      </c>
      <c r="Q523" s="913">
        <f t="shared" si="206"/>
        <v>0</v>
      </c>
    </row>
    <row r="524" spans="1:17">
      <c r="A524" s="895">
        <f t="shared" si="210"/>
        <v>516</v>
      </c>
      <c r="B524" s="918"/>
      <c r="C524" s="918" t="s">
        <v>795</v>
      </c>
      <c r="D524" s="919">
        <f>+SUM(D512:D523)</f>
        <v>2029</v>
      </c>
      <c r="E524" s="919">
        <f>+SUM(E512:E523)</f>
        <v>4380</v>
      </c>
      <c r="F524" s="920"/>
      <c r="G524" s="909"/>
      <c r="H524" s="921">
        <f>SUM(H512:H523)</f>
        <v>-7791.07000000059</v>
      </c>
      <c r="I524" s="921">
        <f>SUM(I512:I523)</f>
        <v>-3609.1509200915971</v>
      </c>
      <c r="J524" s="920"/>
      <c r="K524" s="896"/>
      <c r="L524" s="922">
        <f>SUM(L512:L523)</f>
        <v>0</v>
      </c>
      <c r="M524" s="922">
        <f>SUM(M512:M523)</f>
        <v>7791.07000000059</v>
      </c>
      <c r="N524" s="922">
        <f>SUM(N512:N523)</f>
        <v>0</v>
      </c>
      <c r="O524" s="922">
        <f>SUM(O512:O523)</f>
        <v>-3609.1509200915971</v>
      </c>
      <c r="P524" s="922">
        <f>SUM(P512:P523)</f>
        <v>-3609.1509200915971</v>
      </c>
      <c r="Q524" s="922"/>
    </row>
    <row r="525" spans="1:17">
      <c r="A525" s="895">
        <f t="shared" si="210"/>
        <v>517</v>
      </c>
      <c r="B525" s="924"/>
      <c r="C525" s="924"/>
      <c r="D525" s="925"/>
      <c r="E525" s="925"/>
      <c r="F525" s="926"/>
      <c r="G525" s="909"/>
      <c r="H525" s="910"/>
      <c r="I525" s="910"/>
      <c r="J525" s="926"/>
      <c r="K525" s="896"/>
      <c r="L525" s="928"/>
      <c r="M525" s="928"/>
      <c r="N525" s="928"/>
      <c r="O525" s="928"/>
      <c r="P525" s="928"/>
      <c r="Q525" s="928"/>
    </row>
    <row r="526" spans="1:17">
      <c r="A526" s="895">
        <f t="shared" si="210"/>
        <v>518</v>
      </c>
      <c r="B526" s="896" t="s">
        <v>1677</v>
      </c>
      <c r="C526" s="924"/>
      <c r="D526" s="925"/>
      <c r="E526" s="929">
        <f>1-(D524/E524)</f>
        <v>0.53675799086757991</v>
      </c>
      <c r="F526" s="926"/>
      <c r="G526" s="909"/>
      <c r="H526" s="910"/>
      <c r="I526" s="910"/>
      <c r="J526" s="926"/>
      <c r="K526" s="896"/>
      <c r="L526" s="928"/>
      <c r="M526" s="928"/>
      <c r="N526" s="928"/>
      <c r="O526" s="928"/>
      <c r="P526" s="928"/>
      <c r="Q526" s="928"/>
    </row>
    <row r="527" spans="1:17" s="901" customFormat="1">
      <c r="A527" s="895">
        <f t="shared" si="210"/>
        <v>519</v>
      </c>
      <c r="B527" s="947"/>
      <c r="C527" s="947"/>
      <c r="D527" s="947"/>
      <c r="E527" s="947"/>
      <c r="F527" s="948"/>
      <c r="G527" s="948"/>
      <c r="H527" s="900"/>
      <c r="I527" s="949"/>
      <c r="J527" s="948"/>
      <c r="K527" s="908"/>
      <c r="L527" s="908"/>
      <c r="M527" s="908"/>
      <c r="N527" s="908"/>
      <c r="O527" s="908"/>
      <c r="P527" s="908"/>
      <c r="Q527" s="908"/>
    </row>
    <row r="528" spans="1:17" s="901" customFormat="1">
      <c r="A528" s="895">
        <f t="shared" si="210"/>
        <v>520</v>
      </c>
      <c r="B528" s="950"/>
      <c r="C528" s="947"/>
      <c r="D528" s="908"/>
      <c r="E528" s="947"/>
      <c r="F528" s="908"/>
      <c r="G528" s="948"/>
      <c r="H528" s="900"/>
      <c r="I528" s="949"/>
      <c r="J528" s="951"/>
      <c r="K528" s="908"/>
      <c r="L528" s="908"/>
      <c r="M528" s="908"/>
      <c r="N528" s="908"/>
      <c r="O528" s="908"/>
      <c r="P528" s="908"/>
      <c r="Q528" s="951"/>
    </row>
    <row r="529" spans="1:18" s="109" customFormat="1">
      <c r="A529" s="895">
        <f t="shared" si="210"/>
        <v>521</v>
      </c>
      <c r="B529" s="934" t="s">
        <v>1678</v>
      </c>
      <c r="C529" s="934"/>
      <c r="D529" s="934"/>
      <c r="E529" s="934"/>
      <c r="F529" s="934" t="str">
        <f>"(Line "&amp;A511&amp;", Col H)"</f>
        <v>(Line 503, Col H)</v>
      </c>
      <c r="G529" s="952"/>
      <c r="H529" s="934"/>
      <c r="I529" s="952"/>
      <c r="J529" s="913">
        <f>J511</f>
        <v>-237242.12999999968</v>
      </c>
      <c r="K529" s="934"/>
      <c r="L529" s="934"/>
      <c r="M529" s="934"/>
      <c r="N529" s="934" t="str">
        <f>"(Line "&amp;A511&amp;", Col N)"</f>
        <v>(Line 503, Col N)</v>
      </c>
      <c r="O529" s="934"/>
      <c r="P529" s="934"/>
      <c r="Q529" s="913">
        <f>Q511</f>
        <v>0</v>
      </c>
    </row>
    <row r="530" spans="1:18" s="109" customFormat="1">
      <c r="A530" s="895">
        <f t="shared" si="210"/>
        <v>522</v>
      </c>
      <c r="B530" s="934" t="s">
        <v>1679</v>
      </c>
      <c r="C530" s="934"/>
      <c r="D530" s="934"/>
      <c r="E530" s="934"/>
      <c r="F530" s="934" t="str">
        <f>"(Line "&amp;A523&amp;", Col H)"</f>
        <v>(Line 515, Col H)</v>
      </c>
      <c r="G530" s="952"/>
      <c r="H530" s="934"/>
      <c r="I530" s="952"/>
      <c r="J530" s="913">
        <f>J523</f>
        <v>-240851.28092009126</v>
      </c>
      <c r="K530" s="934"/>
      <c r="L530" s="953"/>
      <c r="M530" s="934"/>
      <c r="N530" s="934" t="str">
        <f>"(Line "&amp;A523&amp;", Col N)"</f>
        <v>(Line 515, Col N)</v>
      </c>
      <c r="O530" s="934"/>
      <c r="P530" s="934"/>
      <c r="Q530" s="913">
        <f>Q523</f>
        <v>0</v>
      </c>
    </row>
    <row r="531" spans="1:18" s="109" customFormat="1">
      <c r="A531" s="895">
        <f t="shared" si="210"/>
        <v>523</v>
      </c>
      <c r="B531" s="934" t="s">
        <v>1680</v>
      </c>
      <c r="C531" s="934"/>
      <c r="D531" s="934"/>
      <c r="E531" s="934"/>
      <c r="F531" s="934" t="str">
        <f>"(Average of Line "&amp;A529&amp;" &amp; Line "&amp;A530&amp;")"</f>
        <v>(Average of Line 521 &amp; Line 522)</v>
      </c>
      <c r="G531" s="952"/>
      <c r="H531" s="934"/>
      <c r="I531" s="954"/>
      <c r="J531" s="938">
        <f>(J529+J530)/2</f>
        <v>-239046.70546004549</v>
      </c>
      <c r="K531" s="934"/>
      <c r="L531" s="955"/>
      <c r="M531" s="934"/>
      <c r="N531" s="934" t="str">
        <f>"(Average of Line "&amp;A529&amp;" &amp; Line "&amp;A530&amp;")"</f>
        <v>(Average of Line 521 &amp; Line 522)</v>
      </c>
      <c r="O531" s="934"/>
      <c r="P531" s="934"/>
      <c r="Q531" s="938">
        <f>(Q529+Q530)/2</f>
        <v>0</v>
      </c>
    </row>
    <row r="532" spans="1:18" s="109" customFormat="1" ht="13.5" customHeight="1">
      <c r="A532" s="895">
        <f t="shared" si="210"/>
        <v>524</v>
      </c>
      <c r="B532" s="934" t="s">
        <v>1681</v>
      </c>
      <c r="C532" s="934"/>
      <c r="D532" s="934"/>
      <c r="E532" s="934"/>
      <c r="F532" s="934" t="s">
        <v>1830</v>
      </c>
      <c r="G532" s="934"/>
      <c r="H532" s="934"/>
      <c r="I532" s="934"/>
      <c r="J532" s="956">
        <f>AVERAGE(J511, (SUM(H512:H523)+J511))</f>
        <v>-241137.66499999998</v>
      </c>
      <c r="K532" s="934"/>
      <c r="L532" s="934"/>
      <c r="M532" s="934"/>
      <c r="N532" s="934" t="s">
        <v>1830</v>
      </c>
      <c r="O532" s="934"/>
      <c r="P532" s="934"/>
      <c r="Q532" s="956">
        <f>AVERAGE(Q511, (SUM(L512:L523)+Q511))</f>
        <v>0</v>
      </c>
    </row>
    <row r="533" spans="1:18" s="109" customFormat="1" ht="13.5" customHeight="1">
      <c r="A533" s="895">
        <f t="shared" si="210"/>
        <v>525</v>
      </c>
      <c r="B533" s="934" t="s">
        <v>1682</v>
      </c>
      <c r="C533" s="934"/>
      <c r="D533" s="934"/>
      <c r="E533" s="934"/>
      <c r="F533" s="934"/>
      <c r="G533" s="934"/>
      <c r="H533" s="934"/>
      <c r="I533" s="934"/>
      <c r="J533" s="953">
        <f>J531-J532</f>
        <v>2090.9595399544924</v>
      </c>
      <c r="K533" s="934"/>
      <c r="L533" s="934"/>
      <c r="M533" s="934"/>
      <c r="N533" s="934"/>
      <c r="O533" s="934"/>
      <c r="P533" s="934"/>
      <c r="Q533" s="953">
        <f>Q531-Q532</f>
        <v>0</v>
      </c>
    </row>
    <row r="534" spans="1:18" s="901" customFormat="1">
      <c r="A534" s="895">
        <f t="shared" si="210"/>
        <v>526</v>
      </c>
      <c r="B534" s="957"/>
      <c r="C534" s="957"/>
      <c r="D534" s="957"/>
      <c r="E534" s="957"/>
      <c r="F534" s="957"/>
      <c r="G534" s="957"/>
      <c r="H534" s="957"/>
      <c r="I534" s="957"/>
      <c r="J534" s="957"/>
      <c r="K534" s="908"/>
      <c r="L534" s="908"/>
      <c r="M534" s="908"/>
      <c r="N534" s="908"/>
      <c r="O534" s="908"/>
      <c r="P534" s="908"/>
      <c r="Q534" s="957"/>
    </row>
    <row r="535" spans="1:18" s="901" customFormat="1">
      <c r="A535" s="895">
        <f t="shared" si="210"/>
        <v>527</v>
      </c>
      <c r="B535" s="908"/>
      <c r="C535" s="908"/>
      <c r="D535" s="908"/>
      <c r="E535" s="908"/>
      <c r="F535" s="908"/>
      <c r="G535" s="908"/>
      <c r="H535" s="908"/>
      <c r="I535" s="908"/>
      <c r="J535" s="908"/>
      <c r="K535" s="908"/>
      <c r="L535" s="908"/>
      <c r="M535" s="908"/>
      <c r="N535" s="908"/>
      <c r="O535" s="908"/>
      <c r="P535" s="908"/>
      <c r="Q535" s="908"/>
    </row>
    <row r="536" spans="1:18">
      <c r="A536" s="895">
        <f t="shared" si="210"/>
        <v>528</v>
      </c>
      <c r="B536" s="1252" t="s">
        <v>1686</v>
      </c>
      <c r="C536" s="1252"/>
      <c r="D536" s="1252"/>
      <c r="E536" s="1252"/>
      <c r="F536" s="896"/>
      <c r="G536" s="896"/>
      <c r="H536" s="942"/>
      <c r="I536" s="942"/>
      <c r="J536" s="942"/>
      <c r="K536" s="896"/>
      <c r="L536" s="943"/>
      <c r="M536" s="944"/>
      <c r="N536" s="944"/>
      <c r="O536" s="944"/>
      <c r="P536" s="944"/>
      <c r="Q536" s="944"/>
      <c r="R536" s="901"/>
    </row>
    <row r="537" spans="1:18">
      <c r="A537" s="895">
        <f t="shared" si="210"/>
        <v>529</v>
      </c>
      <c r="B537" s="1253" t="s">
        <v>1692</v>
      </c>
      <c r="C537" s="1253"/>
      <c r="D537" s="1253"/>
      <c r="E537" s="1253"/>
      <c r="F537" s="896"/>
      <c r="G537" s="896"/>
      <c r="H537" s="942"/>
      <c r="I537" s="942"/>
      <c r="J537" s="942"/>
      <c r="K537" s="896"/>
      <c r="L537" s="943"/>
      <c r="M537" s="944"/>
      <c r="N537" s="944"/>
      <c r="O537" s="944"/>
      <c r="P537" s="944"/>
      <c r="Q537" s="944"/>
      <c r="R537" s="901"/>
    </row>
    <row r="538" spans="1:18">
      <c r="A538" s="895">
        <f t="shared" si="210"/>
        <v>530</v>
      </c>
      <c r="B538" s="1254" t="s">
        <v>1661</v>
      </c>
      <c r="C538" s="1255"/>
      <c r="D538" s="1255"/>
      <c r="E538" s="1255"/>
      <c r="F538" s="1256"/>
      <c r="G538" s="902"/>
      <c r="H538" s="1257" t="s">
        <v>1662</v>
      </c>
      <c r="I538" s="1258"/>
      <c r="J538" s="1259"/>
      <c r="K538" s="896"/>
      <c r="L538" s="1257" t="s">
        <v>1663</v>
      </c>
      <c r="M538" s="1258"/>
      <c r="N538" s="1258"/>
      <c r="O538" s="1258"/>
      <c r="P538" s="1258"/>
      <c r="Q538" s="1258"/>
    </row>
    <row r="539" spans="1:18">
      <c r="A539" s="895">
        <f t="shared" si="210"/>
        <v>531</v>
      </c>
      <c r="B539" s="903" t="s">
        <v>830</v>
      </c>
      <c r="C539" s="903" t="s">
        <v>831</v>
      </c>
      <c r="D539" s="903" t="s">
        <v>832</v>
      </c>
      <c r="E539" s="903" t="s">
        <v>833</v>
      </c>
      <c r="F539" s="903" t="s">
        <v>834</v>
      </c>
      <c r="G539" s="902"/>
      <c r="H539" s="903" t="s">
        <v>835</v>
      </c>
      <c r="I539" s="903" t="s">
        <v>836</v>
      </c>
      <c r="J539" s="903" t="s">
        <v>837</v>
      </c>
      <c r="K539" s="896"/>
      <c r="L539" s="903" t="s">
        <v>838</v>
      </c>
      <c r="M539" s="903" t="s">
        <v>839</v>
      </c>
      <c r="N539" s="903" t="s">
        <v>840</v>
      </c>
      <c r="O539" s="903" t="s">
        <v>841</v>
      </c>
      <c r="P539" s="903" t="s">
        <v>843</v>
      </c>
      <c r="Q539" s="903" t="s">
        <v>842</v>
      </c>
    </row>
    <row r="540" spans="1:18" ht="45">
      <c r="A540" s="895">
        <f t="shared" si="210"/>
        <v>532</v>
      </c>
      <c r="B540" s="905" t="s">
        <v>1352</v>
      </c>
      <c r="C540" s="905" t="s">
        <v>1587</v>
      </c>
      <c r="D540" s="905" t="s">
        <v>1664</v>
      </c>
      <c r="E540" s="905" t="s">
        <v>1665</v>
      </c>
      <c r="F540" s="905" t="s">
        <v>1666</v>
      </c>
      <c r="G540" s="906"/>
      <c r="H540" s="905" t="s">
        <v>1667</v>
      </c>
      <c r="I540" s="905" t="s">
        <v>1668</v>
      </c>
      <c r="J540" s="905" t="s">
        <v>1669</v>
      </c>
      <c r="K540" s="896"/>
      <c r="L540" s="905" t="s">
        <v>1670</v>
      </c>
      <c r="M540" s="905" t="s">
        <v>1671</v>
      </c>
      <c r="N540" s="905" t="s">
        <v>1672</v>
      </c>
      <c r="O540" s="905" t="s">
        <v>1673</v>
      </c>
      <c r="P540" s="905" t="s">
        <v>1674</v>
      </c>
      <c r="Q540" s="905" t="s">
        <v>1675</v>
      </c>
    </row>
    <row r="541" spans="1:18">
      <c r="A541" s="895">
        <f t="shared" si="210"/>
        <v>533</v>
      </c>
      <c r="B541" s="896"/>
      <c r="C541" s="906"/>
      <c r="D541" s="906"/>
      <c r="E541" s="906"/>
      <c r="F541" s="906"/>
      <c r="G541" s="906"/>
      <c r="H541" s="906"/>
      <c r="I541" s="906"/>
      <c r="J541" s="906"/>
      <c r="K541" s="896"/>
      <c r="L541" s="896"/>
      <c r="M541" s="896"/>
      <c r="N541" s="896"/>
      <c r="O541" s="896"/>
      <c r="P541" s="896"/>
      <c r="Q541" s="896"/>
    </row>
    <row r="542" spans="1:18">
      <c r="A542" s="895">
        <f t="shared" si="210"/>
        <v>534</v>
      </c>
      <c r="B542" s="1260" t="s">
        <v>1676</v>
      </c>
      <c r="C542" s="1260"/>
      <c r="D542" s="1260"/>
      <c r="E542" s="1260"/>
      <c r="F542" s="909"/>
      <c r="G542" s="909"/>
      <c r="H542" s="910"/>
      <c r="I542" s="910"/>
      <c r="J542" s="911">
        <f>'WP_B-Inputs Est.'!N107</f>
        <v>105653.60999999999</v>
      </c>
      <c r="K542" s="912"/>
      <c r="L542" s="910"/>
      <c r="M542" s="913"/>
      <c r="N542" s="913"/>
      <c r="O542" s="913"/>
      <c r="P542" s="913"/>
      <c r="Q542" s="911">
        <f>'WP_B-Inputs Act.'!N107</f>
        <v>0</v>
      </c>
    </row>
    <row r="543" spans="1:18">
      <c r="A543" s="895">
        <f t="shared" si="210"/>
        <v>535</v>
      </c>
      <c r="B543" s="914" t="s">
        <v>956</v>
      </c>
      <c r="C543" s="910">
        <v>31</v>
      </c>
      <c r="D543" s="915">
        <f t="shared" ref="D543:D551" si="211">D544+C544</f>
        <v>335</v>
      </c>
      <c r="E543" s="915">
        <f>SUM(C543:C554)</f>
        <v>365</v>
      </c>
      <c r="F543" s="916">
        <f>D543/E543</f>
        <v>0.9178082191780822</v>
      </c>
      <c r="G543" s="909"/>
      <c r="H543" s="917">
        <f>('WP_B-Inputs Est.'!N108-'WP_B-Inputs Est.'!N107)/12</f>
        <v>0</v>
      </c>
      <c r="I543" s="910">
        <f>+H543*F543</f>
        <v>0</v>
      </c>
      <c r="J543" s="910">
        <f t="shared" ref="J543:J554" si="212">+I543+J542</f>
        <v>105653.60999999999</v>
      </c>
      <c r="K543" s="896"/>
      <c r="L543" s="917">
        <f>('WP_B-Inputs Act.'!N108-'WP_B-Inputs Act.'!N107)/12</f>
        <v>0</v>
      </c>
      <c r="M543" s="913">
        <f>L543-H543</f>
        <v>0</v>
      </c>
      <c r="N543" s="913">
        <f>IF(M543&gt;=0,+M543,0)</f>
        <v>0</v>
      </c>
      <c r="O543" s="913">
        <f>IF(N543&gt;0,0,IF(L543&lt;0,0,(-(M543)*(D543/E543))))</f>
        <v>0</v>
      </c>
      <c r="P543" s="913">
        <f>IF(N543&gt;0,0,IF(L543&gt;0,0,(-(M543)*(D543/E543))))</f>
        <v>0</v>
      </c>
      <c r="Q543" s="913">
        <f>IF(L543&lt;0,Q542+P543,Q542+I543+N543-O543)</f>
        <v>0</v>
      </c>
    </row>
    <row r="544" spans="1:18">
      <c r="A544" s="895">
        <f t="shared" si="210"/>
        <v>536</v>
      </c>
      <c r="B544" s="914" t="s">
        <v>904</v>
      </c>
      <c r="C544" s="917">
        <f>$C$17</f>
        <v>28</v>
      </c>
      <c r="D544" s="915">
        <f t="shared" si="211"/>
        <v>307</v>
      </c>
      <c r="E544" s="915">
        <f>E543</f>
        <v>365</v>
      </c>
      <c r="F544" s="916">
        <f t="shared" ref="F544:F554" si="213">D544/E544</f>
        <v>0.84109589041095889</v>
      </c>
      <c r="G544" s="909"/>
      <c r="H544" s="917">
        <f>$H$543</f>
        <v>0</v>
      </c>
      <c r="I544" s="910">
        <f t="shared" ref="I544:I554" si="214">+H544*F544</f>
        <v>0</v>
      </c>
      <c r="J544" s="910">
        <f t="shared" si="212"/>
        <v>105653.60999999999</v>
      </c>
      <c r="K544" s="896"/>
      <c r="L544" s="917">
        <f>$L$543</f>
        <v>0</v>
      </c>
      <c r="M544" s="913">
        <f t="shared" ref="M544:M554" si="215">L544-H544</f>
        <v>0</v>
      </c>
      <c r="N544" s="913">
        <f t="shared" ref="N544:N554" si="216">IF(M544&gt;=0,+M544,0)</f>
        <v>0</v>
      </c>
      <c r="O544" s="913">
        <f t="shared" ref="O544:O554" si="217">IF(N544&gt;0,0,IF(L544&lt;0,0,(-(M544)*(D544/E544))))</f>
        <v>0</v>
      </c>
      <c r="P544" s="913">
        <f t="shared" ref="P544:P554" si="218">IF(N544&gt;0,0,IF(L544&gt;0,0,(-(M544)*(D544/E544))))</f>
        <v>0</v>
      </c>
      <c r="Q544" s="913">
        <f t="shared" ref="Q544:Q554" si="219">IF(L544&lt;0,Q543+P544,Q543+I544+N544-O544)</f>
        <v>0</v>
      </c>
    </row>
    <row r="545" spans="1:17">
      <c r="A545" s="895">
        <f t="shared" si="210"/>
        <v>537</v>
      </c>
      <c r="B545" s="914" t="s">
        <v>905</v>
      </c>
      <c r="C545" s="910">
        <v>31</v>
      </c>
      <c r="D545" s="915">
        <f t="shared" si="211"/>
        <v>276</v>
      </c>
      <c r="E545" s="915">
        <f t="shared" ref="E545:E554" si="220">E544</f>
        <v>365</v>
      </c>
      <c r="F545" s="916">
        <f t="shared" si="213"/>
        <v>0.75616438356164384</v>
      </c>
      <c r="G545" s="909"/>
      <c r="H545" s="917">
        <f t="shared" ref="H545:H554" si="221">$H$543</f>
        <v>0</v>
      </c>
      <c r="I545" s="910">
        <f t="shared" si="214"/>
        <v>0</v>
      </c>
      <c r="J545" s="910">
        <f t="shared" si="212"/>
        <v>105653.60999999999</v>
      </c>
      <c r="K545" s="896"/>
      <c r="L545" s="917">
        <f t="shared" ref="L545:L554" si="222">$L$543</f>
        <v>0</v>
      </c>
      <c r="M545" s="913">
        <f t="shared" si="215"/>
        <v>0</v>
      </c>
      <c r="N545" s="913">
        <f t="shared" si="216"/>
        <v>0</v>
      </c>
      <c r="O545" s="913">
        <f t="shared" si="217"/>
        <v>0</v>
      </c>
      <c r="P545" s="913">
        <f t="shared" si="218"/>
        <v>0</v>
      </c>
      <c r="Q545" s="913">
        <f t="shared" si="219"/>
        <v>0</v>
      </c>
    </row>
    <row r="546" spans="1:17">
      <c r="A546" s="895">
        <f t="shared" si="210"/>
        <v>538</v>
      </c>
      <c r="B546" s="914" t="s">
        <v>906</v>
      </c>
      <c r="C546" s="910">
        <v>30</v>
      </c>
      <c r="D546" s="915">
        <f t="shared" si="211"/>
        <v>246</v>
      </c>
      <c r="E546" s="915">
        <f t="shared" si="220"/>
        <v>365</v>
      </c>
      <c r="F546" s="916">
        <f t="shared" si="213"/>
        <v>0.67397260273972603</v>
      </c>
      <c r="G546" s="909"/>
      <c r="H546" s="917">
        <f t="shared" si="221"/>
        <v>0</v>
      </c>
      <c r="I546" s="910">
        <f t="shared" si="214"/>
        <v>0</v>
      </c>
      <c r="J546" s="910">
        <f t="shared" si="212"/>
        <v>105653.60999999999</v>
      </c>
      <c r="K546" s="896"/>
      <c r="L546" s="917">
        <f t="shared" si="222"/>
        <v>0</v>
      </c>
      <c r="M546" s="913">
        <f t="shared" si="215"/>
        <v>0</v>
      </c>
      <c r="N546" s="913">
        <f t="shared" si="216"/>
        <v>0</v>
      </c>
      <c r="O546" s="913">
        <f t="shared" si="217"/>
        <v>0</v>
      </c>
      <c r="P546" s="913">
        <f t="shared" si="218"/>
        <v>0</v>
      </c>
      <c r="Q546" s="913">
        <f t="shared" si="219"/>
        <v>0</v>
      </c>
    </row>
    <row r="547" spans="1:17">
      <c r="A547" s="895">
        <f t="shared" si="210"/>
        <v>539</v>
      </c>
      <c r="B547" s="914" t="s">
        <v>907</v>
      </c>
      <c r="C547" s="910">
        <v>31</v>
      </c>
      <c r="D547" s="915">
        <f t="shared" si="211"/>
        <v>215</v>
      </c>
      <c r="E547" s="915">
        <f t="shared" si="220"/>
        <v>365</v>
      </c>
      <c r="F547" s="916">
        <f t="shared" si="213"/>
        <v>0.58904109589041098</v>
      </c>
      <c r="G547" s="909"/>
      <c r="H547" s="917">
        <f t="shared" si="221"/>
        <v>0</v>
      </c>
      <c r="I547" s="910">
        <f t="shared" si="214"/>
        <v>0</v>
      </c>
      <c r="J547" s="910">
        <f t="shared" si="212"/>
        <v>105653.60999999999</v>
      </c>
      <c r="K547" s="896"/>
      <c r="L547" s="917">
        <f t="shared" si="222"/>
        <v>0</v>
      </c>
      <c r="M547" s="913">
        <f t="shared" si="215"/>
        <v>0</v>
      </c>
      <c r="N547" s="913">
        <f t="shared" si="216"/>
        <v>0</v>
      </c>
      <c r="O547" s="913">
        <f t="shared" si="217"/>
        <v>0</v>
      </c>
      <c r="P547" s="913">
        <f t="shared" si="218"/>
        <v>0</v>
      </c>
      <c r="Q547" s="913">
        <f t="shared" si="219"/>
        <v>0</v>
      </c>
    </row>
    <row r="548" spans="1:17">
      <c r="A548" s="895">
        <f t="shared" si="210"/>
        <v>540</v>
      </c>
      <c r="B548" s="914" t="s">
        <v>908</v>
      </c>
      <c r="C548" s="910">
        <v>30</v>
      </c>
      <c r="D548" s="915">
        <f t="shared" si="211"/>
        <v>185</v>
      </c>
      <c r="E548" s="915">
        <f t="shared" si="220"/>
        <v>365</v>
      </c>
      <c r="F548" s="916">
        <f t="shared" si="213"/>
        <v>0.50684931506849318</v>
      </c>
      <c r="G548" s="909"/>
      <c r="H548" s="917">
        <f t="shared" si="221"/>
        <v>0</v>
      </c>
      <c r="I548" s="910">
        <f t="shared" si="214"/>
        <v>0</v>
      </c>
      <c r="J548" s="910">
        <f t="shared" si="212"/>
        <v>105653.60999999999</v>
      </c>
      <c r="K548" s="896"/>
      <c r="L548" s="917">
        <f t="shared" si="222"/>
        <v>0</v>
      </c>
      <c r="M548" s="913">
        <f t="shared" si="215"/>
        <v>0</v>
      </c>
      <c r="N548" s="913">
        <f t="shared" si="216"/>
        <v>0</v>
      </c>
      <c r="O548" s="913">
        <f t="shared" si="217"/>
        <v>0</v>
      </c>
      <c r="P548" s="913">
        <f t="shared" si="218"/>
        <v>0</v>
      </c>
      <c r="Q548" s="913">
        <f t="shared" si="219"/>
        <v>0</v>
      </c>
    </row>
    <row r="549" spans="1:17">
      <c r="A549" s="895">
        <f t="shared" si="210"/>
        <v>541</v>
      </c>
      <c r="B549" s="914" t="s">
        <v>909</v>
      </c>
      <c r="C549" s="910">
        <v>31</v>
      </c>
      <c r="D549" s="915">
        <f t="shared" si="211"/>
        <v>154</v>
      </c>
      <c r="E549" s="915">
        <f t="shared" si="220"/>
        <v>365</v>
      </c>
      <c r="F549" s="916">
        <f t="shared" si="213"/>
        <v>0.42191780821917807</v>
      </c>
      <c r="G549" s="909"/>
      <c r="H549" s="917">
        <f t="shared" si="221"/>
        <v>0</v>
      </c>
      <c r="I549" s="910">
        <f t="shared" si="214"/>
        <v>0</v>
      </c>
      <c r="J549" s="910">
        <f t="shared" si="212"/>
        <v>105653.60999999999</v>
      </c>
      <c r="K549" s="896"/>
      <c r="L549" s="917">
        <f t="shared" si="222"/>
        <v>0</v>
      </c>
      <c r="M549" s="913">
        <f t="shared" si="215"/>
        <v>0</v>
      </c>
      <c r="N549" s="913">
        <f t="shared" si="216"/>
        <v>0</v>
      </c>
      <c r="O549" s="913">
        <f t="shared" si="217"/>
        <v>0</v>
      </c>
      <c r="P549" s="913">
        <f t="shared" si="218"/>
        <v>0</v>
      </c>
      <c r="Q549" s="913">
        <f t="shared" si="219"/>
        <v>0</v>
      </c>
    </row>
    <row r="550" spans="1:17">
      <c r="A550" s="895">
        <f t="shared" si="210"/>
        <v>542</v>
      </c>
      <c r="B550" s="914" t="s">
        <v>910</v>
      </c>
      <c r="C550" s="910">
        <v>31</v>
      </c>
      <c r="D550" s="915">
        <f t="shared" si="211"/>
        <v>123</v>
      </c>
      <c r="E550" s="915">
        <f t="shared" si="220"/>
        <v>365</v>
      </c>
      <c r="F550" s="916">
        <f t="shared" si="213"/>
        <v>0.33698630136986302</v>
      </c>
      <c r="G550" s="909"/>
      <c r="H550" s="917">
        <f t="shared" si="221"/>
        <v>0</v>
      </c>
      <c r="I550" s="910">
        <f t="shared" si="214"/>
        <v>0</v>
      </c>
      <c r="J550" s="910">
        <f t="shared" si="212"/>
        <v>105653.60999999999</v>
      </c>
      <c r="K550" s="896"/>
      <c r="L550" s="917">
        <f t="shared" si="222"/>
        <v>0</v>
      </c>
      <c r="M550" s="913">
        <f t="shared" si="215"/>
        <v>0</v>
      </c>
      <c r="N550" s="913">
        <f t="shared" si="216"/>
        <v>0</v>
      </c>
      <c r="O550" s="913">
        <f t="shared" si="217"/>
        <v>0</v>
      </c>
      <c r="P550" s="913">
        <f t="shared" si="218"/>
        <v>0</v>
      </c>
      <c r="Q550" s="913">
        <f t="shared" si="219"/>
        <v>0</v>
      </c>
    </row>
    <row r="551" spans="1:17">
      <c r="A551" s="895">
        <f t="shared" si="210"/>
        <v>543</v>
      </c>
      <c r="B551" s="914" t="s">
        <v>911</v>
      </c>
      <c r="C551" s="910">
        <v>30</v>
      </c>
      <c r="D551" s="915">
        <f t="shared" si="211"/>
        <v>93</v>
      </c>
      <c r="E551" s="915">
        <f t="shared" si="220"/>
        <v>365</v>
      </c>
      <c r="F551" s="916">
        <f t="shared" si="213"/>
        <v>0.25479452054794521</v>
      </c>
      <c r="G551" s="909"/>
      <c r="H551" s="917">
        <f t="shared" si="221"/>
        <v>0</v>
      </c>
      <c r="I551" s="910">
        <f t="shared" si="214"/>
        <v>0</v>
      </c>
      <c r="J551" s="910">
        <f t="shared" si="212"/>
        <v>105653.60999999999</v>
      </c>
      <c r="K551" s="896"/>
      <c r="L551" s="917">
        <f t="shared" si="222"/>
        <v>0</v>
      </c>
      <c r="M551" s="913">
        <f t="shared" si="215"/>
        <v>0</v>
      </c>
      <c r="N551" s="913">
        <f t="shared" si="216"/>
        <v>0</v>
      </c>
      <c r="O551" s="913">
        <f t="shared" si="217"/>
        <v>0</v>
      </c>
      <c r="P551" s="913">
        <f t="shared" si="218"/>
        <v>0</v>
      </c>
      <c r="Q551" s="913">
        <f t="shared" si="219"/>
        <v>0</v>
      </c>
    </row>
    <row r="552" spans="1:17">
      <c r="A552" s="895">
        <f t="shared" si="210"/>
        <v>544</v>
      </c>
      <c r="B552" s="914" t="s">
        <v>912</v>
      </c>
      <c r="C552" s="910">
        <v>31</v>
      </c>
      <c r="D552" s="915">
        <f>D553+C553</f>
        <v>62</v>
      </c>
      <c r="E552" s="915">
        <f t="shared" si="220"/>
        <v>365</v>
      </c>
      <c r="F552" s="916">
        <f t="shared" si="213"/>
        <v>0.16986301369863013</v>
      </c>
      <c r="G552" s="909"/>
      <c r="H552" s="917">
        <f t="shared" si="221"/>
        <v>0</v>
      </c>
      <c r="I552" s="910">
        <f t="shared" si="214"/>
        <v>0</v>
      </c>
      <c r="J552" s="910">
        <f t="shared" si="212"/>
        <v>105653.60999999999</v>
      </c>
      <c r="K552" s="896"/>
      <c r="L552" s="917">
        <f t="shared" si="222"/>
        <v>0</v>
      </c>
      <c r="M552" s="913">
        <f t="shared" si="215"/>
        <v>0</v>
      </c>
      <c r="N552" s="913">
        <f t="shared" si="216"/>
        <v>0</v>
      </c>
      <c r="O552" s="913">
        <f t="shared" si="217"/>
        <v>0</v>
      </c>
      <c r="P552" s="913">
        <f t="shared" si="218"/>
        <v>0</v>
      </c>
      <c r="Q552" s="913">
        <f t="shared" si="219"/>
        <v>0</v>
      </c>
    </row>
    <row r="553" spans="1:17">
      <c r="A553" s="895">
        <f t="shared" si="210"/>
        <v>545</v>
      </c>
      <c r="B553" s="914" t="s">
        <v>913</v>
      </c>
      <c r="C553" s="910">
        <v>30</v>
      </c>
      <c r="D553" s="915">
        <f>D554+C554</f>
        <v>32</v>
      </c>
      <c r="E553" s="915">
        <f t="shared" si="220"/>
        <v>365</v>
      </c>
      <c r="F553" s="916">
        <f t="shared" si="213"/>
        <v>8.7671232876712329E-2</v>
      </c>
      <c r="G553" s="909"/>
      <c r="H553" s="917">
        <f t="shared" si="221"/>
        <v>0</v>
      </c>
      <c r="I553" s="910">
        <f t="shared" si="214"/>
        <v>0</v>
      </c>
      <c r="J553" s="910">
        <f t="shared" si="212"/>
        <v>105653.60999999999</v>
      </c>
      <c r="K553" s="896"/>
      <c r="L553" s="917">
        <f t="shared" si="222"/>
        <v>0</v>
      </c>
      <c r="M553" s="913">
        <f t="shared" si="215"/>
        <v>0</v>
      </c>
      <c r="N553" s="913">
        <f t="shared" si="216"/>
        <v>0</v>
      </c>
      <c r="O553" s="913">
        <f t="shared" si="217"/>
        <v>0</v>
      </c>
      <c r="P553" s="913">
        <f t="shared" si="218"/>
        <v>0</v>
      </c>
      <c r="Q553" s="913">
        <f t="shared" si="219"/>
        <v>0</v>
      </c>
    </row>
    <row r="554" spans="1:17">
      <c r="A554" s="895">
        <f t="shared" si="210"/>
        <v>546</v>
      </c>
      <c r="B554" s="914" t="s">
        <v>914</v>
      </c>
      <c r="C554" s="910">
        <v>31</v>
      </c>
      <c r="D554" s="915">
        <v>1</v>
      </c>
      <c r="E554" s="915">
        <f t="shared" si="220"/>
        <v>365</v>
      </c>
      <c r="F554" s="916">
        <f t="shared" si="213"/>
        <v>2.7397260273972603E-3</v>
      </c>
      <c r="G554" s="909"/>
      <c r="H554" s="917">
        <f t="shared" si="221"/>
        <v>0</v>
      </c>
      <c r="I554" s="910">
        <f t="shared" si="214"/>
        <v>0</v>
      </c>
      <c r="J554" s="910">
        <f t="shared" si="212"/>
        <v>105653.60999999999</v>
      </c>
      <c r="K554" s="896"/>
      <c r="L554" s="917">
        <f t="shared" si="222"/>
        <v>0</v>
      </c>
      <c r="M554" s="913">
        <f t="shared" si="215"/>
        <v>0</v>
      </c>
      <c r="N554" s="913">
        <f t="shared" si="216"/>
        <v>0</v>
      </c>
      <c r="O554" s="913">
        <f t="shared" si="217"/>
        <v>0</v>
      </c>
      <c r="P554" s="913">
        <f t="shared" si="218"/>
        <v>0</v>
      </c>
      <c r="Q554" s="913">
        <f t="shared" si="219"/>
        <v>0</v>
      </c>
    </row>
    <row r="555" spans="1:17">
      <c r="A555" s="895">
        <f t="shared" si="210"/>
        <v>547</v>
      </c>
      <c r="B555" s="918"/>
      <c r="C555" s="918" t="s">
        <v>795</v>
      </c>
      <c r="D555" s="919">
        <f>+SUM(D543:D554)</f>
        <v>2029</v>
      </c>
      <c r="E555" s="919">
        <f>+SUM(E543:E554)</f>
        <v>4380</v>
      </c>
      <c r="F555" s="920"/>
      <c r="G555" s="909"/>
      <c r="H555" s="921">
        <f>SUM(H543:H554)</f>
        <v>0</v>
      </c>
      <c r="I555" s="921">
        <f>SUM(I543:I554)</f>
        <v>0</v>
      </c>
      <c r="J555" s="920"/>
      <c r="K555" s="896"/>
      <c r="L555" s="922">
        <f>SUM(L543:L554)</f>
        <v>0</v>
      </c>
      <c r="M555" s="922">
        <f>SUM(M543:M554)</f>
        <v>0</v>
      </c>
      <c r="N555" s="922">
        <f>SUM(N543:N554)</f>
        <v>0</v>
      </c>
      <c r="O555" s="922">
        <f>SUM(O543:O554)</f>
        <v>0</v>
      </c>
      <c r="P555" s="922">
        <f>SUM(P543:P554)</f>
        <v>0</v>
      </c>
      <c r="Q555" s="922"/>
    </row>
    <row r="556" spans="1:17">
      <c r="A556" s="895">
        <f t="shared" si="210"/>
        <v>548</v>
      </c>
      <c r="B556" s="924"/>
      <c r="C556" s="924"/>
      <c r="D556" s="925"/>
      <c r="E556" s="925"/>
      <c r="F556" s="926"/>
      <c r="G556" s="909"/>
      <c r="H556" s="910"/>
      <c r="I556" s="910"/>
      <c r="J556" s="926"/>
      <c r="K556" s="896"/>
      <c r="L556" s="928"/>
      <c r="M556" s="928"/>
      <c r="N556" s="928"/>
      <c r="O556" s="928"/>
      <c r="P556" s="928"/>
      <c r="Q556" s="928"/>
    </row>
    <row r="557" spans="1:17">
      <c r="A557" s="895">
        <f t="shared" si="210"/>
        <v>549</v>
      </c>
      <c r="B557" s="896" t="s">
        <v>1677</v>
      </c>
      <c r="C557" s="924"/>
      <c r="D557" s="925"/>
      <c r="E557" s="929">
        <f>1-(D555/E555)</f>
        <v>0.53675799086757991</v>
      </c>
      <c r="F557" s="926"/>
      <c r="G557" s="909"/>
      <c r="H557" s="910"/>
      <c r="I557" s="910"/>
      <c r="J557" s="926"/>
      <c r="K557" s="896"/>
      <c r="L557" s="928"/>
      <c r="M557" s="928"/>
      <c r="N557" s="928"/>
      <c r="O557" s="928"/>
      <c r="P557" s="928"/>
      <c r="Q557" s="928"/>
    </row>
    <row r="558" spans="1:17" s="901" customFormat="1">
      <c r="A558" s="895">
        <f t="shared" si="210"/>
        <v>550</v>
      </c>
      <c r="B558" s="947"/>
      <c r="C558" s="947"/>
      <c r="D558" s="947"/>
      <c r="E558" s="947"/>
      <c r="F558" s="948"/>
      <c r="G558" s="948"/>
      <c r="H558" s="900"/>
      <c r="I558" s="949"/>
      <c r="J558" s="948"/>
      <c r="K558" s="908"/>
      <c r="L558" s="908"/>
      <c r="M558" s="908"/>
      <c r="N558" s="908"/>
      <c r="O558" s="908"/>
      <c r="P558" s="908"/>
      <c r="Q558" s="908"/>
    </row>
    <row r="559" spans="1:17" s="901" customFormat="1">
      <c r="A559" s="895">
        <f t="shared" si="210"/>
        <v>551</v>
      </c>
      <c r="B559" s="950"/>
      <c r="C559" s="947"/>
      <c r="D559" s="908"/>
      <c r="E559" s="947"/>
      <c r="F559" s="908"/>
      <c r="G559" s="948"/>
      <c r="H559" s="900"/>
      <c r="I559" s="949"/>
      <c r="J559" s="951"/>
      <c r="K559" s="908"/>
      <c r="L559" s="908"/>
      <c r="M559" s="908"/>
      <c r="N559" s="908"/>
      <c r="O559" s="908"/>
      <c r="P559" s="908"/>
      <c r="Q559" s="951"/>
    </row>
    <row r="560" spans="1:17" s="109" customFormat="1">
      <c r="A560" s="895">
        <f t="shared" si="210"/>
        <v>552</v>
      </c>
      <c r="B560" s="934" t="s">
        <v>1678</v>
      </c>
      <c r="C560" s="934"/>
      <c r="D560" s="934"/>
      <c r="E560" s="934"/>
      <c r="F560" s="934" t="str">
        <f>"(Line "&amp;A542&amp;", Col H)"</f>
        <v>(Line 534, Col H)</v>
      </c>
      <c r="G560" s="952"/>
      <c r="H560" s="934"/>
      <c r="I560" s="952"/>
      <c r="J560" s="913">
        <f>J542</f>
        <v>105653.60999999999</v>
      </c>
      <c r="K560" s="934"/>
      <c r="L560" s="934"/>
      <c r="M560" s="934"/>
      <c r="N560" s="934" t="str">
        <f>"(Line "&amp;A542&amp;", Col N)"</f>
        <v>(Line 534, Col N)</v>
      </c>
      <c r="O560" s="934"/>
      <c r="P560" s="934"/>
      <c r="Q560" s="913">
        <f>Q542</f>
        <v>0</v>
      </c>
    </row>
    <row r="561" spans="1:18" s="109" customFormat="1">
      <c r="A561" s="895">
        <f t="shared" si="210"/>
        <v>553</v>
      </c>
      <c r="B561" s="934" t="s">
        <v>1679</v>
      </c>
      <c r="C561" s="934"/>
      <c r="D561" s="934"/>
      <c r="E561" s="934"/>
      <c r="F561" s="934" t="str">
        <f>"(Line "&amp;A554&amp;", Col H)"</f>
        <v>(Line 546, Col H)</v>
      </c>
      <c r="G561" s="952"/>
      <c r="H561" s="934"/>
      <c r="I561" s="952"/>
      <c r="J561" s="913">
        <f>J554</f>
        <v>105653.60999999999</v>
      </c>
      <c r="K561" s="934"/>
      <c r="L561" s="953"/>
      <c r="M561" s="934"/>
      <c r="N561" s="934" t="str">
        <f>"(Line "&amp;A554&amp;", Col N)"</f>
        <v>(Line 546, Col N)</v>
      </c>
      <c r="O561" s="934"/>
      <c r="P561" s="934"/>
      <c r="Q561" s="913">
        <f>Q554</f>
        <v>0</v>
      </c>
    </row>
    <row r="562" spans="1:18" s="109" customFormat="1">
      <c r="A562" s="895">
        <f t="shared" si="210"/>
        <v>554</v>
      </c>
      <c r="B562" s="934" t="s">
        <v>1680</v>
      </c>
      <c r="C562" s="934"/>
      <c r="D562" s="934"/>
      <c r="E562" s="934"/>
      <c r="F562" s="934" t="str">
        <f>"(Average of Line "&amp;A560&amp;" &amp; Line "&amp;A561&amp;")"</f>
        <v>(Average of Line 552 &amp; Line 553)</v>
      </c>
      <c r="G562" s="952"/>
      <c r="H562" s="934"/>
      <c r="I562" s="954"/>
      <c r="J562" s="938">
        <f>(J560+J561)/2</f>
        <v>105653.60999999999</v>
      </c>
      <c r="K562" s="934"/>
      <c r="L562" s="955"/>
      <c r="M562" s="934"/>
      <c r="N562" s="934" t="str">
        <f>"(Average of Line "&amp;A560&amp;" &amp; Line "&amp;A561&amp;")"</f>
        <v>(Average of Line 552 &amp; Line 553)</v>
      </c>
      <c r="O562" s="934"/>
      <c r="P562" s="934"/>
      <c r="Q562" s="938">
        <f>(Q560+Q561)/2</f>
        <v>0</v>
      </c>
    </row>
    <row r="563" spans="1:18" s="109" customFormat="1" ht="13.5" customHeight="1">
      <c r="A563" s="895">
        <f t="shared" si="210"/>
        <v>555</v>
      </c>
      <c r="B563" s="934" t="s">
        <v>1681</v>
      </c>
      <c r="C563" s="934"/>
      <c r="D563" s="934"/>
      <c r="E563" s="934"/>
      <c r="F563" s="934" t="s">
        <v>1830</v>
      </c>
      <c r="G563" s="934"/>
      <c r="H563" s="934"/>
      <c r="I563" s="934"/>
      <c r="J563" s="956">
        <f>AVERAGE(J542, (SUM(H543:H554)+J542))</f>
        <v>105653.60999999999</v>
      </c>
      <c r="K563" s="934"/>
      <c r="L563" s="934"/>
      <c r="M563" s="934"/>
      <c r="N563" s="934" t="s">
        <v>1830</v>
      </c>
      <c r="O563" s="934"/>
      <c r="P563" s="934"/>
      <c r="Q563" s="956">
        <f>AVERAGE(Q542, (SUM(L543:L554)+Q542))</f>
        <v>0</v>
      </c>
    </row>
    <row r="564" spans="1:18" s="109" customFormat="1" ht="13.5" customHeight="1">
      <c r="A564" s="895">
        <f t="shared" si="210"/>
        <v>556</v>
      </c>
      <c r="B564" s="934" t="s">
        <v>1682</v>
      </c>
      <c r="C564" s="934"/>
      <c r="D564" s="934"/>
      <c r="E564" s="934"/>
      <c r="F564" s="934"/>
      <c r="G564" s="934"/>
      <c r="H564" s="934"/>
      <c r="I564" s="934"/>
      <c r="J564" s="953">
        <f>J562-J563</f>
        <v>0</v>
      </c>
      <c r="K564" s="934"/>
      <c r="L564" s="934"/>
      <c r="M564" s="934"/>
      <c r="N564" s="934"/>
      <c r="O564" s="934"/>
      <c r="P564" s="934"/>
      <c r="Q564" s="953">
        <f>Q562-Q563</f>
        <v>0</v>
      </c>
    </row>
    <row r="565" spans="1:18" s="901" customFormat="1">
      <c r="A565" s="895">
        <f t="shared" si="210"/>
        <v>557</v>
      </c>
      <c r="B565" s="957"/>
      <c r="C565" s="957"/>
      <c r="D565" s="957"/>
      <c r="E565" s="957"/>
      <c r="F565" s="957"/>
      <c r="G565" s="957"/>
      <c r="H565" s="957"/>
      <c r="I565" s="957"/>
      <c r="J565" s="957"/>
      <c r="K565" s="908"/>
      <c r="L565" s="908"/>
      <c r="M565" s="908"/>
      <c r="N565" s="908"/>
      <c r="O565" s="908"/>
      <c r="P565" s="908"/>
      <c r="Q565" s="957"/>
    </row>
    <row r="566" spans="1:18" s="901" customFormat="1">
      <c r="A566" s="895">
        <f t="shared" si="210"/>
        <v>558</v>
      </c>
      <c r="B566" s="908"/>
      <c r="C566" s="908"/>
      <c r="D566" s="908"/>
      <c r="E566" s="908"/>
      <c r="F566" s="908"/>
      <c r="G566" s="908"/>
      <c r="H566" s="908"/>
      <c r="I566" s="908"/>
      <c r="J566" s="908"/>
      <c r="K566" s="908"/>
      <c r="L566" s="908"/>
      <c r="M566" s="908"/>
      <c r="N566" s="908"/>
      <c r="O566" s="908"/>
      <c r="P566" s="908"/>
      <c r="Q566" s="908"/>
    </row>
    <row r="567" spans="1:18">
      <c r="A567" s="895">
        <f t="shared" si="210"/>
        <v>559</v>
      </c>
      <c r="B567" s="1252" t="s">
        <v>1686</v>
      </c>
      <c r="C567" s="1252"/>
      <c r="D567" s="1252"/>
      <c r="E567" s="1252"/>
      <c r="F567" s="896"/>
      <c r="G567" s="896"/>
      <c r="H567" s="942"/>
      <c r="I567" s="942"/>
      <c r="J567" s="942"/>
      <c r="K567" s="896"/>
      <c r="L567" s="943"/>
      <c r="M567" s="944"/>
      <c r="N567" s="944"/>
      <c r="O567" s="944"/>
      <c r="P567" s="944"/>
      <c r="Q567" s="944"/>
      <c r="R567" s="901"/>
    </row>
    <row r="568" spans="1:18">
      <c r="A568" s="895">
        <f t="shared" si="210"/>
        <v>560</v>
      </c>
      <c r="B568" s="1253" t="s">
        <v>1693</v>
      </c>
      <c r="C568" s="1253"/>
      <c r="D568" s="1253"/>
      <c r="E568" s="1253"/>
      <c r="F568" s="896"/>
      <c r="G568" s="896"/>
      <c r="H568" s="942"/>
      <c r="I568" s="942"/>
      <c r="J568" s="942"/>
      <c r="K568" s="896"/>
      <c r="L568" s="943"/>
      <c r="M568" s="944"/>
      <c r="N568" s="944"/>
      <c r="O568" s="944"/>
      <c r="P568" s="944"/>
      <c r="Q568" s="944"/>
      <c r="R568" s="901"/>
    </row>
    <row r="569" spans="1:18">
      <c r="A569" s="895">
        <f t="shared" si="210"/>
        <v>561</v>
      </c>
      <c r="B569" s="1254" t="s">
        <v>1661</v>
      </c>
      <c r="C569" s="1255"/>
      <c r="D569" s="1255"/>
      <c r="E569" s="1255"/>
      <c r="F569" s="1256"/>
      <c r="G569" s="902"/>
      <c r="H569" s="1257" t="s">
        <v>1662</v>
      </c>
      <c r="I569" s="1258"/>
      <c r="J569" s="1259"/>
      <c r="K569" s="896"/>
      <c r="L569" s="1257" t="s">
        <v>1663</v>
      </c>
      <c r="M569" s="1258"/>
      <c r="N569" s="1258"/>
      <c r="O569" s="1258"/>
      <c r="P569" s="1258"/>
      <c r="Q569" s="1258"/>
    </row>
    <row r="570" spans="1:18">
      <c r="A570" s="895">
        <f t="shared" si="210"/>
        <v>562</v>
      </c>
      <c r="B570" s="903" t="s">
        <v>830</v>
      </c>
      <c r="C570" s="903" t="s">
        <v>831</v>
      </c>
      <c r="D570" s="903" t="s">
        <v>832</v>
      </c>
      <c r="E570" s="903" t="s">
        <v>833</v>
      </c>
      <c r="F570" s="903" t="s">
        <v>834</v>
      </c>
      <c r="G570" s="902"/>
      <c r="H570" s="903" t="s">
        <v>835</v>
      </c>
      <c r="I570" s="903" t="s">
        <v>836</v>
      </c>
      <c r="J570" s="903" t="s">
        <v>837</v>
      </c>
      <c r="K570" s="896"/>
      <c r="L570" s="903" t="s">
        <v>838</v>
      </c>
      <c r="M570" s="903" t="s">
        <v>839</v>
      </c>
      <c r="N570" s="903" t="s">
        <v>840</v>
      </c>
      <c r="O570" s="903" t="s">
        <v>841</v>
      </c>
      <c r="P570" s="903" t="s">
        <v>843</v>
      </c>
      <c r="Q570" s="903" t="s">
        <v>842</v>
      </c>
    </row>
    <row r="571" spans="1:18" ht="45">
      <c r="A571" s="895">
        <f t="shared" si="210"/>
        <v>563</v>
      </c>
      <c r="B571" s="905" t="s">
        <v>1352</v>
      </c>
      <c r="C571" s="905" t="s">
        <v>1587</v>
      </c>
      <c r="D571" s="905" t="s">
        <v>1664</v>
      </c>
      <c r="E571" s="905" t="s">
        <v>1665</v>
      </c>
      <c r="F571" s="905" t="s">
        <v>1666</v>
      </c>
      <c r="G571" s="906"/>
      <c r="H571" s="905" t="s">
        <v>1667</v>
      </c>
      <c r="I571" s="905" t="s">
        <v>1668</v>
      </c>
      <c r="J571" s="905" t="s">
        <v>1669</v>
      </c>
      <c r="K571" s="896"/>
      <c r="L571" s="905" t="s">
        <v>1670</v>
      </c>
      <c r="M571" s="905" t="s">
        <v>1671</v>
      </c>
      <c r="N571" s="905" t="s">
        <v>1672</v>
      </c>
      <c r="O571" s="905" t="s">
        <v>1673</v>
      </c>
      <c r="P571" s="905" t="s">
        <v>1674</v>
      </c>
      <c r="Q571" s="905" t="s">
        <v>1675</v>
      </c>
    </row>
    <row r="572" spans="1:18">
      <c r="A572" s="895">
        <f t="shared" si="210"/>
        <v>564</v>
      </c>
      <c r="B572" s="896"/>
      <c r="C572" s="906"/>
      <c r="D572" s="906"/>
      <c r="E572" s="906"/>
      <c r="F572" s="906"/>
      <c r="G572" s="906"/>
      <c r="H572" s="906"/>
      <c r="I572" s="906"/>
      <c r="J572" s="906"/>
      <c r="K572" s="896"/>
      <c r="L572" s="896"/>
      <c r="M572" s="896"/>
      <c r="N572" s="896"/>
      <c r="O572" s="896"/>
      <c r="P572" s="896"/>
      <c r="Q572" s="896"/>
    </row>
    <row r="573" spans="1:18">
      <c r="A573" s="895">
        <f t="shared" si="210"/>
        <v>565</v>
      </c>
      <c r="B573" s="1260" t="s">
        <v>1676</v>
      </c>
      <c r="C573" s="1260"/>
      <c r="D573" s="1260"/>
      <c r="E573" s="1260"/>
      <c r="F573" s="909"/>
      <c r="G573" s="909"/>
      <c r="H573" s="910"/>
      <c r="I573" s="910"/>
      <c r="J573" s="911">
        <f>'WP_B-Inputs Est.'!O107</f>
        <v>0</v>
      </c>
      <c r="K573" s="912"/>
      <c r="L573" s="910"/>
      <c r="M573" s="913"/>
      <c r="N573" s="913"/>
      <c r="O573" s="913"/>
      <c r="P573" s="913"/>
      <c r="Q573" s="911">
        <f>'WP_B-Inputs Act.'!O107</f>
        <v>0</v>
      </c>
    </row>
    <row r="574" spans="1:18">
      <c r="A574" s="895">
        <f t="shared" si="210"/>
        <v>566</v>
      </c>
      <c r="B574" s="914" t="s">
        <v>956</v>
      </c>
      <c r="C574" s="910">
        <v>31</v>
      </c>
      <c r="D574" s="915">
        <f t="shared" ref="D574:D582" si="223">D575+C575</f>
        <v>335</v>
      </c>
      <c r="E574" s="915">
        <f>SUM(C574:C585)</f>
        <v>365</v>
      </c>
      <c r="F574" s="916">
        <f>D574/E574</f>
        <v>0.9178082191780822</v>
      </c>
      <c r="G574" s="909"/>
      <c r="H574" s="917">
        <f>('WP_B-Inputs Est.'!O108-'WP_B-Inputs Est.'!O107)/12</f>
        <v>0</v>
      </c>
      <c r="I574" s="910">
        <f>+H574*F574</f>
        <v>0</v>
      </c>
      <c r="J574" s="910">
        <f t="shared" ref="J574:J585" si="224">+I574+J573</f>
        <v>0</v>
      </c>
      <c r="K574" s="896"/>
      <c r="L574" s="917">
        <f>('WP_B-Inputs Act.'!O108-'WP_B-Inputs Act.'!O107)/12</f>
        <v>0</v>
      </c>
      <c r="M574" s="913">
        <f>L574-H574</f>
        <v>0</v>
      </c>
      <c r="N574" s="913">
        <f>IF(M574&gt;=0,+M574,0)</f>
        <v>0</v>
      </c>
      <c r="O574" s="913">
        <f>IF(N574&gt;0,0,IF(L574&lt;0,0,(-(M574)*(D574/E574))))</f>
        <v>0</v>
      </c>
      <c r="P574" s="913">
        <f>IF(N574&gt;0,0,IF(L574&gt;0,0,(-(M574)*(D574/E574))))</f>
        <v>0</v>
      </c>
      <c r="Q574" s="913">
        <f>IF(L574&lt;0,Q573+P574,Q573+I574+N574-O574)</f>
        <v>0</v>
      </c>
    </row>
    <row r="575" spans="1:18">
      <c r="A575" s="895">
        <f t="shared" si="210"/>
        <v>567</v>
      </c>
      <c r="B575" s="914" t="s">
        <v>904</v>
      </c>
      <c r="C575" s="917">
        <f>$C$17</f>
        <v>28</v>
      </c>
      <c r="D575" s="915">
        <f t="shared" si="223"/>
        <v>307</v>
      </c>
      <c r="E575" s="915">
        <f>E574</f>
        <v>365</v>
      </c>
      <c r="F575" s="916">
        <f t="shared" ref="F575:F585" si="225">D575/E575</f>
        <v>0.84109589041095889</v>
      </c>
      <c r="G575" s="909"/>
      <c r="H575" s="917">
        <f>$H$574</f>
        <v>0</v>
      </c>
      <c r="I575" s="910">
        <f t="shared" ref="I575:I585" si="226">+H575*F575</f>
        <v>0</v>
      </c>
      <c r="J575" s="910">
        <f t="shared" si="224"/>
        <v>0</v>
      </c>
      <c r="K575" s="896"/>
      <c r="L575" s="917">
        <f>$L$574</f>
        <v>0</v>
      </c>
      <c r="M575" s="913">
        <f t="shared" ref="M575:M585" si="227">L575-H575</f>
        <v>0</v>
      </c>
      <c r="N575" s="913">
        <f t="shared" ref="N575:N585" si="228">IF(M575&gt;=0,+M575,0)</f>
        <v>0</v>
      </c>
      <c r="O575" s="913">
        <f t="shared" ref="O575:O585" si="229">IF(N575&gt;0,0,IF(L575&lt;0,0,(-(M575)*(D575/E575))))</f>
        <v>0</v>
      </c>
      <c r="P575" s="913">
        <f t="shared" ref="P575:P585" si="230">IF(N575&gt;0,0,IF(L575&gt;0,0,(-(M575)*(D575/E575))))</f>
        <v>0</v>
      </c>
      <c r="Q575" s="913">
        <f t="shared" ref="Q575:Q585" si="231">IF(L575&lt;0,Q574+P575,Q574+I575+N575-O575)</f>
        <v>0</v>
      </c>
    </row>
    <row r="576" spans="1:18">
      <c r="A576" s="895">
        <f t="shared" si="210"/>
        <v>568</v>
      </c>
      <c r="B576" s="914" t="s">
        <v>905</v>
      </c>
      <c r="C576" s="910">
        <v>31</v>
      </c>
      <c r="D576" s="915">
        <f t="shared" si="223"/>
        <v>276</v>
      </c>
      <c r="E576" s="915">
        <f t="shared" ref="E576:E585" si="232">E575</f>
        <v>365</v>
      </c>
      <c r="F576" s="916">
        <f t="shared" si="225"/>
        <v>0.75616438356164384</v>
      </c>
      <c r="G576" s="909"/>
      <c r="H576" s="917">
        <f t="shared" ref="H576:H585" si="233">$H$574</f>
        <v>0</v>
      </c>
      <c r="I576" s="910">
        <f t="shared" si="226"/>
        <v>0</v>
      </c>
      <c r="J576" s="910">
        <f t="shared" si="224"/>
        <v>0</v>
      </c>
      <c r="K576" s="896"/>
      <c r="L576" s="917">
        <f t="shared" ref="L576:L585" si="234">$L$574</f>
        <v>0</v>
      </c>
      <c r="M576" s="913">
        <f t="shared" si="227"/>
        <v>0</v>
      </c>
      <c r="N576" s="913">
        <f t="shared" si="228"/>
        <v>0</v>
      </c>
      <c r="O576" s="913">
        <f t="shared" si="229"/>
        <v>0</v>
      </c>
      <c r="P576" s="913">
        <f t="shared" si="230"/>
        <v>0</v>
      </c>
      <c r="Q576" s="913">
        <f t="shared" si="231"/>
        <v>0</v>
      </c>
    </row>
    <row r="577" spans="1:17">
      <c r="A577" s="895">
        <f t="shared" si="210"/>
        <v>569</v>
      </c>
      <c r="B577" s="914" t="s">
        <v>906</v>
      </c>
      <c r="C577" s="910">
        <v>30</v>
      </c>
      <c r="D577" s="915">
        <f t="shared" si="223"/>
        <v>246</v>
      </c>
      <c r="E577" s="915">
        <f t="shared" si="232"/>
        <v>365</v>
      </c>
      <c r="F577" s="916">
        <f t="shared" si="225"/>
        <v>0.67397260273972603</v>
      </c>
      <c r="G577" s="909"/>
      <c r="H577" s="917">
        <f t="shared" si="233"/>
        <v>0</v>
      </c>
      <c r="I577" s="910">
        <f t="shared" si="226"/>
        <v>0</v>
      </c>
      <c r="J577" s="910">
        <f t="shared" si="224"/>
        <v>0</v>
      </c>
      <c r="K577" s="896"/>
      <c r="L577" s="917">
        <f t="shared" si="234"/>
        <v>0</v>
      </c>
      <c r="M577" s="913">
        <f t="shared" si="227"/>
        <v>0</v>
      </c>
      <c r="N577" s="913">
        <f t="shared" si="228"/>
        <v>0</v>
      </c>
      <c r="O577" s="913">
        <f t="shared" si="229"/>
        <v>0</v>
      </c>
      <c r="P577" s="913">
        <f t="shared" si="230"/>
        <v>0</v>
      </c>
      <c r="Q577" s="913">
        <f t="shared" si="231"/>
        <v>0</v>
      </c>
    </row>
    <row r="578" spans="1:17">
      <c r="A578" s="895">
        <f t="shared" si="210"/>
        <v>570</v>
      </c>
      <c r="B578" s="914" t="s">
        <v>907</v>
      </c>
      <c r="C578" s="910">
        <v>31</v>
      </c>
      <c r="D578" s="915">
        <f t="shared" si="223"/>
        <v>215</v>
      </c>
      <c r="E578" s="915">
        <f t="shared" si="232"/>
        <v>365</v>
      </c>
      <c r="F578" s="916">
        <f t="shared" si="225"/>
        <v>0.58904109589041098</v>
      </c>
      <c r="G578" s="909"/>
      <c r="H578" s="917">
        <f t="shared" si="233"/>
        <v>0</v>
      </c>
      <c r="I578" s="910">
        <f t="shared" si="226"/>
        <v>0</v>
      </c>
      <c r="J578" s="910">
        <f t="shared" si="224"/>
        <v>0</v>
      </c>
      <c r="K578" s="896"/>
      <c r="L578" s="917">
        <f t="shared" si="234"/>
        <v>0</v>
      </c>
      <c r="M578" s="913">
        <f t="shared" si="227"/>
        <v>0</v>
      </c>
      <c r="N578" s="913">
        <f t="shared" si="228"/>
        <v>0</v>
      </c>
      <c r="O578" s="913">
        <f t="shared" si="229"/>
        <v>0</v>
      </c>
      <c r="P578" s="913">
        <f t="shared" si="230"/>
        <v>0</v>
      </c>
      <c r="Q578" s="913">
        <f t="shared" si="231"/>
        <v>0</v>
      </c>
    </row>
    <row r="579" spans="1:17">
      <c r="A579" s="895">
        <f t="shared" si="210"/>
        <v>571</v>
      </c>
      <c r="B579" s="914" t="s">
        <v>908</v>
      </c>
      <c r="C579" s="910">
        <v>30</v>
      </c>
      <c r="D579" s="915">
        <f t="shared" si="223"/>
        <v>185</v>
      </c>
      <c r="E579" s="915">
        <f t="shared" si="232"/>
        <v>365</v>
      </c>
      <c r="F579" s="916">
        <f t="shared" si="225"/>
        <v>0.50684931506849318</v>
      </c>
      <c r="G579" s="909"/>
      <c r="H579" s="917">
        <f t="shared" si="233"/>
        <v>0</v>
      </c>
      <c r="I579" s="910">
        <f t="shared" si="226"/>
        <v>0</v>
      </c>
      <c r="J579" s="910">
        <f t="shared" si="224"/>
        <v>0</v>
      </c>
      <c r="K579" s="896"/>
      <c r="L579" s="917">
        <f t="shared" si="234"/>
        <v>0</v>
      </c>
      <c r="M579" s="913">
        <f t="shared" si="227"/>
        <v>0</v>
      </c>
      <c r="N579" s="913">
        <f t="shared" si="228"/>
        <v>0</v>
      </c>
      <c r="O579" s="913">
        <f t="shared" si="229"/>
        <v>0</v>
      </c>
      <c r="P579" s="913">
        <f t="shared" si="230"/>
        <v>0</v>
      </c>
      <c r="Q579" s="913">
        <f t="shared" si="231"/>
        <v>0</v>
      </c>
    </row>
    <row r="580" spans="1:17">
      <c r="A580" s="895">
        <f t="shared" si="210"/>
        <v>572</v>
      </c>
      <c r="B580" s="914" t="s">
        <v>909</v>
      </c>
      <c r="C580" s="910">
        <v>31</v>
      </c>
      <c r="D580" s="915">
        <f t="shared" si="223"/>
        <v>154</v>
      </c>
      <c r="E580" s="915">
        <f t="shared" si="232"/>
        <v>365</v>
      </c>
      <c r="F580" s="916">
        <f t="shared" si="225"/>
        <v>0.42191780821917807</v>
      </c>
      <c r="G580" s="909"/>
      <c r="H580" s="917">
        <f t="shared" si="233"/>
        <v>0</v>
      </c>
      <c r="I580" s="910">
        <f t="shared" si="226"/>
        <v>0</v>
      </c>
      <c r="J580" s="910">
        <f t="shared" si="224"/>
        <v>0</v>
      </c>
      <c r="K580" s="896"/>
      <c r="L580" s="917">
        <f t="shared" si="234"/>
        <v>0</v>
      </c>
      <c r="M580" s="913">
        <f t="shared" si="227"/>
        <v>0</v>
      </c>
      <c r="N580" s="913">
        <f t="shared" si="228"/>
        <v>0</v>
      </c>
      <c r="O580" s="913">
        <f t="shared" si="229"/>
        <v>0</v>
      </c>
      <c r="P580" s="913">
        <f t="shared" si="230"/>
        <v>0</v>
      </c>
      <c r="Q580" s="913">
        <f t="shared" si="231"/>
        <v>0</v>
      </c>
    </row>
    <row r="581" spans="1:17">
      <c r="A581" s="895">
        <f t="shared" si="210"/>
        <v>573</v>
      </c>
      <c r="B581" s="914" t="s">
        <v>910</v>
      </c>
      <c r="C581" s="910">
        <v>31</v>
      </c>
      <c r="D581" s="915">
        <f t="shared" si="223"/>
        <v>123</v>
      </c>
      <c r="E581" s="915">
        <f t="shared" si="232"/>
        <v>365</v>
      </c>
      <c r="F581" s="916">
        <f t="shared" si="225"/>
        <v>0.33698630136986302</v>
      </c>
      <c r="G581" s="909"/>
      <c r="H581" s="917">
        <f t="shared" si="233"/>
        <v>0</v>
      </c>
      <c r="I581" s="910">
        <f t="shared" si="226"/>
        <v>0</v>
      </c>
      <c r="J581" s="910">
        <f t="shared" si="224"/>
        <v>0</v>
      </c>
      <c r="K581" s="896"/>
      <c r="L581" s="917">
        <f t="shared" si="234"/>
        <v>0</v>
      </c>
      <c r="M581" s="913">
        <f t="shared" si="227"/>
        <v>0</v>
      </c>
      <c r="N581" s="913">
        <f t="shared" si="228"/>
        <v>0</v>
      </c>
      <c r="O581" s="913">
        <f t="shared" si="229"/>
        <v>0</v>
      </c>
      <c r="P581" s="913">
        <f t="shared" si="230"/>
        <v>0</v>
      </c>
      <c r="Q581" s="913">
        <f t="shared" si="231"/>
        <v>0</v>
      </c>
    </row>
    <row r="582" spans="1:17">
      <c r="A582" s="895">
        <f t="shared" si="210"/>
        <v>574</v>
      </c>
      <c r="B582" s="914" t="s">
        <v>911</v>
      </c>
      <c r="C582" s="910">
        <v>30</v>
      </c>
      <c r="D582" s="915">
        <f t="shared" si="223"/>
        <v>93</v>
      </c>
      <c r="E582" s="915">
        <f t="shared" si="232"/>
        <v>365</v>
      </c>
      <c r="F582" s="916">
        <f t="shared" si="225"/>
        <v>0.25479452054794521</v>
      </c>
      <c r="G582" s="909"/>
      <c r="H582" s="917">
        <f t="shared" si="233"/>
        <v>0</v>
      </c>
      <c r="I582" s="910">
        <f t="shared" si="226"/>
        <v>0</v>
      </c>
      <c r="J582" s="910">
        <f t="shared" si="224"/>
        <v>0</v>
      </c>
      <c r="K582" s="896"/>
      <c r="L582" s="917">
        <f t="shared" si="234"/>
        <v>0</v>
      </c>
      <c r="M582" s="913">
        <f t="shared" si="227"/>
        <v>0</v>
      </c>
      <c r="N582" s="913">
        <f t="shared" si="228"/>
        <v>0</v>
      </c>
      <c r="O582" s="913">
        <f t="shared" si="229"/>
        <v>0</v>
      </c>
      <c r="P582" s="913">
        <f t="shared" si="230"/>
        <v>0</v>
      </c>
      <c r="Q582" s="913">
        <f t="shared" si="231"/>
        <v>0</v>
      </c>
    </row>
    <row r="583" spans="1:17">
      <c r="A583" s="895">
        <f t="shared" si="210"/>
        <v>575</v>
      </c>
      <c r="B583" s="914" t="s">
        <v>912</v>
      </c>
      <c r="C583" s="910">
        <v>31</v>
      </c>
      <c r="D583" s="915">
        <f>D584+C584</f>
        <v>62</v>
      </c>
      <c r="E583" s="915">
        <f t="shared" si="232"/>
        <v>365</v>
      </c>
      <c r="F583" s="916">
        <f t="shared" si="225"/>
        <v>0.16986301369863013</v>
      </c>
      <c r="G583" s="909"/>
      <c r="H583" s="917">
        <f t="shared" si="233"/>
        <v>0</v>
      </c>
      <c r="I583" s="910">
        <f t="shared" si="226"/>
        <v>0</v>
      </c>
      <c r="J583" s="910">
        <f t="shared" si="224"/>
        <v>0</v>
      </c>
      <c r="K583" s="896"/>
      <c r="L583" s="917">
        <f t="shared" si="234"/>
        <v>0</v>
      </c>
      <c r="M583" s="913">
        <f t="shared" si="227"/>
        <v>0</v>
      </c>
      <c r="N583" s="913">
        <f t="shared" si="228"/>
        <v>0</v>
      </c>
      <c r="O583" s="913">
        <f t="shared" si="229"/>
        <v>0</v>
      </c>
      <c r="P583" s="913">
        <f t="shared" si="230"/>
        <v>0</v>
      </c>
      <c r="Q583" s="913">
        <f t="shared" si="231"/>
        <v>0</v>
      </c>
    </row>
    <row r="584" spans="1:17">
      <c r="A584" s="895">
        <f t="shared" si="210"/>
        <v>576</v>
      </c>
      <c r="B584" s="914" t="s">
        <v>913</v>
      </c>
      <c r="C584" s="910">
        <v>30</v>
      </c>
      <c r="D584" s="915">
        <f>D585+C585</f>
        <v>32</v>
      </c>
      <c r="E584" s="915">
        <f t="shared" si="232"/>
        <v>365</v>
      </c>
      <c r="F584" s="916">
        <f t="shared" si="225"/>
        <v>8.7671232876712329E-2</v>
      </c>
      <c r="G584" s="909"/>
      <c r="H584" s="917">
        <f t="shared" si="233"/>
        <v>0</v>
      </c>
      <c r="I584" s="910">
        <f t="shared" si="226"/>
        <v>0</v>
      </c>
      <c r="J584" s="910">
        <f t="shared" si="224"/>
        <v>0</v>
      </c>
      <c r="K584" s="896"/>
      <c r="L584" s="917">
        <f t="shared" si="234"/>
        <v>0</v>
      </c>
      <c r="M584" s="913">
        <f t="shared" si="227"/>
        <v>0</v>
      </c>
      <c r="N584" s="913">
        <f t="shared" si="228"/>
        <v>0</v>
      </c>
      <c r="O584" s="913">
        <f t="shared" si="229"/>
        <v>0</v>
      </c>
      <c r="P584" s="913">
        <f t="shared" si="230"/>
        <v>0</v>
      </c>
      <c r="Q584" s="913">
        <f t="shared" si="231"/>
        <v>0</v>
      </c>
    </row>
    <row r="585" spans="1:17">
      <c r="A585" s="895">
        <f t="shared" ref="A585:A648" si="235">+A584+1</f>
        <v>577</v>
      </c>
      <c r="B585" s="914" t="s">
        <v>914</v>
      </c>
      <c r="C585" s="910">
        <v>31</v>
      </c>
      <c r="D585" s="915">
        <v>1</v>
      </c>
      <c r="E585" s="915">
        <f t="shared" si="232"/>
        <v>365</v>
      </c>
      <c r="F585" s="916">
        <f t="shared" si="225"/>
        <v>2.7397260273972603E-3</v>
      </c>
      <c r="G585" s="909"/>
      <c r="H585" s="917">
        <f t="shared" si="233"/>
        <v>0</v>
      </c>
      <c r="I585" s="910">
        <f t="shared" si="226"/>
        <v>0</v>
      </c>
      <c r="J585" s="910">
        <f t="shared" si="224"/>
        <v>0</v>
      </c>
      <c r="K585" s="896"/>
      <c r="L585" s="917">
        <f t="shared" si="234"/>
        <v>0</v>
      </c>
      <c r="M585" s="913">
        <f t="shared" si="227"/>
        <v>0</v>
      </c>
      <c r="N585" s="913">
        <f t="shared" si="228"/>
        <v>0</v>
      </c>
      <c r="O585" s="913">
        <f t="shared" si="229"/>
        <v>0</v>
      </c>
      <c r="P585" s="913">
        <f t="shared" si="230"/>
        <v>0</v>
      </c>
      <c r="Q585" s="913">
        <f t="shared" si="231"/>
        <v>0</v>
      </c>
    </row>
    <row r="586" spans="1:17">
      <c r="A586" s="895">
        <f t="shared" si="235"/>
        <v>578</v>
      </c>
      <c r="B586" s="918"/>
      <c r="C586" s="918" t="s">
        <v>795</v>
      </c>
      <c r="D586" s="919">
        <f>+SUM(D574:D585)</f>
        <v>2029</v>
      </c>
      <c r="E586" s="919">
        <f>+SUM(E574:E585)</f>
        <v>4380</v>
      </c>
      <c r="F586" s="920"/>
      <c r="G586" s="909"/>
      <c r="H586" s="921">
        <f>SUM(H574:H585)</f>
        <v>0</v>
      </c>
      <c r="I586" s="921">
        <f>SUM(I574:I585)</f>
        <v>0</v>
      </c>
      <c r="J586" s="920"/>
      <c r="K586" s="896"/>
      <c r="L586" s="922">
        <f>SUM(L574:L585)</f>
        <v>0</v>
      </c>
      <c r="M586" s="922">
        <f>SUM(M574:M585)</f>
        <v>0</v>
      </c>
      <c r="N586" s="922">
        <f>SUM(N574:N585)</f>
        <v>0</v>
      </c>
      <c r="O586" s="922">
        <f>SUM(O574:O585)</f>
        <v>0</v>
      </c>
      <c r="P586" s="922">
        <f>SUM(P574:P585)</f>
        <v>0</v>
      </c>
      <c r="Q586" s="922"/>
    </row>
    <row r="587" spans="1:17">
      <c r="A587" s="895">
        <f t="shared" si="235"/>
        <v>579</v>
      </c>
      <c r="B587" s="924"/>
      <c r="C587" s="924"/>
      <c r="D587" s="925"/>
      <c r="E587" s="925"/>
      <c r="F587" s="926"/>
      <c r="G587" s="909"/>
      <c r="H587" s="910"/>
      <c r="I587" s="910"/>
      <c r="J587" s="926"/>
      <c r="K587" s="896"/>
      <c r="L587" s="928"/>
      <c r="M587" s="928"/>
      <c r="N587" s="928"/>
      <c r="O587" s="928"/>
      <c r="P587" s="928"/>
      <c r="Q587" s="928"/>
    </row>
    <row r="588" spans="1:17">
      <c r="A588" s="895">
        <f t="shared" si="235"/>
        <v>580</v>
      </c>
      <c r="B588" s="896" t="s">
        <v>1677</v>
      </c>
      <c r="C588" s="924"/>
      <c r="D588" s="925"/>
      <c r="E588" s="929">
        <f>1-(D586/E586)</f>
        <v>0.53675799086757991</v>
      </c>
      <c r="F588" s="926"/>
      <c r="G588" s="909"/>
      <c r="H588" s="910"/>
      <c r="I588" s="910"/>
      <c r="J588" s="926"/>
      <c r="K588" s="896"/>
      <c r="L588" s="928"/>
      <c r="M588" s="928"/>
      <c r="N588" s="928"/>
      <c r="O588" s="928"/>
      <c r="P588" s="928"/>
      <c r="Q588" s="928"/>
    </row>
    <row r="589" spans="1:17" s="901" customFormat="1">
      <c r="A589" s="895">
        <f t="shared" si="235"/>
        <v>581</v>
      </c>
      <c r="B589" s="947"/>
      <c r="C589" s="947"/>
      <c r="D589" s="947"/>
      <c r="E589" s="947"/>
      <c r="F589" s="948"/>
      <c r="G589" s="948"/>
      <c r="H589" s="900"/>
      <c r="I589" s="949"/>
      <c r="J589" s="948"/>
      <c r="K589" s="908"/>
      <c r="L589" s="908"/>
      <c r="M589" s="908"/>
      <c r="N589" s="908"/>
      <c r="O589" s="908"/>
      <c r="P589" s="908"/>
      <c r="Q589" s="908"/>
    </row>
    <row r="590" spans="1:17" s="901" customFormat="1">
      <c r="A590" s="895">
        <f t="shared" si="235"/>
        <v>582</v>
      </c>
      <c r="B590" s="950"/>
      <c r="C590" s="947"/>
      <c r="D590" s="908"/>
      <c r="E590" s="947"/>
      <c r="F590" s="908"/>
      <c r="G590" s="948"/>
      <c r="H590" s="900"/>
      <c r="I590" s="949"/>
      <c r="J590" s="951"/>
      <c r="K590" s="908"/>
      <c r="L590" s="908"/>
      <c r="M590" s="908"/>
      <c r="N590" s="908"/>
      <c r="O590" s="908"/>
      <c r="P590" s="908"/>
      <c r="Q590" s="951"/>
    </row>
    <row r="591" spans="1:17" s="109" customFormat="1">
      <c r="A591" s="895">
        <f t="shared" si="235"/>
        <v>583</v>
      </c>
      <c r="B591" s="934" t="s">
        <v>1678</v>
      </c>
      <c r="C591" s="934"/>
      <c r="D591" s="934"/>
      <c r="E591" s="934"/>
      <c r="F591" s="934" t="str">
        <f>"(Line "&amp;A573&amp;", Col H)"</f>
        <v>(Line 565, Col H)</v>
      </c>
      <c r="G591" s="952"/>
      <c r="H591" s="934"/>
      <c r="I591" s="952"/>
      <c r="J591" s="913">
        <f>J573</f>
        <v>0</v>
      </c>
      <c r="K591" s="934"/>
      <c r="L591" s="934"/>
      <c r="M591" s="934"/>
      <c r="N591" s="934" t="str">
        <f>"(Line "&amp;A573&amp;", Col N)"</f>
        <v>(Line 565, Col N)</v>
      </c>
      <c r="O591" s="934"/>
      <c r="P591" s="934"/>
      <c r="Q591" s="913">
        <f>Q573</f>
        <v>0</v>
      </c>
    </row>
    <row r="592" spans="1:17" s="109" customFormat="1">
      <c r="A592" s="895">
        <f t="shared" si="235"/>
        <v>584</v>
      </c>
      <c r="B592" s="934" t="s">
        <v>1679</v>
      </c>
      <c r="C592" s="934"/>
      <c r="D592" s="934"/>
      <c r="E592" s="934"/>
      <c r="F592" s="934" t="str">
        <f>"(Line "&amp;A585&amp;", Col H)"</f>
        <v>(Line 577, Col H)</v>
      </c>
      <c r="G592" s="952"/>
      <c r="H592" s="934"/>
      <c r="I592" s="952"/>
      <c r="J592" s="913">
        <f>J585</f>
        <v>0</v>
      </c>
      <c r="K592" s="934"/>
      <c r="L592" s="953"/>
      <c r="M592" s="934"/>
      <c r="N592" s="934" t="str">
        <f>"(Line "&amp;A585&amp;", Col N)"</f>
        <v>(Line 577, Col N)</v>
      </c>
      <c r="O592" s="934"/>
      <c r="P592" s="934"/>
      <c r="Q592" s="913">
        <f>Q585</f>
        <v>0</v>
      </c>
    </row>
    <row r="593" spans="1:18" s="109" customFormat="1">
      <c r="A593" s="895">
        <f t="shared" si="235"/>
        <v>585</v>
      </c>
      <c r="B593" s="934" t="s">
        <v>1680</v>
      </c>
      <c r="C593" s="934"/>
      <c r="D593" s="934"/>
      <c r="E593" s="934"/>
      <c r="F593" s="934" t="str">
        <f>"(Average of Line "&amp;A591&amp;" &amp; Line "&amp;A592&amp;")"</f>
        <v>(Average of Line 583 &amp; Line 584)</v>
      </c>
      <c r="G593" s="952"/>
      <c r="H593" s="934"/>
      <c r="I593" s="954"/>
      <c r="J593" s="938">
        <f>(J591+J592)/2</f>
        <v>0</v>
      </c>
      <c r="K593" s="934"/>
      <c r="L593" s="955"/>
      <c r="M593" s="934"/>
      <c r="N593" s="934" t="str">
        <f>"(Average of Line "&amp;A591&amp;" &amp; Line "&amp;A592&amp;")"</f>
        <v>(Average of Line 583 &amp; Line 584)</v>
      </c>
      <c r="O593" s="934"/>
      <c r="P593" s="934"/>
      <c r="Q593" s="938">
        <f>(Q591+Q592)/2</f>
        <v>0</v>
      </c>
    </row>
    <row r="594" spans="1:18" s="109" customFormat="1" ht="13.5" customHeight="1">
      <c r="A594" s="895">
        <f t="shared" si="235"/>
        <v>586</v>
      </c>
      <c r="B594" s="934" t="s">
        <v>1681</v>
      </c>
      <c r="C594" s="934"/>
      <c r="D594" s="934"/>
      <c r="E594" s="934"/>
      <c r="F594" s="934" t="s">
        <v>1830</v>
      </c>
      <c r="G594" s="934"/>
      <c r="H594" s="934"/>
      <c r="I594" s="934"/>
      <c r="J594" s="956">
        <f>AVERAGE(J573, (SUM(H574:H585)+J573))</f>
        <v>0</v>
      </c>
      <c r="K594" s="934"/>
      <c r="L594" s="934"/>
      <c r="M594" s="934"/>
      <c r="N594" s="934" t="s">
        <v>1830</v>
      </c>
      <c r="O594" s="934"/>
      <c r="P594" s="934"/>
      <c r="Q594" s="956">
        <f>AVERAGE(Q573, (SUM(L574:L585)+Q573))</f>
        <v>0</v>
      </c>
    </row>
    <row r="595" spans="1:18" s="109" customFormat="1" ht="13.5" customHeight="1">
      <c r="A595" s="895">
        <f t="shared" si="235"/>
        <v>587</v>
      </c>
      <c r="B595" s="934" t="s">
        <v>1682</v>
      </c>
      <c r="C595" s="934"/>
      <c r="D595" s="934"/>
      <c r="E595" s="934"/>
      <c r="F595" s="934"/>
      <c r="G595" s="934"/>
      <c r="H595" s="934"/>
      <c r="I595" s="934"/>
      <c r="J595" s="953">
        <f>J593-J594</f>
        <v>0</v>
      </c>
      <c r="K595" s="934"/>
      <c r="L595" s="934"/>
      <c r="M595" s="934"/>
      <c r="N595" s="934"/>
      <c r="O595" s="934"/>
      <c r="P595" s="934"/>
      <c r="Q595" s="953">
        <f>Q593-Q594</f>
        <v>0</v>
      </c>
    </row>
    <row r="596" spans="1:18" s="901" customFormat="1">
      <c r="A596" s="895">
        <f t="shared" si="235"/>
        <v>588</v>
      </c>
      <c r="B596" s="957"/>
      <c r="C596" s="957"/>
      <c r="D596" s="957"/>
      <c r="E596" s="957"/>
      <c r="F596" s="957"/>
      <c r="G596" s="957"/>
      <c r="H596" s="957"/>
      <c r="I596" s="957"/>
      <c r="J596" s="957"/>
      <c r="K596" s="908"/>
      <c r="L596" s="908"/>
      <c r="M596" s="908"/>
      <c r="N596" s="908"/>
      <c r="O596" s="908"/>
      <c r="P596" s="908"/>
      <c r="Q596" s="957"/>
    </row>
    <row r="597" spans="1:18" s="901" customFormat="1">
      <c r="A597" s="895">
        <f t="shared" si="235"/>
        <v>589</v>
      </c>
      <c r="B597" s="908"/>
      <c r="C597" s="908"/>
      <c r="D597" s="908"/>
      <c r="E597" s="908"/>
      <c r="F597" s="908"/>
      <c r="G597" s="908"/>
      <c r="H597" s="908"/>
      <c r="I597" s="908"/>
      <c r="J597" s="908"/>
      <c r="K597" s="908"/>
      <c r="L597" s="908"/>
      <c r="M597" s="908"/>
      <c r="N597" s="908"/>
      <c r="O597" s="908"/>
      <c r="P597" s="908"/>
      <c r="Q597" s="908"/>
    </row>
    <row r="598" spans="1:18">
      <c r="A598" s="895">
        <f t="shared" si="235"/>
        <v>590</v>
      </c>
      <c r="B598" s="1252" t="s">
        <v>1686</v>
      </c>
      <c r="C598" s="1252"/>
      <c r="D598" s="1252"/>
      <c r="E598" s="1252"/>
      <c r="F598" s="896"/>
      <c r="G598" s="896"/>
      <c r="H598" s="942"/>
      <c r="I598" s="942"/>
      <c r="J598" s="942"/>
      <c r="K598" s="896"/>
      <c r="L598" s="943"/>
      <c r="M598" s="944"/>
      <c r="N598" s="944"/>
      <c r="O598" s="944"/>
      <c r="P598" s="944"/>
      <c r="Q598" s="944"/>
      <c r="R598" s="901"/>
    </row>
    <row r="599" spans="1:18">
      <c r="A599" s="895">
        <f t="shared" si="235"/>
        <v>591</v>
      </c>
      <c r="B599" s="1253" t="s">
        <v>1694</v>
      </c>
      <c r="C599" s="1253"/>
      <c r="D599" s="1253"/>
      <c r="E599" s="1253"/>
      <c r="F599" s="896"/>
      <c r="G599" s="896"/>
      <c r="H599" s="942"/>
      <c r="I599" s="942"/>
      <c r="J599" s="942"/>
      <c r="K599" s="896"/>
      <c r="L599" s="943"/>
      <c r="M599" s="944"/>
      <c r="N599" s="944"/>
      <c r="O599" s="944"/>
      <c r="P599" s="944"/>
      <c r="Q599" s="944"/>
      <c r="R599" s="901"/>
    </row>
    <row r="600" spans="1:18">
      <c r="A600" s="895">
        <f t="shared" si="235"/>
        <v>592</v>
      </c>
      <c r="B600" s="1254" t="s">
        <v>1661</v>
      </c>
      <c r="C600" s="1255"/>
      <c r="D600" s="1255"/>
      <c r="E600" s="1255"/>
      <c r="F600" s="1256"/>
      <c r="G600" s="902"/>
      <c r="H600" s="1257" t="s">
        <v>1662</v>
      </c>
      <c r="I600" s="1258"/>
      <c r="J600" s="1259"/>
      <c r="K600" s="896"/>
      <c r="L600" s="1257" t="s">
        <v>1663</v>
      </c>
      <c r="M600" s="1258"/>
      <c r="N600" s="1258"/>
      <c r="O600" s="1258"/>
      <c r="P600" s="1258"/>
      <c r="Q600" s="1258"/>
    </row>
    <row r="601" spans="1:18">
      <c r="A601" s="895">
        <f t="shared" si="235"/>
        <v>593</v>
      </c>
      <c r="B601" s="903" t="s">
        <v>830</v>
      </c>
      <c r="C601" s="903" t="s">
        <v>831</v>
      </c>
      <c r="D601" s="903" t="s">
        <v>832</v>
      </c>
      <c r="E601" s="903" t="s">
        <v>833</v>
      </c>
      <c r="F601" s="903" t="s">
        <v>834</v>
      </c>
      <c r="G601" s="902"/>
      <c r="H601" s="903" t="s">
        <v>835</v>
      </c>
      <c r="I601" s="903" t="s">
        <v>836</v>
      </c>
      <c r="J601" s="903" t="s">
        <v>837</v>
      </c>
      <c r="K601" s="896"/>
      <c r="L601" s="903" t="s">
        <v>838</v>
      </c>
      <c r="M601" s="903" t="s">
        <v>839</v>
      </c>
      <c r="N601" s="903" t="s">
        <v>840</v>
      </c>
      <c r="O601" s="903" t="s">
        <v>841</v>
      </c>
      <c r="P601" s="903" t="s">
        <v>843</v>
      </c>
      <c r="Q601" s="903" t="s">
        <v>842</v>
      </c>
    </row>
    <row r="602" spans="1:18" ht="45">
      <c r="A602" s="895">
        <f t="shared" si="235"/>
        <v>594</v>
      </c>
      <c r="B602" s="905" t="s">
        <v>1352</v>
      </c>
      <c r="C602" s="905" t="s">
        <v>1587</v>
      </c>
      <c r="D602" s="905" t="s">
        <v>1664</v>
      </c>
      <c r="E602" s="905" t="s">
        <v>1665</v>
      </c>
      <c r="F602" s="905" t="s">
        <v>1666</v>
      </c>
      <c r="G602" s="906"/>
      <c r="H602" s="905" t="s">
        <v>1667</v>
      </c>
      <c r="I602" s="905" t="s">
        <v>1668</v>
      </c>
      <c r="J602" s="905" t="s">
        <v>1669</v>
      </c>
      <c r="K602" s="896"/>
      <c r="L602" s="905" t="s">
        <v>1670</v>
      </c>
      <c r="M602" s="905" t="s">
        <v>1671</v>
      </c>
      <c r="N602" s="905" t="s">
        <v>1672</v>
      </c>
      <c r="O602" s="905" t="s">
        <v>1673</v>
      </c>
      <c r="P602" s="905" t="s">
        <v>1674</v>
      </c>
      <c r="Q602" s="905" t="s">
        <v>1675</v>
      </c>
    </row>
    <row r="603" spans="1:18">
      <c r="A603" s="895">
        <f t="shared" si="235"/>
        <v>595</v>
      </c>
      <c r="B603" s="896"/>
      <c r="C603" s="906"/>
      <c r="D603" s="906"/>
      <c r="E603" s="906"/>
      <c r="F603" s="906"/>
      <c r="G603" s="906"/>
      <c r="H603" s="906"/>
      <c r="I603" s="906"/>
      <c r="J603" s="906"/>
      <c r="K603" s="896"/>
      <c r="L603" s="896"/>
      <c r="M603" s="896"/>
      <c r="N603" s="896"/>
      <c r="O603" s="896"/>
      <c r="P603" s="896"/>
      <c r="Q603" s="896"/>
    </row>
    <row r="604" spans="1:18">
      <c r="A604" s="895">
        <f t="shared" si="235"/>
        <v>596</v>
      </c>
      <c r="B604" s="1260" t="s">
        <v>1676</v>
      </c>
      <c r="C604" s="1260"/>
      <c r="D604" s="1260"/>
      <c r="E604" s="1260"/>
      <c r="F604" s="909"/>
      <c r="G604" s="909"/>
      <c r="H604" s="910"/>
      <c r="I604" s="910"/>
      <c r="J604" s="911">
        <f>'WP_B-Inputs Est.'!Q107</f>
        <v>-24931.151938020088</v>
      </c>
      <c r="K604" s="912"/>
      <c r="L604" s="910"/>
      <c r="M604" s="913"/>
      <c r="N604" s="913"/>
      <c r="O604" s="913"/>
      <c r="P604" s="913"/>
      <c r="Q604" s="911">
        <f>'WP_B-Inputs Act.'!Q107</f>
        <v>0</v>
      </c>
    </row>
    <row r="605" spans="1:18">
      <c r="A605" s="895">
        <f t="shared" si="235"/>
        <v>597</v>
      </c>
      <c r="B605" s="914" t="s">
        <v>956</v>
      </c>
      <c r="C605" s="910">
        <v>31</v>
      </c>
      <c r="D605" s="915">
        <f t="shared" ref="D605:D613" si="236">D606+C606</f>
        <v>335</v>
      </c>
      <c r="E605" s="915">
        <f>SUM(C605:C616)</f>
        <v>365</v>
      </c>
      <c r="F605" s="916">
        <f>D605/E605</f>
        <v>0.9178082191780822</v>
      </c>
      <c r="G605" s="909"/>
      <c r="H605" s="917">
        <f>('WP_B-Inputs Est.'!Q108-'WP_B-Inputs Est.'!Q107)/12</f>
        <v>68.117901469999197</v>
      </c>
      <c r="I605" s="910">
        <f>+H605*F605</f>
        <v>62.519169842328033</v>
      </c>
      <c r="J605" s="910">
        <f t="shared" ref="J605:J616" si="237">+I605+J604</f>
        <v>-24868.632768177758</v>
      </c>
      <c r="K605" s="896"/>
      <c r="L605" s="917">
        <f>('WP_B-Inputs Act.'!Q108-'WP_B-Inputs Act.'!Q107)/12</f>
        <v>0</v>
      </c>
      <c r="M605" s="913">
        <f>L605-H605</f>
        <v>-68.117901469999197</v>
      </c>
      <c r="N605" s="913">
        <f>IF(M605&gt;=0,+M605,0)</f>
        <v>0</v>
      </c>
      <c r="O605" s="913">
        <f>IF(N605&gt;0,0,IF(L605&lt;0,0,(-(M605)*(D605/E605))))</f>
        <v>62.519169842328033</v>
      </c>
      <c r="P605" s="913">
        <f>IF(N605&gt;0,0,IF(L605&gt;0,0,(-(M605)*(D605/E605))))</f>
        <v>62.519169842328033</v>
      </c>
      <c r="Q605" s="913">
        <f>IF(L605&lt;0,Q604+P605,Q604+I605+N605-O605)</f>
        <v>0</v>
      </c>
    </row>
    <row r="606" spans="1:18">
      <c r="A606" s="895">
        <f t="shared" si="235"/>
        <v>598</v>
      </c>
      <c r="B606" s="914" t="s">
        <v>904</v>
      </c>
      <c r="C606" s="917">
        <f>$C$17</f>
        <v>28</v>
      </c>
      <c r="D606" s="915">
        <f t="shared" si="236"/>
        <v>307</v>
      </c>
      <c r="E606" s="915">
        <f>E605</f>
        <v>365</v>
      </c>
      <c r="F606" s="916">
        <f t="shared" ref="F606:F616" si="238">D606/E606</f>
        <v>0.84109589041095889</v>
      </c>
      <c r="G606" s="909"/>
      <c r="H606" s="917">
        <f>$H$605</f>
        <v>68.117901469999197</v>
      </c>
      <c r="I606" s="910">
        <f t="shared" ref="I606:I616" si="239">+H606*F606</f>
        <v>57.293686989834939</v>
      </c>
      <c r="J606" s="910">
        <f t="shared" si="237"/>
        <v>-24811.339081187922</v>
      </c>
      <c r="K606" s="896"/>
      <c r="L606" s="917">
        <f>$L$605</f>
        <v>0</v>
      </c>
      <c r="M606" s="913">
        <f t="shared" ref="M606:M616" si="240">L606-H606</f>
        <v>-68.117901469999197</v>
      </c>
      <c r="N606" s="913">
        <f t="shared" ref="N606:N616" si="241">IF(M606&gt;=0,+M606,0)</f>
        <v>0</v>
      </c>
      <c r="O606" s="913">
        <f t="shared" ref="O606:O616" si="242">IF(N606&gt;0,0,IF(L606&lt;0,0,(-(M606)*(D606/E606))))</f>
        <v>57.293686989834939</v>
      </c>
      <c r="P606" s="913">
        <f t="shared" ref="P606:P616" si="243">IF(N606&gt;0,0,IF(L606&gt;0,0,(-(M606)*(D606/E606))))</f>
        <v>57.293686989834939</v>
      </c>
      <c r="Q606" s="913">
        <f t="shared" ref="Q606:Q616" si="244">IF(L606&lt;0,Q605+P606,Q605+I606+N606-O606)</f>
        <v>0</v>
      </c>
    </row>
    <row r="607" spans="1:18">
      <c r="A607" s="895">
        <f t="shared" si="235"/>
        <v>599</v>
      </c>
      <c r="B607" s="914" t="s">
        <v>905</v>
      </c>
      <c r="C607" s="910">
        <v>31</v>
      </c>
      <c r="D607" s="915">
        <f t="shared" si="236"/>
        <v>276</v>
      </c>
      <c r="E607" s="915">
        <f t="shared" ref="E607:E616" si="245">E606</f>
        <v>365</v>
      </c>
      <c r="F607" s="916">
        <f t="shared" si="238"/>
        <v>0.75616438356164384</v>
      </c>
      <c r="G607" s="909"/>
      <c r="H607" s="917">
        <f t="shared" ref="H607:H616" si="246">$H$605</f>
        <v>68.117901469999197</v>
      </c>
      <c r="I607" s="910">
        <f t="shared" si="239"/>
        <v>51.508330974574733</v>
      </c>
      <c r="J607" s="910">
        <f t="shared" si="237"/>
        <v>-24759.830750213347</v>
      </c>
      <c r="K607" s="896"/>
      <c r="L607" s="917">
        <f t="shared" ref="L607:L616" si="247">$L$605</f>
        <v>0</v>
      </c>
      <c r="M607" s="913">
        <f t="shared" si="240"/>
        <v>-68.117901469999197</v>
      </c>
      <c r="N607" s="913">
        <f t="shared" si="241"/>
        <v>0</v>
      </c>
      <c r="O607" s="913">
        <f t="shared" si="242"/>
        <v>51.508330974574733</v>
      </c>
      <c r="P607" s="913">
        <f t="shared" si="243"/>
        <v>51.508330974574733</v>
      </c>
      <c r="Q607" s="913">
        <f t="shared" si="244"/>
        <v>0</v>
      </c>
    </row>
    <row r="608" spans="1:18">
      <c r="A608" s="895">
        <f t="shared" si="235"/>
        <v>600</v>
      </c>
      <c r="B608" s="914" t="s">
        <v>906</v>
      </c>
      <c r="C608" s="910">
        <v>30</v>
      </c>
      <c r="D608" s="915">
        <f t="shared" si="236"/>
        <v>246</v>
      </c>
      <c r="E608" s="915">
        <f t="shared" si="245"/>
        <v>365</v>
      </c>
      <c r="F608" s="916">
        <f t="shared" si="238"/>
        <v>0.67397260273972603</v>
      </c>
      <c r="G608" s="909"/>
      <c r="H608" s="917">
        <f t="shared" si="246"/>
        <v>68.117901469999197</v>
      </c>
      <c r="I608" s="910">
        <f t="shared" si="239"/>
        <v>45.909599346903569</v>
      </c>
      <c r="J608" s="910">
        <f t="shared" si="237"/>
        <v>-24713.921150866445</v>
      </c>
      <c r="K608" s="896"/>
      <c r="L608" s="917">
        <f t="shared" si="247"/>
        <v>0</v>
      </c>
      <c r="M608" s="913">
        <f t="shared" si="240"/>
        <v>-68.117901469999197</v>
      </c>
      <c r="N608" s="913">
        <f t="shared" si="241"/>
        <v>0</v>
      </c>
      <c r="O608" s="913">
        <f t="shared" si="242"/>
        <v>45.909599346903569</v>
      </c>
      <c r="P608" s="913">
        <f t="shared" si="243"/>
        <v>45.909599346903569</v>
      </c>
      <c r="Q608" s="913">
        <f t="shared" si="244"/>
        <v>0</v>
      </c>
    </row>
    <row r="609" spans="1:17">
      <c r="A609" s="895">
        <f t="shared" si="235"/>
        <v>601</v>
      </c>
      <c r="B609" s="914" t="s">
        <v>907</v>
      </c>
      <c r="C609" s="910">
        <v>31</v>
      </c>
      <c r="D609" s="915">
        <f t="shared" si="236"/>
        <v>215</v>
      </c>
      <c r="E609" s="915">
        <f t="shared" si="245"/>
        <v>365</v>
      </c>
      <c r="F609" s="916">
        <f t="shared" si="238"/>
        <v>0.58904109589041098</v>
      </c>
      <c r="G609" s="909"/>
      <c r="H609" s="917">
        <f t="shared" si="246"/>
        <v>68.117901469999197</v>
      </c>
      <c r="I609" s="910">
        <f t="shared" si="239"/>
        <v>40.124243331643363</v>
      </c>
      <c r="J609" s="910">
        <f t="shared" si="237"/>
        <v>-24673.796907534801</v>
      </c>
      <c r="K609" s="896"/>
      <c r="L609" s="917">
        <f t="shared" si="247"/>
        <v>0</v>
      </c>
      <c r="M609" s="913">
        <f t="shared" si="240"/>
        <v>-68.117901469999197</v>
      </c>
      <c r="N609" s="913">
        <f t="shared" si="241"/>
        <v>0</v>
      </c>
      <c r="O609" s="913">
        <f t="shared" si="242"/>
        <v>40.124243331643363</v>
      </c>
      <c r="P609" s="913">
        <f t="shared" si="243"/>
        <v>40.124243331643363</v>
      </c>
      <c r="Q609" s="913">
        <f t="shared" si="244"/>
        <v>0</v>
      </c>
    </row>
    <row r="610" spans="1:17">
      <c r="A610" s="895">
        <f t="shared" si="235"/>
        <v>602</v>
      </c>
      <c r="B610" s="914" t="s">
        <v>908</v>
      </c>
      <c r="C610" s="910">
        <v>30</v>
      </c>
      <c r="D610" s="915">
        <f t="shared" si="236"/>
        <v>185</v>
      </c>
      <c r="E610" s="915">
        <f t="shared" si="245"/>
        <v>365</v>
      </c>
      <c r="F610" s="916">
        <f t="shared" si="238"/>
        <v>0.50684931506849318</v>
      </c>
      <c r="G610" s="909"/>
      <c r="H610" s="917">
        <f t="shared" si="246"/>
        <v>68.117901469999197</v>
      </c>
      <c r="I610" s="910">
        <f t="shared" si="239"/>
        <v>34.525511703972199</v>
      </c>
      <c r="J610" s="910">
        <f t="shared" si="237"/>
        <v>-24639.27139583083</v>
      </c>
      <c r="K610" s="896"/>
      <c r="L610" s="917">
        <f t="shared" si="247"/>
        <v>0</v>
      </c>
      <c r="M610" s="913">
        <f t="shared" si="240"/>
        <v>-68.117901469999197</v>
      </c>
      <c r="N610" s="913">
        <f t="shared" si="241"/>
        <v>0</v>
      </c>
      <c r="O610" s="913">
        <f t="shared" si="242"/>
        <v>34.525511703972199</v>
      </c>
      <c r="P610" s="913">
        <f t="shared" si="243"/>
        <v>34.525511703972199</v>
      </c>
      <c r="Q610" s="913">
        <f t="shared" si="244"/>
        <v>0</v>
      </c>
    </row>
    <row r="611" spans="1:17">
      <c r="A611" s="895">
        <f t="shared" si="235"/>
        <v>603</v>
      </c>
      <c r="B611" s="914" t="s">
        <v>909</v>
      </c>
      <c r="C611" s="910">
        <v>31</v>
      </c>
      <c r="D611" s="915">
        <f t="shared" si="236"/>
        <v>154</v>
      </c>
      <c r="E611" s="915">
        <f t="shared" si="245"/>
        <v>365</v>
      </c>
      <c r="F611" s="916">
        <f t="shared" si="238"/>
        <v>0.42191780821917807</v>
      </c>
      <c r="G611" s="909"/>
      <c r="H611" s="917">
        <f t="shared" si="246"/>
        <v>68.117901469999197</v>
      </c>
      <c r="I611" s="910">
        <f t="shared" si="239"/>
        <v>28.74015568871199</v>
      </c>
      <c r="J611" s="910">
        <f t="shared" si="237"/>
        <v>-24610.531240142118</v>
      </c>
      <c r="K611" s="896"/>
      <c r="L611" s="917">
        <f t="shared" si="247"/>
        <v>0</v>
      </c>
      <c r="M611" s="913">
        <f t="shared" si="240"/>
        <v>-68.117901469999197</v>
      </c>
      <c r="N611" s="913">
        <f t="shared" si="241"/>
        <v>0</v>
      </c>
      <c r="O611" s="913">
        <f t="shared" si="242"/>
        <v>28.74015568871199</v>
      </c>
      <c r="P611" s="913">
        <f t="shared" si="243"/>
        <v>28.74015568871199</v>
      </c>
      <c r="Q611" s="913">
        <f t="shared" si="244"/>
        <v>0</v>
      </c>
    </row>
    <row r="612" spans="1:17">
      <c r="A612" s="895">
        <f t="shared" si="235"/>
        <v>604</v>
      </c>
      <c r="B612" s="914" t="s">
        <v>910</v>
      </c>
      <c r="C612" s="910">
        <v>31</v>
      </c>
      <c r="D612" s="915">
        <f t="shared" si="236"/>
        <v>123</v>
      </c>
      <c r="E612" s="915">
        <f t="shared" si="245"/>
        <v>365</v>
      </c>
      <c r="F612" s="916">
        <f t="shared" si="238"/>
        <v>0.33698630136986302</v>
      </c>
      <c r="G612" s="909"/>
      <c r="H612" s="917">
        <f t="shared" si="246"/>
        <v>68.117901469999197</v>
      </c>
      <c r="I612" s="910">
        <f t="shared" si="239"/>
        <v>22.954799673451785</v>
      </c>
      <c r="J612" s="910">
        <f t="shared" si="237"/>
        <v>-24587.576440468667</v>
      </c>
      <c r="K612" s="896"/>
      <c r="L612" s="917">
        <f t="shared" si="247"/>
        <v>0</v>
      </c>
      <c r="M612" s="913">
        <f t="shared" si="240"/>
        <v>-68.117901469999197</v>
      </c>
      <c r="N612" s="913">
        <f t="shared" si="241"/>
        <v>0</v>
      </c>
      <c r="O612" s="913">
        <f t="shared" si="242"/>
        <v>22.954799673451785</v>
      </c>
      <c r="P612" s="913">
        <f t="shared" si="243"/>
        <v>22.954799673451785</v>
      </c>
      <c r="Q612" s="913">
        <f t="shared" si="244"/>
        <v>0</v>
      </c>
    </row>
    <row r="613" spans="1:17">
      <c r="A613" s="895">
        <f t="shared" si="235"/>
        <v>605</v>
      </c>
      <c r="B613" s="914" t="s">
        <v>911</v>
      </c>
      <c r="C613" s="910">
        <v>30</v>
      </c>
      <c r="D613" s="915">
        <f t="shared" si="236"/>
        <v>93</v>
      </c>
      <c r="E613" s="915">
        <f t="shared" si="245"/>
        <v>365</v>
      </c>
      <c r="F613" s="916">
        <f t="shared" si="238"/>
        <v>0.25479452054794521</v>
      </c>
      <c r="G613" s="909"/>
      <c r="H613" s="917">
        <f t="shared" si="246"/>
        <v>68.117901469999197</v>
      </c>
      <c r="I613" s="910">
        <f t="shared" si="239"/>
        <v>17.356068045780617</v>
      </c>
      <c r="J613" s="910">
        <f t="shared" si="237"/>
        <v>-24570.220372422886</v>
      </c>
      <c r="K613" s="896"/>
      <c r="L613" s="917">
        <f t="shared" si="247"/>
        <v>0</v>
      </c>
      <c r="M613" s="913">
        <f t="shared" si="240"/>
        <v>-68.117901469999197</v>
      </c>
      <c r="N613" s="913">
        <f t="shared" si="241"/>
        <v>0</v>
      </c>
      <c r="O613" s="913">
        <f t="shared" si="242"/>
        <v>17.356068045780617</v>
      </c>
      <c r="P613" s="913">
        <f t="shared" si="243"/>
        <v>17.356068045780617</v>
      </c>
      <c r="Q613" s="913">
        <f t="shared" si="244"/>
        <v>0</v>
      </c>
    </row>
    <row r="614" spans="1:17">
      <c r="A614" s="895">
        <f t="shared" si="235"/>
        <v>606</v>
      </c>
      <c r="B614" s="914" t="s">
        <v>912</v>
      </c>
      <c r="C614" s="910">
        <v>31</v>
      </c>
      <c r="D614" s="915">
        <f>D615+C615</f>
        <v>62</v>
      </c>
      <c r="E614" s="915">
        <f t="shared" si="245"/>
        <v>365</v>
      </c>
      <c r="F614" s="916">
        <f t="shared" si="238"/>
        <v>0.16986301369863013</v>
      </c>
      <c r="G614" s="909"/>
      <c r="H614" s="917">
        <f t="shared" si="246"/>
        <v>68.117901469999197</v>
      </c>
      <c r="I614" s="910">
        <f t="shared" si="239"/>
        <v>11.570712030520411</v>
      </c>
      <c r="J614" s="910">
        <f t="shared" si="237"/>
        <v>-24558.649660392366</v>
      </c>
      <c r="K614" s="896"/>
      <c r="L614" s="917">
        <f t="shared" si="247"/>
        <v>0</v>
      </c>
      <c r="M614" s="913">
        <f t="shared" si="240"/>
        <v>-68.117901469999197</v>
      </c>
      <c r="N614" s="913">
        <f t="shared" si="241"/>
        <v>0</v>
      </c>
      <c r="O614" s="913">
        <f t="shared" si="242"/>
        <v>11.570712030520411</v>
      </c>
      <c r="P614" s="913">
        <f t="shared" si="243"/>
        <v>11.570712030520411</v>
      </c>
      <c r="Q614" s="913">
        <f t="shared" si="244"/>
        <v>0</v>
      </c>
    </row>
    <row r="615" spans="1:17">
      <c r="A615" s="895">
        <f t="shared" si="235"/>
        <v>607</v>
      </c>
      <c r="B615" s="914" t="s">
        <v>913</v>
      </c>
      <c r="C615" s="910">
        <v>30</v>
      </c>
      <c r="D615" s="915">
        <f>D616+C616</f>
        <v>32</v>
      </c>
      <c r="E615" s="915">
        <f t="shared" si="245"/>
        <v>365</v>
      </c>
      <c r="F615" s="916">
        <f t="shared" si="238"/>
        <v>8.7671232876712329E-2</v>
      </c>
      <c r="G615" s="909"/>
      <c r="H615" s="917">
        <f t="shared" si="246"/>
        <v>68.117901469999197</v>
      </c>
      <c r="I615" s="910">
        <f t="shared" si="239"/>
        <v>5.9719804028492449</v>
      </c>
      <c r="J615" s="910">
        <f t="shared" si="237"/>
        <v>-24552.677679989516</v>
      </c>
      <c r="K615" s="896"/>
      <c r="L615" s="917">
        <f t="shared" si="247"/>
        <v>0</v>
      </c>
      <c r="M615" s="913">
        <f t="shared" si="240"/>
        <v>-68.117901469999197</v>
      </c>
      <c r="N615" s="913">
        <f t="shared" si="241"/>
        <v>0</v>
      </c>
      <c r="O615" s="913">
        <f t="shared" si="242"/>
        <v>5.9719804028492449</v>
      </c>
      <c r="P615" s="913">
        <f t="shared" si="243"/>
        <v>5.9719804028492449</v>
      </c>
      <c r="Q615" s="913">
        <f t="shared" si="244"/>
        <v>0</v>
      </c>
    </row>
    <row r="616" spans="1:17">
      <c r="A616" s="895">
        <f t="shared" si="235"/>
        <v>608</v>
      </c>
      <c r="B616" s="914" t="s">
        <v>914</v>
      </c>
      <c r="C616" s="910">
        <v>31</v>
      </c>
      <c r="D616" s="915">
        <v>1</v>
      </c>
      <c r="E616" s="915">
        <f t="shared" si="245"/>
        <v>365</v>
      </c>
      <c r="F616" s="916">
        <f t="shared" si="238"/>
        <v>2.7397260273972603E-3</v>
      </c>
      <c r="G616" s="909"/>
      <c r="H616" s="917">
        <f t="shared" si="246"/>
        <v>68.117901469999197</v>
      </c>
      <c r="I616" s="910">
        <f t="shared" si="239"/>
        <v>0.1866243875890389</v>
      </c>
      <c r="J616" s="910">
        <f t="shared" si="237"/>
        <v>-24552.491055601928</v>
      </c>
      <c r="K616" s="896"/>
      <c r="L616" s="917">
        <f t="shared" si="247"/>
        <v>0</v>
      </c>
      <c r="M616" s="913">
        <f t="shared" si="240"/>
        <v>-68.117901469999197</v>
      </c>
      <c r="N616" s="913">
        <f t="shared" si="241"/>
        <v>0</v>
      </c>
      <c r="O616" s="913">
        <f t="shared" si="242"/>
        <v>0.1866243875890389</v>
      </c>
      <c r="P616" s="913">
        <f t="shared" si="243"/>
        <v>0.1866243875890389</v>
      </c>
      <c r="Q616" s="913">
        <f t="shared" si="244"/>
        <v>0</v>
      </c>
    </row>
    <row r="617" spans="1:17">
      <c r="A617" s="895">
        <f t="shared" si="235"/>
        <v>609</v>
      </c>
      <c r="B617" s="918"/>
      <c r="C617" s="918" t="s">
        <v>795</v>
      </c>
      <c r="D617" s="919">
        <f>+SUM(D605:D616)</f>
        <v>2029</v>
      </c>
      <c r="E617" s="919">
        <f>+SUM(E605:E616)</f>
        <v>4380</v>
      </c>
      <c r="F617" s="920"/>
      <c r="G617" s="909"/>
      <c r="H617" s="921">
        <f>SUM(H605:H616)</f>
        <v>817.41481763999036</v>
      </c>
      <c r="I617" s="921">
        <f>SUM(I605:I616)</f>
        <v>378.66088241815987</v>
      </c>
      <c r="J617" s="920"/>
      <c r="K617" s="896"/>
      <c r="L617" s="922">
        <f>SUM(L605:L616)</f>
        <v>0</v>
      </c>
      <c r="M617" s="922">
        <f>SUM(M605:M616)</f>
        <v>-817.41481763999036</v>
      </c>
      <c r="N617" s="922">
        <f>SUM(N605:N616)</f>
        <v>0</v>
      </c>
      <c r="O617" s="922">
        <f>SUM(O605:O616)</f>
        <v>378.66088241815987</v>
      </c>
      <c r="P617" s="922">
        <f>SUM(P605:P616)</f>
        <v>378.66088241815987</v>
      </c>
      <c r="Q617" s="922"/>
    </row>
    <row r="618" spans="1:17">
      <c r="A618" s="895">
        <f t="shared" si="235"/>
        <v>610</v>
      </c>
      <c r="B618" s="924"/>
      <c r="C618" s="924"/>
      <c r="D618" s="925"/>
      <c r="E618" s="925"/>
      <c r="F618" s="926"/>
      <c r="G618" s="909"/>
      <c r="H618" s="910"/>
      <c r="I618" s="910"/>
      <c r="J618" s="926"/>
      <c r="K618" s="896"/>
      <c r="L618" s="928"/>
      <c r="M618" s="928"/>
      <c r="N618" s="928"/>
      <c r="O618" s="928"/>
      <c r="P618" s="928"/>
      <c r="Q618" s="928"/>
    </row>
    <row r="619" spans="1:17">
      <c r="A619" s="895">
        <f t="shared" si="235"/>
        <v>611</v>
      </c>
      <c r="B619" s="896" t="s">
        <v>1677</v>
      </c>
      <c r="C619" s="924"/>
      <c r="D619" s="925"/>
      <c r="E619" s="929">
        <f>1-(D617/E617)</f>
        <v>0.53675799086757991</v>
      </c>
      <c r="F619" s="926"/>
      <c r="G619" s="909"/>
      <c r="H619" s="910"/>
      <c r="I619" s="910"/>
      <c r="J619" s="926"/>
      <c r="K619" s="896"/>
      <c r="L619" s="928"/>
      <c r="M619" s="928"/>
      <c r="N619" s="928"/>
      <c r="O619" s="928"/>
      <c r="P619" s="928"/>
      <c r="Q619" s="928"/>
    </row>
    <row r="620" spans="1:17" s="901" customFormat="1">
      <c r="A620" s="895">
        <f t="shared" si="235"/>
        <v>612</v>
      </c>
      <c r="B620" s="947"/>
      <c r="C620" s="947"/>
      <c r="D620" s="947"/>
      <c r="E620" s="947"/>
      <c r="F620" s="948"/>
      <c r="G620" s="948"/>
      <c r="H620" s="900"/>
      <c r="I620" s="949"/>
      <c r="J620" s="948"/>
      <c r="K620" s="908"/>
      <c r="L620" s="908"/>
      <c r="M620" s="908"/>
      <c r="N620" s="908"/>
      <c r="O620" s="908"/>
      <c r="P620" s="908"/>
      <c r="Q620" s="908"/>
    </row>
    <row r="621" spans="1:17" s="901" customFormat="1">
      <c r="A621" s="895">
        <f t="shared" si="235"/>
        <v>613</v>
      </c>
      <c r="B621" s="950"/>
      <c r="C621" s="947"/>
      <c r="D621" s="908"/>
      <c r="E621" s="947"/>
      <c r="F621" s="908"/>
      <c r="G621" s="948"/>
      <c r="H621" s="900"/>
      <c r="I621" s="949"/>
      <c r="J621" s="951"/>
      <c r="K621" s="908"/>
      <c r="L621" s="908"/>
      <c r="M621" s="908"/>
      <c r="N621" s="908"/>
      <c r="O621" s="908"/>
      <c r="P621" s="908"/>
      <c r="Q621" s="951"/>
    </row>
    <row r="622" spans="1:17" s="109" customFormat="1">
      <c r="A622" s="895">
        <f t="shared" si="235"/>
        <v>614</v>
      </c>
      <c r="B622" s="934" t="s">
        <v>1678</v>
      </c>
      <c r="C622" s="934"/>
      <c r="D622" s="934"/>
      <c r="E622" s="934"/>
      <c r="F622" s="934" t="str">
        <f>"(Line "&amp;A604&amp;", Col H)"</f>
        <v>(Line 596, Col H)</v>
      </c>
      <c r="G622" s="952"/>
      <c r="H622" s="934"/>
      <c r="I622" s="952"/>
      <c r="J622" s="913">
        <f>J604</f>
        <v>-24931.151938020088</v>
      </c>
      <c r="K622" s="934"/>
      <c r="L622" s="934"/>
      <c r="M622" s="934"/>
      <c r="N622" s="934" t="str">
        <f>"(Line "&amp;A604&amp;", Col N)"</f>
        <v>(Line 596, Col N)</v>
      </c>
      <c r="O622" s="934"/>
      <c r="P622" s="934"/>
      <c r="Q622" s="913">
        <f>Q604</f>
        <v>0</v>
      </c>
    </row>
    <row r="623" spans="1:17" s="109" customFormat="1">
      <c r="A623" s="895">
        <f t="shared" si="235"/>
        <v>615</v>
      </c>
      <c r="B623" s="934" t="s">
        <v>1679</v>
      </c>
      <c r="C623" s="934"/>
      <c r="D623" s="934"/>
      <c r="E623" s="934"/>
      <c r="F623" s="934" t="str">
        <f>"(Line "&amp;A616&amp;", Col H)"</f>
        <v>(Line 608, Col H)</v>
      </c>
      <c r="G623" s="952"/>
      <c r="H623" s="934"/>
      <c r="I623" s="952"/>
      <c r="J623" s="913">
        <f>J616</f>
        <v>-24552.491055601928</v>
      </c>
      <c r="K623" s="934"/>
      <c r="L623" s="953"/>
      <c r="M623" s="934"/>
      <c r="N623" s="934" t="str">
        <f>"(Line "&amp;A616&amp;", Col N)"</f>
        <v>(Line 608, Col N)</v>
      </c>
      <c r="O623" s="934"/>
      <c r="P623" s="934"/>
      <c r="Q623" s="913">
        <f>Q616</f>
        <v>0</v>
      </c>
    </row>
    <row r="624" spans="1:17" s="109" customFormat="1">
      <c r="A624" s="895">
        <f t="shared" si="235"/>
        <v>616</v>
      </c>
      <c r="B624" s="934" t="s">
        <v>1680</v>
      </c>
      <c r="C624" s="934"/>
      <c r="D624" s="934"/>
      <c r="E624" s="934"/>
      <c r="F624" s="934" t="str">
        <f>"(Average of Line "&amp;A622&amp;" &amp; Line "&amp;A623&amp;")"</f>
        <v>(Average of Line 614 &amp; Line 615)</v>
      </c>
      <c r="G624" s="952"/>
      <c r="H624" s="934"/>
      <c r="I624" s="954"/>
      <c r="J624" s="938">
        <f>(J622+J623)/2</f>
        <v>-24741.821496811008</v>
      </c>
      <c r="K624" s="934"/>
      <c r="L624" s="955"/>
      <c r="M624" s="934"/>
      <c r="N624" s="934" t="str">
        <f>"(Average of Line "&amp;A622&amp;" &amp; Line "&amp;A623&amp;")"</f>
        <v>(Average of Line 614 &amp; Line 615)</v>
      </c>
      <c r="O624" s="934"/>
      <c r="P624" s="934"/>
      <c r="Q624" s="938">
        <f>(Q622+Q623)/2</f>
        <v>0</v>
      </c>
    </row>
    <row r="625" spans="1:18" s="109" customFormat="1" ht="13.5" customHeight="1">
      <c r="A625" s="895">
        <f t="shared" si="235"/>
        <v>617</v>
      </c>
      <c r="B625" s="934" t="s">
        <v>1681</v>
      </c>
      <c r="C625" s="934"/>
      <c r="D625" s="934"/>
      <c r="E625" s="934"/>
      <c r="F625" s="934" t="s">
        <v>1830</v>
      </c>
      <c r="G625" s="934"/>
      <c r="H625" s="934"/>
      <c r="I625" s="934"/>
      <c r="J625" s="956">
        <f>AVERAGE(J604, (SUM(H605:H616)+J604))</f>
        <v>-24522.444529200093</v>
      </c>
      <c r="K625" s="934"/>
      <c r="L625" s="934"/>
      <c r="M625" s="934"/>
      <c r="N625" s="934" t="s">
        <v>1830</v>
      </c>
      <c r="O625" s="934"/>
      <c r="P625" s="934"/>
      <c r="Q625" s="956">
        <f>AVERAGE(Q604, (SUM(L605:L616)+Q604))</f>
        <v>0</v>
      </c>
    </row>
    <row r="626" spans="1:18" s="109" customFormat="1" ht="13.5" customHeight="1">
      <c r="A626" s="895">
        <f t="shared" si="235"/>
        <v>618</v>
      </c>
      <c r="B626" s="934" t="s">
        <v>1682</v>
      </c>
      <c r="C626" s="934"/>
      <c r="D626" s="934"/>
      <c r="E626" s="934"/>
      <c r="F626" s="934"/>
      <c r="G626" s="934"/>
      <c r="H626" s="934"/>
      <c r="I626" s="934"/>
      <c r="J626" s="953">
        <f>J624-J625</f>
        <v>-219.37696761091502</v>
      </c>
      <c r="K626" s="934"/>
      <c r="L626" s="934"/>
      <c r="M626" s="934"/>
      <c r="N626" s="934"/>
      <c r="O626" s="934"/>
      <c r="P626" s="934"/>
      <c r="Q626" s="953">
        <f>Q624-Q625</f>
        <v>0</v>
      </c>
    </row>
    <row r="627" spans="1:18" s="901" customFormat="1">
      <c r="A627" s="895">
        <f t="shared" si="235"/>
        <v>619</v>
      </c>
      <c r="B627" s="957"/>
      <c r="C627" s="957"/>
      <c r="D627" s="957"/>
      <c r="E627" s="957"/>
      <c r="F627" s="957"/>
      <c r="G627" s="957"/>
      <c r="H627" s="957"/>
      <c r="I627" s="957"/>
      <c r="J627" s="957"/>
      <c r="K627" s="908"/>
      <c r="L627" s="908"/>
      <c r="M627" s="908"/>
      <c r="N627" s="908"/>
      <c r="O627" s="908"/>
      <c r="P627" s="908"/>
      <c r="Q627" s="957"/>
    </row>
    <row r="628" spans="1:18" s="901" customFormat="1">
      <c r="A628" s="895">
        <f t="shared" si="235"/>
        <v>620</v>
      </c>
      <c r="B628" s="908"/>
      <c r="C628" s="908"/>
      <c r="D628" s="908"/>
      <c r="E628" s="908"/>
      <c r="F628" s="908"/>
      <c r="G628" s="908"/>
      <c r="H628" s="908"/>
      <c r="I628" s="908"/>
      <c r="J628" s="908"/>
      <c r="K628" s="908"/>
      <c r="L628" s="908"/>
      <c r="M628" s="908"/>
      <c r="N628" s="908"/>
      <c r="O628" s="908"/>
      <c r="P628" s="908"/>
      <c r="Q628" s="908"/>
    </row>
    <row r="629" spans="1:18">
      <c r="A629" s="895">
        <f t="shared" si="235"/>
        <v>621</v>
      </c>
      <c r="B629" s="1252" t="s">
        <v>1686</v>
      </c>
      <c r="C629" s="1252"/>
      <c r="D629" s="1252"/>
      <c r="E629" s="1252"/>
      <c r="F629" s="896"/>
      <c r="G629" s="896"/>
      <c r="H629" s="942"/>
      <c r="I629" s="942"/>
      <c r="J629" s="942"/>
      <c r="K629" s="896"/>
      <c r="L629" s="943"/>
      <c r="M629" s="944"/>
      <c r="N629" s="944"/>
      <c r="O629" s="944"/>
      <c r="P629" s="944"/>
      <c r="Q629" s="944"/>
      <c r="R629" s="901"/>
    </row>
    <row r="630" spans="1:18">
      <c r="A630" s="895">
        <f t="shared" si="235"/>
        <v>622</v>
      </c>
      <c r="B630" s="1253" t="s">
        <v>1797</v>
      </c>
      <c r="C630" s="1253"/>
      <c r="D630" s="1253"/>
      <c r="E630" s="1253"/>
      <c r="F630" s="896"/>
      <c r="G630" s="896"/>
      <c r="H630" s="942"/>
      <c r="I630" s="942"/>
      <c r="J630" s="942"/>
      <c r="K630" s="896"/>
      <c r="L630" s="943"/>
      <c r="M630" s="944"/>
      <c r="N630" s="944"/>
      <c r="O630" s="944"/>
      <c r="P630" s="944"/>
      <c r="Q630" s="944"/>
      <c r="R630" s="901"/>
    </row>
    <row r="631" spans="1:18">
      <c r="A631" s="895">
        <f t="shared" si="235"/>
        <v>623</v>
      </c>
      <c r="B631" s="1254" t="s">
        <v>1661</v>
      </c>
      <c r="C631" s="1255"/>
      <c r="D631" s="1255"/>
      <c r="E631" s="1255"/>
      <c r="F631" s="1256"/>
      <c r="G631" s="902"/>
      <c r="H631" s="1257" t="s">
        <v>1662</v>
      </c>
      <c r="I631" s="1258"/>
      <c r="J631" s="1259"/>
      <c r="K631" s="896"/>
      <c r="L631" s="1257" t="s">
        <v>1663</v>
      </c>
      <c r="M631" s="1258"/>
      <c r="N631" s="1258"/>
      <c r="O631" s="1258"/>
      <c r="P631" s="1258"/>
      <c r="Q631" s="1258"/>
    </row>
    <row r="632" spans="1:18">
      <c r="A632" s="895">
        <f t="shared" si="235"/>
        <v>624</v>
      </c>
      <c r="B632" s="903" t="s">
        <v>830</v>
      </c>
      <c r="C632" s="903" t="s">
        <v>831</v>
      </c>
      <c r="D632" s="903" t="s">
        <v>832</v>
      </c>
      <c r="E632" s="903" t="s">
        <v>833</v>
      </c>
      <c r="F632" s="903" t="s">
        <v>834</v>
      </c>
      <c r="G632" s="902"/>
      <c r="H632" s="903" t="s">
        <v>835</v>
      </c>
      <c r="I632" s="903" t="s">
        <v>836</v>
      </c>
      <c r="J632" s="903" t="s">
        <v>837</v>
      </c>
      <c r="K632" s="896"/>
      <c r="L632" s="903" t="s">
        <v>838</v>
      </c>
      <c r="M632" s="903" t="s">
        <v>839</v>
      </c>
      <c r="N632" s="903" t="s">
        <v>840</v>
      </c>
      <c r="O632" s="903" t="s">
        <v>841</v>
      </c>
      <c r="P632" s="903" t="s">
        <v>843</v>
      </c>
      <c r="Q632" s="903" t="s">
        <v>842</v>
      </c>
    </row>
    <row r="633" spans="1:18" ht="45">
      <c r="A633" s="895">
        <f t="shared" si="235"/>
        <v>625</v>
      </c>
      <c r="B633" s="905" t="s">
        <v>1352</v>
      </c>
      <c r="C633" s="905" t="s">
        <v>1587</v>
      </c>
      <c r="D633" s="905" t="s">
        <v>1664</v>
      </c>
      <c r="E633" s="905" t="s">
        <v>1665</v>
      </c>
      <c r="F633" s="905" t="s">
        <v>1666</v>
      </c>
      <c r="G633" s="906"/>
      <c r="H633" s="905" t="s">
        <v>1667</v>
      </c>
      <c r="I633" s="905" t="s">
        <v>1668</v>
      </c>
      <c r="J633" s="905" t="s">
        <v>1669</v>
      </c>
      <c r="K633" s="896"/>
      <c r="L633" s="905" t="s">
        <v>1670</v>
      </c>
      <c r="M633" s="905" t="s">
        <v>1671</v>
      </c>
      <c r="N633" s="905" t="s">
        <v>1672</v>
      </c>
      <c r="O633" s="905" t="s">
        <v>1673</v>
      </c>
      <c r="P633" s="905" t="s">
        <v>1674</v>
      </c>
      <c r="Q633" s="905" t="s">
        <v>1675</v>
      </c>
    </row>
    <row r="634" spans="1:18">
      <c r="A634" s="895">
        <f t="shared" si="235"/>
        <v>626</v>
      </c>
      <c r="B634" s="896"/>
      <c r="C634" s="906"/>
      <c r="D634" s="906"/>
      <c r="E634" s="906"/>
      <c r="F634" s="906"/>
      <c r="G634" s="906"/>
      <c r="H634" s="906"/>
      <c r="I634" s="906"/>
      <c r="J634" s="906"/>
      <c r="K634" s="896"/>
      <c r="L634" s="896"/>
      <c r="M634" s="896"/>
      <c r="N634" s="896"/>
      <c r="O634" s="896"/>
      <c r="P634" s="896"/>
      <c r="Q634" s="896"/>
    </row>
    <row r="635" spans="1:18">
      <c r="A635" s="895">
        <f t="shared" si="235"/>
        <v>627</v>
      </c>
      <c r="B635" s="1260" t="s">
        <v>1676</v>
      </c>
      <c r="C635" s="1260"/>
      <c r="D635" s="1260"/>
      <c r="E635" s="1260"/>
      <c r="F635" s="909"/>
      <c r="G635" s="909"/>
      <c r="H635" s="910"/>
      <c r="I635" s="910"/>
      <c r="J635" s="911">
        <f>'WP_B-Inputs Est.'!Q138</f>
        <v>0</v>
      </c>
      <c r="K635" s="912"/>
      <c r="L635" s="910"/>
      <c r="M635" s="913"/>
      <c r="N635" s="913"/>
      <c r="O635" s="913"/>
      <c r="P635" s="913"/>
      <c r="Q635" s="911">
        <f>'WP_B-Inputs Act.'!L138</f>
        <v>0</v>
      </c>
    </row>
    <row r="636" spans="1:18">
      <c r="A636" s="895">
        <f t="shared" si="235"/>
        <v>628</v>
      </c>
      <c r="B636" s="914" t="s">
        <v>956</v>
      </c>
      <c r="C636" s="910">
        <v>31</v>
      </c>
      <c r="D636" s="915">
        <f t="shared" ref="D636:D644" si="248">D637+C637</f>
        <v>335</v>
      </c>
      <c r="E636" s="915">
        <f>SUM(C636:C647)</f>
        <v>365</v>
      </c>
      <c r="F636" s="916">
        <f>D636/E636</f>
        <v>0.9178082191780822</v>
      </c>
      <c r="G636" s="909"/>
      <c r="H636" s="917">
        <f>('WP_B-Inputs Est.'!Q139-'WP_B-Inputs Est.'!Q138)/12</f>
        <v>0</v>
      </c>
      <c r="I636" s="910">
        <f>+H636*F636</f>
        <v>0</v>
      </c>
      <c r="J636" s="910">
        <f t="shared" ref="J636:J647" si="249">+I636+J635</f>
        <v>0</v>
      </c>
      <c r="K636" s="896"/>
      <c r="L636" s="917">
        <f>('WP_B-Inputs Act.'!L139-'WP_B-Inputs Act.'!L138)/12</f>
        <v>0</v>
      </c>
      <c r="M636" s="913">
        <f>L636-H636</f>
        <v>0</v>
      </c>
      <c r="N636" s="913">
        <f>IF(M636&gt;=0,+M636,0)</f>
        <v>0</v>
      </c>
      <c r="O636" s="913">
        <f>IF(N636&gt;0,0,IF(L636&lt;0,0,(-(M636)*(D636/E636))))</f>
        <v>0</v>
      </c>
      <c r="P636" s="913">
        <f>IF(N636&gt;0,0,IF(L636&gt;0,0,(-(M636)*(D636/E636))))</f>
        <v>0</v>
      </c>
      <c r="Q636" s="913">
        <f>IF(L636&lt;0,Q635+P636,Q635+I636+N636-O636)</f>
        <v>0</v>
      </c>
    </row>
    <row r="637" spans="1:18">
      <c r="A637" s="895">
        <f t="shared" si="235"/>
        <v>629</v>
      </c>
      <c r="B637" s="914" t="s">
        <v>904</v>
      </c>
      <c r="C637" s="917">
        <f>$C$17</f>
        <v>28</v>
      </c>
      <c r="D637" s="915">
        <f t="shared" si="248"/>
        <v>307</v>
      </c>
      <c r="E637" s="915">
        <f>E636</f>
        <v>365</v>
      </c>
      <c r="F637" s="916">
        <f t="shared" ref="F637:F647" si="250">D637/E637</f>
        <v>0.84109589041095889</v>
      </c>
      <c r="G637" s="909"/>
      <c r="H637" s="917">
        <f>$H$605</f>
        <v>68.117901469999197</v>
      </c>
      <c r="I637" s="910">
        <f t="shared" ref="I637:I647" si="251">+H637*F637</f>
        <v>57.293686989834939</v>
      </c>
      <c r="J637" s="910">
        <f t="shared" si="249"/>
        <v>57.293686989834939</v>
      </c>
      <c r="K637" s="896"/>
      <c r="L637" s="917">
        <f>$L$605</f>
        <v>0</v>
      </c>
      <c r="M637" s="913">
        <f t="shared" ref="M637:M647" si="252">L637-H637</f>
        <v>-68.117901469999197</v>
      </c>
      <c r="N637" s="913">
        <f t="shared" ref="N637:N647" si="253">IF(M637&gt;=0,+M637,0)</f>
        <v>0</v>
      </c>
      <c r="O637" s="913">
        <f t="shared" ref="O637:O647" si="254">IF(N637&gt;0,0,IF(L637&lt;0,0,(-(M637)*(D637/E637))))</f>
        <v>57.293686989834939</v>
      </c>
      <c r="P637" s="913">
        <f t="shared" ref="P637:P647" si="255">IF(N637&gt;0,0,IF(L637&gt;0,0,(-(M637)*(D637/E637))))</f>
        <v>57.293686989834939</v>
      </c>
      <c r="Q637" s="913">
        <f t="shared" ref="Q637:Q647" si="256">IF(L637&lt;0,Q636+P637,Q636+I637+N637-O637)</f>
        <v>0</v>
      </c>
    </row>
    <row r="638" spans="1:18">
      <c r="A638" s="895">
        <f t="shared" si="235"/>
        <v>630</v>
      </c>
      <c r="B638" s="914" t="s">
        <v>905</v>
      </c>
      <c r="C638" s="910">
        <v>31</v>
      </c>
      <c r="D638" s="915">
        <f t="shared" si="248"/>
        <v>276</v>
      </c>
      <c r="E638" s="915">
        <f t="shared" ref="E638:E647" si="257">E637</f>
        <v>365</v>
      </c>
      <c r="F638" s="916">
        <f t="shared" si="250"/>
        <v>0.75616438356164384</v>
      </c>
      <c r="G638" s="909"/>
      <c r="H638" s="917">
        <f t="shared" ref="H638:H647" si="258">$H$605</f>
        <v>68.117901469999197</v>
      </c>
      <c r="I638" s="910">
        <f t="shared" si="251"/>
        <v>51.508330974574733</v>
      </c>
      <c r="J638" s="910">
        <f t="shared" si="249"/>
        <v>108.80201796440967</v>
      </c>
      <c r="K638" s="896"/>
      <c r="L638" s="917">
        <f t="shared" ref="L638:L647" si="259">$L$605</f>
        <v>0</v>
      </c>
      <c r="M638" s="913">
        <f t="shared" si="252"/>
        <v>-68.117901469999197</v>
      </c>
      <c r="N638" s="913">
        <f t="shared" si="253"/>
        <v>0</v>
      </c>
      <c r="O638" s="913">
        <f t="shared" si="254"/>
        <v>51.508330974574733</v>
      </c>
      <c r="P638" s="913">
        <f t="shared" si="255"/>
        <v>51.508330974574733</v>
      </c>
      <c r="Q638" s="913">
        <f t="shared" si="256"/>
        <v>0</v>
      </c>
    </row>
    <row r="639" spans="1:18">
      <c r="A639" s="895">
        <f t="shared" si="235"/>
        <v>631</v>
      </c>
      <c r="B639" s="914" t="s">
        <v>906</v>
      </c>
      <c r="C639" s="910">
        <v>30</v>
      </c>
      <c r="D639" s="915">
        <f t="shared" si="248"/>
        <v>246</v>
      </c>
      <c r="E639" s="915">
        <f t="shared" si="257"/>
        <v>365</v>
      </c>
      <c r="F639" s="916">
        <f t="shared" si="250"/>
        <v>0.67397260273972603</v>
      </c>
      <c r="G639" s="909"/>
      <c r="H639" s="917">
        <f t="shared" si="258"/>
        <v>68.117901469999197</v>
      </c>
      <c r="I639" s="910">
        <f t="shared" si="251"/>
        <v>45.909599346903569</v>
      </c>
      <c r="J639" s="910">
        <f t="shared" si="249"/>
        <v>154.71161731131323</v>
      </c>
      <c r="K639" s="896"/>
      <c r="L639" s="917">
        <f t="shared" si="259"/>
        <v>0</v>
      </c>
      <c r="M639" s="913">
        <f t="shared" si="252"/>
        <v>-68.117901469999197</v>
      </c>
      <c r="N639" s="913">
        <f t="shared" si="253"/>
        <v>0</v>
      </c>
      <c r="O639" s="913">
        <f t="shared" si="254"/>
        <v>45.909599346903569</v>
      </c>
      <c r="P639" s="913">
        <f t="shared" si="255"/>
        <v>45.909599346903569</v>
      </c>
      <c r="Q639" s="913">
        <f t="shared" si="256"/>
        <v>0</v>
      </c>
    </row>
    <row r="640" spans="1:18">
      <c r="A640" s="895">
        <f t="shared" si="235"/>
        <v>632</v>
      </c>
      <c r="B640" s="914" t="s">
        <v>907</v>
      </c>
      <c r="C640" s="910">
        <v>31</v>
      </c>
      <c r="D640" s="915">
        <f t="shared" si="248"/>
        <v>215</v>
      </c>
      <c r="E640" s="915">
        <f t="shared" si="257"/>
        <v>365</v>
      </c>
      <c r="F640" s="916">
        <f t="shared" si="250"/>
        <v>0.58904109589041098</v>
      </c>
      <c r="G640" s="909"/>
      <c r="H640" s="917">
        <f t="shared" si="258"/>
        <v>68.117901469999197</v>
      </c>
      <c r="I640" s="910">
        <f t="shared" si="251"/>
        <v>40.124243331643363</v>
      </c>
      <c r="J640" s="910">
        <f t="shared" si="249"/>
        <v>194.83586064295659</v>
      </c>
      <c r="K640" s="896"/>
      <c r="L640" s="917">
        <f t="shared" si="259"/>
        <v>0</v>
      </c>
      <c r="M640" s="913">
        <f t="shared" si="252"/>
        <v>-68.117901469999197</v>
      </c>
      <c r="N640" s="913">
        <f t="shared" si="253"/>
        <v>0</v>
      </c>
      <c r="O640" s="913">
        <f t="shared" si="254"/>
        <v>40.124243331643363</v>
      </c>
      <c r="P640" s="913">
        <f t="shared" si="255"/>
        <v>40.124243331643363</v>
      </c>
      <c r="Q640" s="913">
        <f t="shared" si="256"/>
        <v>0</v>
      </c>
    </row>
    <row r="641" spans="1:17">
      <c r="A641" s="895">
        <f t="shared" si="235"/>
        <v>633</v>
      </c>
      <c r="B641" s="914" t="s">
        <v>908</v>
      </c>
      <c r="C641" s="910">
        <v>30</v>
      </c>
      <c r="D641" s="915">
        <f t="shared" si="248"/>
        <v>185</v>
      </c>
      <c r="E641" s="915">
        <f t="shared" si="257"/>
        <v>365</v>
      </c>
      <c r="F641" s="916">
        <f t="shared" si="250"/>
        <v>0.50684931506849318</v>
      </c>
      <c r="G641" s="909"/>
      <c r="H641" s="917">
        <f t="shared" si="258"/>
        <v>68.117901469999197</v>
      </c>
      <c r="I641" s="910">
        <f t="shared" si="251"/>
        <v>34.525511703972199</v>
      </c>
      <c r="J641" s="910">
        <f t="shared" si="249"/>
        <v>229.36137234692879</v>
      </c>
      <c r="K641" s="896"/>
      <c r="L641" s="917">
        <f t="shared" si="259"/>
        <v>0</v>
      </c>
      <c r="M641" s="913">
        <f t="shared" si="252"/>
        <v>-68.117901469999197</v>
      </c>
      <c r="N641" s="913">
        <f t="shared" si="253"/>
        <v>0</v>
      </c>
      <c r="O641" s="913">
        <f t="shared" si="254"/>
        <v>34.525511703972199</v>
      </c>
      <c r="P641" s="913">
        <f t="shared" si="255"/>
        <v>34.525511703972199</v>
      </c>
      <c r="Q641" s="913">
        <f t="shared" si="256"/>
        <v>0</v>
      </c>
    </row>
    <row r="642" spans="1:17">
      <c r="A642" s="895">
        <f t="shared" si="235"/>
        <v>634</v>
      </c>
      <c r="B642" s="914" t="s">
        <v>909</v>
      </c>
      <c r="C642" s="910">
        <v>31</v>
      </c>
      <c r="D642" s="915">
        <f t="shared" si="248"/>
        <v>154</v>
      </c>
      <c r="E642" s="915">
        <f t="shared" si="257"/>
        <v>365</v>
      </c>
      <c r="F642" s="916">
        <f t="shared" si="250"/>
        <v>0.42191780821917807</v>
      </c>
      <c r="G642" s="909"/>
      <c r="H642" s="917">
        <f t="shared" si="258"/>
        <v>68.117901469999197</v>
      </c>
      <c r="I642" s="910">
        <f t="shared" si="251"/>
        <v>28.74015568871199</v>
      </c>
      <c r="J642" s="910">
        <f t="shared" si="249"/>
        <v>258.1015280356408</v>
      </c>
      <c r="K642" s="896"/>
      <c r="L642" s="917">
        <f t="shared" si="259"/>
        <v>0</v>
      </c>
      <c r="M642" s="913">
        <f t="shared" si="252"/>
        <v>-68.117901469999197</v>
      </c>
      <c r="N642" s="913">
        <f t="shared" si="253"/>
        <v>0</v>
      </c>
      <c r="O642" s="913">
        <f t="shared" si="254"/>
        <v>28.74015568871199</v>
      </c>
      <c r="P642" s="913">
        <f t="shared" si="255"/>
        <v>28.74015568871199</v>
      </c>
      <c r="Q642" s="913">
        <f t="shared" si="256"/>
        <v>0</v>
      </c>
    </row>
    <row r="643" spans="1:17">
      <c r="A643" s="895">
        <f t="shared" si="235"/>
        <v>635</v>
      </c>
      <c r="B643" s="914" t="s">
        <v>910</v>
      </c>
      <c r="C643" s="910">
        <v>31</v>
      </c>
      <c r="D643" s="915">
        <f t="shared" si="248"/>
        <v>123</v>
      </c>
      <c r="E643" s="915">
        <f t="shared" si="257"/>
        <v>365</v>
      </c>
      <c r="F643" s="916">
        <f t="shared" si="250"/>
        <v>0.33698630136986302</v>
      </c>
      <c r="G643" s="909"/>
      <c r="H643" s="917">
        <f t="shared" si="258"/>
        <v>68.117901469999197</v>
      </c>
      <c r="I643" s="910">
        <f t="shared" si="251"/>
        <v>22.954799673451785</v>
      </c>
      <c r="J643" s="910">
        <f t="shared" si="249"/>
        <v>281.05632770909256</v>
      </c>
      <c r="K643" s="896"/>
      <c r="L643" s="917">
        <f t="shared" si="259"/>
        <v>0</v>
      </c>
      <c r="M643" s="913">
        <f t="shared" si="252"/>
        <v>-68.117901469999197</v>
      </c>
      <c r="N643" s="913">
        <f t="shared" si="253"/>
        <v>0</v>
      </c>
      <c r="O643" s="913">
        <f t="shared" si="254"/>
        <v>22.954799673451785</v>
      </c>
      <c r="P643" s="913">
        <f t="shared" si="255"/>
        <v>22.954799673451785</v>
      </c>
      <c r="Q643" s="913">
        <f t="shared" si="256"/>
        <v>0</v>
      </c>
    </row>
    <row r="644" spans="1:17">
      <c r="A644" s="895">
        <f t="shared" si="235"/>
        <v>636</v>
      </c>
      <c r="B644" s="914" t="s">
        <v>911</v>
      </c>
      <c r="C644" s="910">
        <v>30</v>
      </c>
      <c r="D644" s="915">
        <f t="shared" si="248"/>
        <v>93</v>
      </c>
      <c r="E644" s="915">
        <f t="shared" si="257"/>
        <v>365</v>
      </c>
      <c r="F644" s="916">
        <f t="shared" si="250"/>
        <v>0.25479452054794521</v>
      </c>
      <c r="G644" s="909"/>
      <c r="H644" s="917">
        <f t="shared" si="258"/>
        <v>68.117901469999197</v>
      </c>
      <c r="I644" s="910">
        <f t="shared" si="251"/>
        <v>17.356068045780617</v>
      </c>
      <c r="J644" s="910">
        <f t="shared" si="249"/>
        <v>298.41239575487316</v>
      </c>
      <c r="K644" s="896"/>
      <c r="L644" s="917">
        <f t="shared" si="259"/>
        <v>0</v>
      </c>
      <c r="M644" s="913">
        <f t="shared" si="252"/>
        <v>-68.117901469999197</v>
      </c>
      <c r="N644" s="913">
        <f t="shared" si="253"/>
        <v>0</v>
      </c>
      <c r="O644" s="913">
        <f t="shared" si="254"/>
        <v>17.356068045780617</v>
      </c>
      <c r="P644" s="913">
        <f t="shared" si="255"/>
        <v>17.356068045780617</v>
      </c>
      <c r="Q644" s="913">
        <f t="shared" si="256"/>
        <v>0</v>
      </c>
    </row>
    <row r="645" spans="1:17">
      <c r="A645" s="895">
        <f t="shared" si="235"/>
        <v>637</v>
      </c>
      <c r="B645" s="914" t="s">
        <v>912</v>
      </c>
      <c r="C645" s="910">
        <v>31</v>
      </c>
      <c r="D645" s="915">
        <f>D646+C646</f>
        <v>62</v>
      </c>
      <c r="E645" s="915">
        <f t="shared" si="257"/>
        <v>365</v>
      </c>
      <c r="F645" s="916">
        <f t="shared" si="250"/>
        <v>0.16986301369863013</v>
      </c>
      <c r="G645" s="909"/>
      <c r="H645" s="917">
        <f t="shared" si="258"/>
        <v>68.117901469999197</v>
      </c>
      <c r="I645" s="910">
        <f t="shared" si="251"/>
        <v>11.570712030520411</v>
      </c>
      <c r="J645" s="910">
        <f t="shared" si="249"/>
        <v>309.9831077853936</v>
      </c>
      <c r="K645" s="896"/>
      <c r="L645" s="917">
        <f t="shared" si="259"/>
        <v>0</v>
      </c>
      <c r="M645" s="913">
        <f t="shared" si="252"/>
        <v>-68.117901469999197</v>
      </c>
      <c r="N645" s="913">
        <f t="shared" si="253"/>
        <v>0</v>
      </c>
      <c r="O645" s="913">
        <f t="shared" si="254"/>
        <v>11.570712030520411</v>
      </c>
      <c r="P645" s="913">
        <f t="shared" si="255"/>
        <v>11.570712030520411</v>
      </c>
      <c r="Q645" s="913">
        <f t="shared" si="256"/>
        <v>0</v>
      </c>
    </row>
    <row r="646" spans="1:17">
      <c r="A646" s="895">
        <f t="shared" si="235"/>
        <v>638</v>
      </c>
      <c r="B646" s="914" t="s">
        <v>913</v>
      </c>
      <c r="C646" s="910">
        <v>30</v>
      </c>
      <c r="D646" s="915">
        <f>D647+C647</f>
        <v>32</v>
      </c>
      <c r="E646" s="915">
        <f t="shared" si="257"/>
        <v>365</v>
      </c>
      <c r="F646" s="916">
        <f t="shared" si="250"/>
        <v>8.7671232876712329E-2</v>
      </c>
      <c r="G646" s="909"/>
      <c r="H646" s="917">
        <f t="shared" si="258"/>
        <v>68.117901469999197</v>
      </c>
      <c r="I646" s="910">
        <f t="shared" si="251"/>
        <v>5.9719804028492449</v>
      </c>
      <c r="J646" s="910">
        <f t="shared" si="249"/>
        <v>315.95508818824283</v>
      </c>
      <c r="K646" s="896"/>
      <c r="L646" s="917">
        <f t="shared" si="259"/>
        <v>0</v>
      </c>
      <c r="M646" s="913">
        <f t="shared" si="252"/>
        <v>-68.117901469999197</v>
      </c>
      <c r="N646" s="913">
        <f t="shared" si="253"/>
        <v>0</v>
      </c>
      <c r="O646" s="913">
        <f t="shared" si="254"/>
        <v>5.9719804028492449</v>
      </c>
      <c r="P646" s="913">
        <f t="shared" si="255"/>
        <v>5.9719804028492449</v>
      </c>
      <c r="Q646" s="913">
        <f t="shared" si="256"/>
        <v>0</v>
      </c>
    </row>
    <row r="647" spans="1:17">
      <c r="A647" s="895">
        <f t="shared" si="235"/>
        <v>639</v>
      </c>
      <c r="B647" s="914" t="s">
        <v>914</v>
      </c>
      <c r="C647" s="910">
        <v>31</v>
      </c>
      <c r="D647" s="915">
        <v>1</v>
      </c>
      <c r="E647" s="915">
        <f t="shared" si="257"/>
        <v>365</v>
      </c>
      <c r="F647" s="916">
        <f t="shared" si="250"/>
        <v>2.7397260273972603E-3</v>
      </c>
      <c r="G647" s="909"/>
      <c r="H647" s="917">
        <f t="shared" si="258"/>
        <v>68.117901469999197</v>
      </c>
      <c r="I647" s="910">
        <f t="shared" si="251"/>
        <v>0.1866243875890389</v>
      </c>
      <c r="J647" s="910">
        <f t="shared" si="249"/>
        <v>316.14171257583189</v>
      </c>
      <c r="K647" s="896"/>
      <c r="L647" s="917">
        <f t="shared" si="259"/>
        <v>0</v>
      </c>
      <c r="M647" s="913">
        <f t="shared" si="252"/>
        <v>-68.117901469999197</v>
      </c>
      <c r="N647" s="913">
        <f t="shared" si="253"/>
        <v>0</v>
      </c>
      <c r="O647" s="913">
        <f t="shared" si="254"/>
        <v>0.1866243875890389</v>
      </c>
      <c r="P647" s="913">
        <f t="shared" si="255"/>
        <v>0.1866243875890389</v>
      </c>
      <c r="Q647" s="913">
        <f t="shared" si="256"/>
        <v>0</v>
      </c>
    </row>
    <row r="648" spans="1:17">
      <c r="A648" s="895">
        <f t="shared" si="235"/>
        <v>640</v>
      </c>
      <c r="B648" s="918"/>
      <c r="C648" s="918" t="s">
        <v>795</v>
      </c>
      <c r="D648" s="919">
        <f>+SUM(D636:D647)</f>
        <v>2029</v>
      </c>
      <c r="E648" s="919">
        <f>+SUM(E636:E647)</f>
        <v>4380</v>
      </c>
      <c r="F648" s="920"/>
      <c r="G648" s="909"/>
      <c r="H648" s="921">
        <f>SUM(H636:H647)</f>
        <v>749.29691616999116</v>
      </c>
      <c r="I648" s="921">
        <f>SUM(I636:I647)</f>
        <v>316.14171257583189</v>
      </c>
      <c r="J648" s="920"/>
      <c r="K648" s="896"/>
      <c r="L648" s="922">
        <f>SUM(L636:L647)</f>
        <v>0</v>
      </c>
      <c r="M648" s="922">
        <f>SUM(M636:M647)</f>
        <v>-749.29691616999116</v>
      </c>
      <c r="N648" s="922">
        <f>SUM(N636:N647)</f>
        <v>0</v>
      </c>
      <c r="O648" s="922">
        <f>SUM(O636:O647)</f>
        <v>316.14171257583189</v>
      </c>
      <c r="P648" s="922">
        <f>SUM(P636:P647)</f>
        <v>316.14171257583189</v>
      </c>
      <c r="Q648" s="922"/>
    </row>
    <row r="649" spans="1:17">
      <c r="A649" s="895">
        <f t="shared" ref="A649:A657" si="260">+A648+1</f>
        <v>641</v>
      </c>
      <c r="B649" s="924"/>
      <c r="C649" s="924"/>
      <c r="D649" s="925"/>
      <c r="E649" s="925"/>
      <c r="F649" s="926"/>
      <c r="G649" s="909"/>
      <c r="H649" s="910"/>
      <c r="I649" s="910"/>
      <c r="J649" s="926"/>
      <c r="K649" s="896"/>
      <c r="L649" s="928"/>
      <c r="M649" s="928"/>
      <c r="N649" s="928"/>
      <c r="O649" s="928"/>
      <c r="P649" s="928"/>
      <c r="Q649" s="928"/>
    </row>
    <row r="650" spans="1:17">
      <c r="A650" s="895">
        <f t="shared" si="260"/>
        <v>642</v>
      </c>
      <c r="B650" s="896" t="s">
        <v>1677</v>
      </c>
      <c r="C650" s="924"/>
      <c r="D650" s="925"/>
      <c r="E650" s="929">
        <f>1-(D648/E648)</f>
        <v>0.53675799086757991</v>
      </c>
      <c r="F650" s="926"/>
      <c r="G650" s="909"/>
      <c r="H650" s="910"/>
      <c r="I650" s="910"/>
      <c r="J650" s="926"/>
      <c r="K650" s="896"/>
      <c r="L650" s="928"/>
      <c r="M650" s="928"/>
      <c r="N650" s="928"/>
      <c r="O650" s="928"/>
      <c r="P650" s="928"/>
      <c r="Q650" s="928"/>
    </row>
    <row r="651" spans="1:17" s="901" customFormat="1">
      <c r="A651" s="895">
        <f t="shared" si="260"/>
        <v>643</v>
      </c>
      <c r="B651" s="947"/>
      <c r="C651" s="947"/>
      <c r="D651" s="947"/>
      <c r="E651" s="947"/>
      <c r="F651" s="948"/>
      <c r="G651" s="948"/>
      <c r="H651" s="900"/>
      <c r="I651" s="949"/>
      <c r="J651" s="948"/>
      <c r="K651" s="908"/>
      <c r="L651" s="908"/>
      <c r="M651" s="908"/>
      <c r="N651" s="908"/>
      <c r="O651" s="908"/>
      <c r="P651" s="908"/>
      <c r="Q651" s="908"/>
    </row>
    <row r="652" spans="1:17" s="901" customFormat="1">
      <c r="A652" s="895">
        <f t="shared" si="260"/>
        <v>644</v>
      </c>
      <c r="B652" s="950"/>
      <c r="C652" s="947"/>
      <c r="D652" s="908"/>
      <c r="E652" s="947"/>
      <c r="F652" s="908"/>
      <c r="G652" s="948"/>
      <c r="H652" s="900"/>
      <c r="I652" s="949"/>
      <c r="J652" s="951"/>
      <c r="K652" s="908"/>
      <c r="L652" s="908"/>
      <c r="M652" s="908"/>
      <c r="N652" s="908"/>
      <c r="O652" s="908"/>
      <c r="P652" s="908"/>
      <c r="Q652" s="951"/>
    </row>
    <row r="653" spans="1:17" s="109" customFormat="1">
      <c r="A653" s="895">
        <f t="shared" si="260"/>
        <v>645</v>
      </c>
      <c r="B653" s="934" t="s">
        <v>1678</v>
      </c>
      <c r="C653" s="934"/>
      <c r="D653" s="934"/>
      <c r="E653" s="934"/>
      <c r="F653" s="934" t="str">
        <f>"(Line "&amp;A635&amp;", Col H)"</f>
        <v>(Line 627, Col H)</v>
      </c>
      <c r="G653" s="952"/>
      <c r="H653" s="934"/>
      <c r="I653" s="952"/>
      <c r="J653" s="913">
        <f>J635</f>
        <v>0</v>
      </c>
      <c r="K653" s="934"/>
      <c r="L653" s="934"/>
      <c r="M653" s="934"/>
      <c r="N653" s="934" t="str">
        <f>"(Line "&amp;A635&amp;", Col N)"</f>
        <v>(Line 627, Col N)</v>
      </c>
      <c r="O653" s="934"/>
      <c r="P653" s="934"/>
      <c r="Q653" s="913">
        <f>Q635</f>
        <v>0</v>
      </c>
    </row>
    <row r="654" spans="1:17" s="109" customFormat="1">
      <c r="A654" s="895">
        <f t="shared" si="260"/>
        <v>646</v>
      </c>
      <c r="B654" s="934" t="s">
        <v>1679</v>
      </c>
      <c r="C654" s="934"/>
      <c r="D654" s="934"/>
      <c r="E654" s="934"/>
      <c r="F654" s="934" t="str">
        <f>"(Line "&amp;A647&amp;", Col H)"</f>
        <v>(Line 639, Col H)</v>
      </c>
      <c r="G654" s="952"/>
      <c r="H654" s="934"/>
      <c r="I654" s="952"/>
      <c r="J654" s="913">
        <f>J647</f>
        <v>316.14171257583189</v>
      </c>
      <c r="K654" s="934"/>
      <c r="L654" s="953"/>
      <c r="M654" s="934"/>
      <c r="N654" s="934" t="str">
        <f>"(Line "&amp;A647&amp;", Col N)"</f>
        <v>(Line 639, Col N)</v>
      </c>
      <c r="O654" s="934"/>
      <c r="P654" s="934"/>
      <c r="Q654" s="913">
        <f>Q647</f>
        <v>0</v>
      </c>
    </row>
    <row r="655" spans="1:17" s="109" customFormat="1">
      <c r="A655" s="895">
        <f t="shared" si="260"/>
        <v>647</v>
      </c>
      <c r="B655" s="934" t="s">
        <v>1680</v>
      </c>
      <c r="C655" s="934"/>
      <c r="D655" s="934"/>
      <c r="E655" s="934"/>
      <c r="F655" s="934" t="str">
        <f>"(Average of Line "&amp;A653&amp;" &amp; Line "&amp;A654&amp;")"</f>
        <v>(Average of Line 645 &amp; Line 646)</v>
      </c>
      <c r="G655" s="952"/>
      <c r="H655" s="934"/>
      <c r="I655" s="954"/>
      <c r="J655" s="938">
        <f>(J653+J654)/2</f>
        <v>158.07085628791594</v>
      </c>
      <c r="K655" s="934"/>
      <c r="L655" s="955"/>
      <c r="M655" s="934"/>
      <c r="N655" s="934" t="str">
        <f>"(Average of Line "&amp;A653&amp;" &amp; Line "&amp;A654&amp;")"</f>
        <v>(Average of Line 645 &amp; Line 646)</v>
      </c>
      <c r="O655" s="934"/>
      <c r="P655" s="934"/>
      <c r="Q655" s="938">
        <f>(Q653+Q654)/2</f>
        <v>0</v>
      </c>
    </row>
    <row r="656" spans="1:17" s="109" customFormat="1" ht="13.5" customHeight="1">
      <c r="A656" s="895">
        <f t="shared" si="260"/>
        <v>648</v>
      </c>
      <c r="B656" s="934" t="s">
        <v>1681</v>
      </c>
      <c r="C656" s="934"/>
      <c r="D656" s="934"/>
      <c r="E656" s="934"/>
      <c r="F656" s="934" t="s">
        <v>1830</v>
      </c>
      <c r="G656" s="934"/>
      <c r="H656" s="934"/>
      <c r="I656" s="934"/>
      <c r="J656" s="956">
        <f>AVERAGE(J635, (SUM(H636:H647)+J635))</f>
        <v>374.64845808499558</v>
      </c>
      <c r="K656" s="934"/>
      <c r="L656" s="934"/>
      <c r="M656" s="934"/>
      <c r="N656" s="934" t="s">
        <v>1830</v>
      </c>
      <c r="O656" s="934"/>
      <c r="P656" s="934"/>
      <c r="Q656" s="956">
        <f>AVERAGE(Q635, (SUM(L636:L647)+Q635))</f>
        <v>0</v>
      </c>
    </row>
    <row r="657" spans="1:17" s="109" customFormat="1" ht="13.5" customHeight="1">
      <c r="A657" s="895">
        <f t="shared" si="260"/>
        <v>649</v>
      </c>
      <c r="B657" s="934" t="s">
        <v>1682</v>
      </c>
      <c r="C657" s="934"/>
      <c r="D657" s="934"/>
      <c r="E657" s="934"/>
      <c r="F657" s="934"/>
      <c r="G657" s="934"/>
      <c r="H657" s="934"/>
      <c r="I657" s="934"/>
      <c r="J657" s="953">
        <f>J655-J656</f>
        <v>-216.57760179707964</v>
      </c>
      <c r="K657" s="934"/>
      <c r="L657" s="934"/>
      <c r="M657" s="934"/>
      <c r="N657" s="934"/>
      <c r="O657" s="934"/>
      <c r="P657" s="934"/>
      <c r="Q657" s="953">
        <f>Q655-Q656</f>
        <v>0</v>
      </c>
    </row>
  </sheetData>
  <mergeCells count="125">
    <mergeCell ref="B599:E599"/>
    <mergeCell ref="B600:F600"/>
    <mergeCell ref="H600:J600"/>
    <mergeCell ref="L600:Q600"/>
    <mergeCell ref="B604:E604"/>
    <mergeCell ref="B568:E568"/>
    <mergeCell ref="B569:F569"/>
    <mergeCell ref="H569:J569"/>
    <mergeCell ref="L569:Q569"/>
    <mergeCell ref="B573:E573"/>
    <mergeCell ref="B449:E449"/>
    <mergeCell ref="B505:E505"/>
    <mergeCell ref="B506:E506"/>
    <mergeCell ref="B507:F507"/>
    <mergeCell ref="H507:J507"/>
    <mergeCell ref="L507:Q507"/>
    <mergeCell ref="B511:E511"/>
    <mergeCell ref="B536:E536"/>
    <mergeCell ref="B598:E598"/>
    <mergeCell ref="B537:E537"/>
    <mergeCell ref="B538:F538"/>
    <mergeCell ref="H538:J538"/>
    <mergeCell ref="L538:Q538"/>
    <mergeCell ref="B542:E542"/>
    <mergeCell ref="B567:E567"/>
    <mergeCell ref="B474:E474"/>
    <mergeCell ref="B475:E475"/>
    <mergeCell ref="B476:F476"/>
    <mergeCell ref="H476:J476"/>
    <mergeCell ref="L476:Q476"/>
    <mergeCell ref="B480:E480"/>
    <mergeCell ref="B383:F383"/>
    <mergeCell ref="H383:J383"/>
    <mergeCell ref="L383:Q383"/>
    <mergeCell ref="B387:E387"/>
    <mergeCell ref="B443:E443"/>
    <mergeCell ref="B444:E444"/>
    <mergeCell ref="B445:F445"/>
    <mergeCell ref="H445:J445"/>
    <mergeCell ref="L445:Q445"/>
    <mergeCell ref="B412:E412"/>
    <mergeCell ref="B413:E413"/>
    <mergeCell ref="B414:F414"/>
    <mergeCell ref="H414:J414"/>
    <mergeCell ref="L414:Q414"/>
    <mergeCell ref="B418:E418"/>
    <mergeCell ref="B325:E325"/>
    <mergeCell ref="B381:E381"/>
    <mergeCell ref="B382:E382"/>
    <mergeCell ref="B350:E350"/>
    <mergeCell ref="B351:E351"/>
    <mergeCell ref="B352:F352"/>
    <mergeCell ref="H352:J352"/>
    <mergeCell ref="L352:Q352"/>
    <mergeCell ref="B356:E356"/>
    <mergeCell ref="B290:F290"/>
    <mergeCell ref="H290:J290"/>
    <mergeCell ref="L290:Q290"/>
    <mergeCell ref="B294:E294"/>
    <mergeCell ref="B319:E319"/>
    <mergeCell ref="B320:E320"/>
    <mergeCell ref="B321:F321"/>
    <mergeCell ref="H321:J321"/>
    <mergeCell ref="L321:Q321"/>
    <mergeCell ref="B232:E232"/>
    <mergeCell ref="B257:E257"/>
    <mergeCell ref="B258:E258"/>
    <mergeCell ref="B259:F259"/>
    <mergeCell ref="H259:J259"/>
    <mergeCell ref="L259:Q259"/>
    <mergeCell ref="B263:E263"/>
    <mergeCell ref="B288:E288"/>
    <mergeCell ref="B289:E289"/>
    <mergeCell ref="B197:F197"/>
    <mergeCell ref="H197:J197"/>
    <mergeCell ref="L197:Q197"/>
    <mergeCell ref="B201:E201"/>
    <mergeCell ref="B226:E226"/>
    <mergeCell ref="B227:E227"/>
    <mergeCell ref="B228:F228"/>
    <mergeCell ref="H228:J228"/>
    <mergeCell ref="L228:Q228"/>
    <mergeCell ref="B139:E139"/>
    <mergeCell ref="B164:E164"/>
    <mergeCell ref="B165:E165"/>
    <mergeCell ref="B166:F166"/>
    <mergeCell ref="H166:J166"/>
    <mergeCell ref="L166:Q166"/>
    <mergeCell ref="B170:E170"/>
    <mergeCell ref="B195:E195"/>
    <mergeCell ref="B196:E196"/>
    <mergeCell ref="B103:F103"/>
    <mergeCell ref="B104:F104"/>
    <mergeCell ref="H104:J104"/>
    <mergeCell ref="L104:Q104"/>
    <mergeCell ref="B108:E108"/>
    <mergeCell ref="B133:E133"/>
    <mergeCell ref="B134:E134"/>
    <mergeCell ref="B135:F135"/>
    <mergeCell ref="H135:J135"/>
    <mergeCell ref="L135:Q135"/>
    <mergeCell ref="B629:E629"/>
    <mergeCell ref="B630:E630"/>
    <mergeCell ref="B631:F631"/>
    <mergeCell ref="H631:J631"/>
    <mergeCell ref="L631:Q631"/>
    <mergeCell ref="B635:E635"/>
    <mergeCell ref="B9:E9"/>
    <mergeCell ref="B10:E10"/>
    <mergeCell ref="B11:F11"/>
    <mergeCell ref="H11:J11"/>
    <mergeCell ref="L11:Q11"/>
    <mergeCell ref="B15:E15"/>
    <mergeCell ref="B40:E40"/>
    <mergeCell ref="B41:E41"/>
    <mergeCell ref="B42:F42"/>
    <mergeCell ref="H42:J42"/>
    <mergeCell ref="L42:Q42"/>
    <mergeCell ref="B46:E46"/>
    <mergeCell ref="B71:E71"/>
    <mergeCell ref="B72:E72"/>
    <mergeCell ref="B73:F73"/>
    <mergeCell ref="H73:J73"/>
    <mergeCell ref="L73:Q73"/>
    <mergeCell ref="B77:E77"/>
  </mergeCells>
  <pageMargins left="0.7" right="0.7" top="0.75" bottom="0.75" header="0.3" footer="0.3"/>
  <pageSetup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N121"/>
  <sheetViews>
    <sheetView workbookViewId="0">
      <selection activeCell="E11" sqref="E11"/>
    </sheetView>
  </sheetViews>
  <sheetFormatPr defaultRowHeight="12.75"/>
  <cols>
    <col min="1" max="1" width="9.28515625" bestFit="1" customWidth="1"/>
    <col min="2" max="2" width="39.85546875" customWidth="1"/>
    <col min="3" max="3" width="25.42578125" style="117" customWidth="1"/>
    <col min="4" max="4" width="2.7109375" customWidth="1"/>
    <col min="5" max="5" width="13.42578125" style="117" bestFit="1" customWidth="1"/>
    <col min="6" max="6" width="2.7109375" style="117" customWidth="1"/>
    <col min="7" max="7" width="13.42578125" bestFit="1" customWidth="1"/>
    <col min="8" max="8" width="2.7109375" customWidth="1"/>
    <col min="9" max="9" width="15.42578125" bestFit="1" customWidth="1"/>
    <col min="10" max="10" width="12.28515625" bestFit="1" customWidth="1"/>
    <col min="11" max="11" width="13.7109375" bestFit="1" customWidth="1"/>
    <col min="12" max="12" width="3.28515625" bestFit="1" customWidth="1"/>
    <col min="13" max="13" width="15.42578125" bestFit="1" customWidth="1"/>
    <col min="14" max="14" width="15" bestFit="1" customWidth="1"/>
  </cols>
  <sheetData>
    <row r="1" spans="1:14" ht="15">
      <c r="A1" s="98" t="str">
        <f>'Cover Page'!A5</f>
        <v>Public Service Company of Colorado</v>
      </c>
      <c r="I1" s="317"/>
      <c r="J1" s="539" t="str">
        <f>'Table of Contents'!A11</f>
        <v>Table 3</v>
      </c>
      <c r="L1" s="133"/>
    </row>
    <row r="2" spans="1:14">
      <c r="A2" s="98" t="str">
        <f>'Cover Page'!A6</f>
        <v>Transmission Formula Rate Template</v>
      </c>
      <c r="J2" s="539" t="str">
        <f ca="1">MID(CELL("filename",$A$1),FIND("]",CELL("filename",$A$1))+1,LEN(CELL("filename",$A$1))-FIND("]",CELL("filename",$A$1)))</f>
        <v>Actual Rates</v>
      </c>
      <c r="L2" s="133"/>
    </row>
    <row r="3" spans="1:14">
      <c r="A3" s="98" t="str">
        <f>'Cover Page'!A7</f>
        <v>Twelve Months Ended December 31, 2018</v>
      </c>
      <c r="J3" s="109"/>
      <c r="L3" s="133"/>
    </row>
    <row r="4" spans="1:14">
      <c r="A4" s="98" t="s">
        <v>862</v>
      </c>
      <c r="L4" s="133"/>
    </row>
    <row r="5" spans="1:14">
      <c r="A5" s="98"/>
      <c r="L5" s="133"/>
    </row>
    <row r="6" spans="1:14">
      <c r="D6" s="136"/>
    </row>
    <row r="7" spans="1:14">
      <c r="A7" s="105"/>
      <c r="C7"/>
      <c r="E7"/>
      <c r="F7"/>
      <c r="K7" s="112"/>
      <c r="N7" s="281"/>
    </row>
    <row r="8" spans="1:14" ht="38.25">
      <c r="A8" s="1" t="s">
        <v>868</v>
      </c>
      <c r="B8" s="1" t="s">
        <v>917</v>
      </c>
      <c r="C8" s="1" t="s">
        <v>870</v>
      </c>
      <c r="D8" s="1"/>
      <c r="E8" s="188" t="s">
        <v>854</v>
      </c>
      <c r="F8" s="148"/>
      <c r="G8" s="188" t="s">
        <v>1099</v>
      </c>
      <c r="H8" s="277"/>
      <c r="I8" s="188" t="s">
        <v>1100</v>
      </c>
      <c r="K8" s="112"/>
      <c r="N8" s="281"/>
    </row>
    <row r="9" spans="1:14">
      <c r="A9" s="78"/>
      <c r="B9" s="342" t="s">
        <v>357</v>
      </c>
      <c r="C9" s="342" t="s">
        <v>358</v>
      </c>
      <c r="D9" s="342"/>
      <c r="E9" s="342" t="s">
        <v>359</v>
      </c>
      <c r="F9" s="342"/>
      <c r="G9" s="342" t="s">
        <v>360</v>
      </c>
      <c r="H9" s="109"/>
      <c r="I9" s="342" t="s">
        <v>853</v>
      </c>
    </row>
    <row r="10" spans="1:14">
      <c r="A10" s="78"/>
      <c r="B10" s="342"/>
      <c r="C10" s="342"/>
      <c r="D10" s="342"/>
      <c r="E10" s="342"/>
      <c r="F10" s="342"/>
    </row>
    <row r="11" spans="1:14">
      <c r="A11" s="79">
        <v>1</v>
      </c>
      <c r="B11" s="177" t="s">
        <v>869</v>
      </c>
      <c r="C11" s="342" t="s">
        <v>1098</v>
      </c>
      <c r="D11" s="342"/>
      <c r="E11" s="643" t="e">
        <f>'ATRR Act'!G145</f>
        <v>#DIV/0!</v>
      </c>
      <c r="F11" s="643"/>
      <c r="G11" s="493">
        <f>'Est. Rates'!E8</f>
        <v>254444613.7395502</v>
      </c>
      <c r="H11" s="281"/>
      <c r="I11" s="493" t="e">
        <f>IF(E11=0,0,E11-G11)</f>
        <v>#DIV/0!</v>
      </c>
    </row>
    <row r="12" spans="1:14">
      <c r="A12" s="105">
        <f>A11+1</f>
        <v>2</v>
      </c>
    </row>
    <row r="13" spans="1:14">
      <c r="A13" s="105">
        <f t="shared" ref="A13:A35" si="0">A12+1</f>
        <v>3</v>
      </c>
      <c r="B13" s="98" t="s">
        <v>874</v>
      </c>
      <c r="C13" s="79"/>
      <c r="D13" s="342"/>
      <c r="E13" s="78"/>
      <c r="F13" s="78"/>
      <c r="G13" s="473"/>
      <c r="H13" s="473"/>
    </row>
    <row r="14" spans="1:14">
      <c r="A14" s="105">
        <f t="shared" si="0"/>
        <v>4</v>
      </c>
      <c r="B14" s="78" t="s">
        <v>872</v>
      </c>
      <c r="C14" s="342" t="str">
        <f ca="1">'WP_I-1'!S2&amp;" Line "&amp;'WP_I-1'!A56</f>
        <v>WP_I-1 Line 15</v>
      </c>
      <c r="D14" s="342"/>
      <c r="E14" s="435">
        <f>'WP_I-1'!M56</f>
        <v>0</v>
      </c>
      <c r="F14" s="435"/>
      <c r="G14" s="472">
        <f>'Est. Rates'!E16</f>
        <v>5812158</v>
      </c>
      <c r="H14" s="472"/>
      <c r="I14" s="135">
        <f>IF(E14=0,0,E14-G14)</f>
        <v>0</v>
      </c>
    </row>
    <row r="15" spans="1:14">
      <c r="A15" s="105">
        <f t="shared" si="0"/>
        <v>5</v>
      </c>
      <c r="B15" s="78"/>
      <c r="C15" s="79"/>
      <c r="D15" s="342"/>
      <c r="E15" s="78"/>
      <c r="F15" s="78"/>
      <c r="G15" s="78"/>
      <c r="H15" s="78"/>
    </row>
    <row r="16" spans="1:14">
      <c r="A16" s="105">
        <f t="shared" si="0"/>
        <v>6</v>
      </c>
      <c r="B16" s="98" t="s">
        <v>191</v>
      </c>
      <c r="C16" s="79"/>
      <c r="D16" s="342"/>
      <c r="E16" s="78"/>
      <c r="F16" s="78"/>
      <c r="G16" s="78"/>
      <c r="H16" s="78"/>
    </row>
    <row r="17" spans="1:10">
      <c r="A17" s="105">
        <f t="shared" si="0"/>
        <v>7</v>
      </c>
      <c r="B17" s="78" t="s">
        <v>397</v>
      </c>
      <c r="C17" s="342" t="str">
        <f>"Line "&amp;A11&amp;" / Line "&amp;A14</f>
        <v>Line 1 / Line 4</v>
      </c>
      <c r="D17" s="342"/>
      <c r="E17" s="443">
        <f>IF(E14=0,0,ROUND(E11/E14,3))</f>
        <v>0</v>
      </c>
      <c r="F17" s="443"/>
      <c r="G17" s="443">
        <f>IF(G14=0,0,ROUND(G11/G14,3))</f>
        <v>43.777999999999999</v>
      </c>
      <c r="I17" s="644">
        <f>IF(E17=0,0,E17-G17)</f>
        <v>0</v>
      </c>
      <c r="J17" s="78" t="s">
        <v>510</v>
      </c>
    </row>
    <row r="18" spans="1:10">
      <c r="A18" s="105">
        <f t="shared" si="0"/>
        <v>8</v>
      </c>
      <c r="B18" s="78"/>
      <c r="C18" s="342"/>
      <c r="D18" s="342"/>
      <c r="E18" s="443"/>
      <c r="F18" s="443"/>
      <c r="G18" s="443"/>
      <c r="I18" s="644"/>
      <c r="J18" s="78"/>
    </row>
    <row r="19" spans="1:10">
      <c r="A19" s="105">
        <f t="shared" si="0"/>
        <v>9</v>
      </c>
      <c r="B19" s="78" t="s">
        <v>398</v>
      </c>
      <c r="C19" s="342" t="str">
        <f>"Line "&amp;A17&amp;" / 12"</f>
        <v>Line 7 / 12</v>
      </c>
      <c r="D19" s="342"/>
      <c r="E19" s="443">
        <f>ROUND(E17/12,3)</f>
        <v>0</v>
      </c>
      <c r="F19" s="443"/>
      <c r="G19" s="443">
        <f>ROUND(G17/12,3)</f>
        <v>3.6480000000000001</v>
      </c>
      <c r="I19" s="663">
        <f>IF(E19=0,0,E19-G19)</f>
        <v>0</v>
      </c>
      <c r="J19" s="78" t="s">
        <v>120</v>
      </c>
    </row>
    <row r="20" spans="1:10">
      <c r="A20" s="105">
        <f t="shared" si="0"/>
        <v>10</v>
      </c>
      <c r="B20" s="78"/>
      <c r="C20" s="342"/>
      <c r="D20" s="342"/>
      <c r="E20" s="342"/>
      <c r="F20" s="342"/>
      <c r="G20" s="342"/>
      <c r="I20" s="663"/>
      <c r="J20" s="78"/>
    </row>
    <row r="21" spans="1:10">
      <c r="A21" s="105">
        <f t="shared" si="0"/>
        <v>11</v>
      </c>
      <c r="B21" s="78" t="s">
        <v>106</v>
      </c>
      <c r="C21" s="342" t="str">
        <f>"Line "&amp;A17&amp;" / 52"</f>
        <v>Line 7 / 52</v>
      </c>
      <c r="D21" s="342"/>
      <c r="E21" s="443">
        <f>ROUND(E17/52,3)</f>
        <v>0</v>
      </c>
      <c r="F21" s="443"/>
      <c r="G21" s="443">
        <f>ROUND(G17/52,3)</f>
        <v>0.84199999999999997</v>
      </c>
      <c r="I21" s="663">
        <f>IF(E21=0,0,E21-G21)</f>
        <v>0</v>
      </c>
      <c r="J21" s="78" t="s">
        <v>121</v>
      </c>
    </row>
    <row r="22" spans="1:10">
      <c r="A22" s="105">
        <f t="shared" si="0"/>
        <v>12</v>
      </c>
      <c r="B22" s="78" t="s">
        <v>107</v>
      </c>
      <c r="C22" s="342" t="str">
        <f>"Line "&amp;A21&amp;" / 6"</f>
        <v>Line 11 / 6</v>
      </c>
      <c r="D22" s="342"/>
      <c r="E22" s="443">
        <f>ROUND(E21/6,3)</f>
        <v>0</v>
      </c>
      <c r="F22" s="443"/>
      <c r="G22" s="443">
        <f>ROUND(G21/6,3)</f>
        <v>0.14000000000000001</v>
      </c>
      <c r="I22" s="663">
        <f>IF(E22=0,0,E22-G22)</f>
        <v>0</v>
      </c>
      <c r="J22" s="78" t="s">
        <v>122</v>
      </c>
    </row>
    <row r="23" spans="1:10" ht="25.5">
      <c r="A23" s="105">
        <f t="shared" si="0"/>
        <v>13</v>
      </c>
      <c r="B23" s="633" t="s">
        <v>108</v>
      </c>
      <c r="C23" s="342" t="str">
        <f>"(Line "&amp;A22&amp;" / 16) X 1,000"</f>
        <v>(Line 12 / 16) X 1,000</v>
      </c>
      <c r="D23" s="342"/>
      <c r="E23" s="443">
        <f>ROUND(E22/16*1000,3)</f>
        <v>0</v>
      </c>
      <c r="F23" s="443"/>
      <c r="G23" s="443">
        <f>ROUND(G22/16*1000,3)</f>
        <v>8.75</v>
      </c>
      <c r="I23" s="663">
        <f>IF(E23=0,0,E23-G23)</f>
        <v>0</v>
      </c>
      <c r="J23" s="78" t="s">
        <v>123</v>
      </c>
    </row>
    <row r="24" spans="1:10">
      <c r="A24" s="105">
        <f t="shared" si="0"/>
        <v>14</v>
      </c>
      <c r="B24" s="78" t="s">
        <v>109</v>
      </c>
      <c r="C24" s="342" t="str">
        <f>"((Line "&amp;A21&amp;" / 7) / 24) X 1,000"</f>
        <v>((Line 11 / 7) / 24) X 1,000</v>
      </c>
      <c r="D24" s="342"/>
      <c r="E24" s="443">
        <f>ROUND(((ROUND(E21/7,5)))/24*1000,2)</f>
        <v>0</v>
      </c>
      <c r="F24" s="443"/>
      <c r="G24" s="443">
        <f>ROUND(((ROUND(G21/7,5)))/24*1000,2)</f>
        <v>5.01</v>
      </c>
      <c r="I24" s="663">
        <f>IF(E24=0,0,E24-G24)</f>
        <v>0</v>
      </c>
      <c r="J24" s="78" t="s">
        <v>123</v>
      </c>
    </row>
    <row r="25" spans="1:10">
      <c r="A25" s="105">
        <f t="shared" si="0"/>
        <v>15</v>
      </c>
    </row>
    <row r="26" spans="1:10">
      <c r="A26" s="105">
        <f t="shared" si="0"/>
        <v>16</v>
      </c>
    </row>
    <row r="27" spans="1:10">
      <c r="A27" s="105">
        <f t="shared" si="0"/>
        <v>17</v>
      </c>
      <c r="B27" s="1204" t="s">
        <v>1101</v>
      </c>
      <c r="C27" s="1204"/>
      <c r="D27" s="1204"/>
      <c r="E27" s="1204"/>
      <c r="F27" s="1204"/>
      <c r="G27" s="1204"/>
      <c r="H27" s="1204"/>
      <c r="I27" s="1204"/>
    </row>
    <row r="28" spans="1:10">
      <c r="A28" s="105">
        <f t="shared" si="0"/>
        <v>18</v>
      </c>
    </row>
    <row r="29" spans="1:10">
      <c r="A29" s="105">
        <f t="shared" si="0"/>
        <v>19</v>
      </c>
      <c r="B29" s="131" t="s">
        <v>119</v>
      </c>
      <c r="C29" s="342"/>
    </row>
    <row r="30" spans="1:10">
      <c r="A30" s="105">
        <f t="shared" si="0"/>
        <v>20</v>
      </c>
      <c r="B30" s="312" t="s">
        <v>127</v>
      </c>
      <c r="C30" s="342" t="str">
        <f ca="1">'Schedule 1'!$D$2&amp;" Line "&amp;'Schedule 1'!A49&amp;" &amp; "&amp;'Schedule 1'!A26</f>
        <v>Schedule 1 Line 41 &amp; 18</v>
      </c>
      <c r="E30" s="659">
        <f>'Schedule 1'!D49</f>
        <v>0</v>
      </c>
      <c r="G30" s="644">
        <f>'Est. Rates'!E34</f>
        <v>6.2E-2</v>
      </c>
      <c r="H30" s="644"/>
      <c r="I30" s="644">
        <f t="shared" ref="I30:I35" si="1">IF(E30=0,0,E30-G30)</f>
        <v>0</v>
      </c>
      <c r="J30" s="78" t="s">
        <v>120</v>
      </c>
    </row>
    <row r="31" spans="1:10">
      <c r="A31" s="105">
        <f t="shared" si="0"/>
        <v>21</v>
      </c>
      <c r="B31" s="312" t="s">
        <v>128</v>
      </c>
      <c r="C31" s="342" t="str">
        <f ca="1">'Schedule 1'!$D$2&amp;" Line "&amp;'Schedule 1'!A50&amp;" &amp; "&amp;'Schedule 1'!A27</f>
        <v>Schedule 1 Line 42 &amp; 19</v>
      </c>
      <c r="E31" s="659">
        <f>'Schedule 1'!D50</f>
        <v>0</v>
      </c>
      <c r="G31" s="644">
        <f>'Est. Rates'!E35</f>
        <v>1.4E-2</v>
      </c>
      <c r="H31" s="644"/>
      <c r="I31" s="644">
        <f t="shared" si="1"/>
        <v>0</v>
      </c>
      <c r="J31" s="78" t="s">
        <v>121</v>
      </c>
    </row>
    <row r="32" spans="1:10">
      <c r="A32" s="105">
        <f t="shared" si="0"/>
        <v>22</v>
      </c>
      <c r="B32" s="312" t="s">
        <v>129</v>
      </c>
      <c r="C32" s="342" t="str">
        <f ca="1">'Schedule 1'!$D$2&amp;" Line "&amp;'Schedule 1'!A51&amp;" &amp; "&amp;'Schedule 1'!A28</f>
        <v>Schedule 1 Line 43 &amp; 20</v>
      </c>
      <c r="E32" s="659">
        <f>'Schedule 1'!D51</f>
        <v>0</v>
      </c>
      <c r="G32" s="644">
        <f>'Est. Rates'!E36</f>
        <v>2E-3</v>
      </c>
      <c r="H32" s="644"/>
      <c r="I32" s="644">
        <f t="shared" si="1"/>
        <v>0</v>
      </c>
      <c r="J32" s="78" t="s">
        <v>122</v>
      </c>
    </row>
    <row r="33" spans="1:10">
      <c r="A33" s="105">
        <f t="shared" si="0"/>
        <v>23</v>
      </c>
      <c r="B33" s="312" t="s">
        <v>130</v>
      </c>
      <c r="C33" s="342" t="str">
        <f ca="1">'Schedule 1'!$D$2&amp;" Line "&amp;'Schedule 1'!A52&amp;" &amp; "&amp;'Schedule 1'!A29</f>
        <v>Schedule 1 Line 44 &amp; 21</v>
      </c>
      <c r="E33" s="659">
        <f>'Schedule 1'!D52</f>
        <v>0</v>
      </c>
      <c r="G33" s="644">
        <f>'Est. Rates'!E37</f>
        <v>8.5000000000000006E-2</v>
      </c>
      <c r="H33" s="644"/>
      <c r="I33" s="644">
        <f t="shared" si="1"/>
        <v>0</v>
      </c>
      <c r="J33" s="78" t="s">
        <v>123</v>
      </c>
    </row>
    <row r="34" spans="1:10">
      <c r="A34" s="105">
        <f t="shared" si="0"/>
        <v>24</v>
      </c>
      <c r="B34" s="312" t="s">
        <v>131</v>
      </c>
      <c r="C34" s="342" t="str">
        <f ca="1">'Schedule 1'!$D$2&amp;" Line "&amp;'Schedule 1'!A49&amp;" &amp; "&amp;'Schedule 1'!A26</f>
        <v>Schedule 1 Line 41 &amp; 18</v>
      </c>
      <c r="E34" s="659">
        <f>'Schedule 1'!D49</f>
        <v>0</v>
      </c>
      <c r="G34" s="644">
        <f>'Est. Rates'!E38</f>
        <v>6.2E-2</v>
      </c>
      <c r="H34" s="644"/>
      <c r="I34" s="644">
        <f t="shared" si="1"/>
        <v>0</v>
      </c>
      <c r="J34" s="78" t="s">
        <v>120</v>
      </c>
    </row>
    <row r="35" spans="1:10">
      <c r="A35" s="105">
        <f t="shared" si="0"/>
        <v>25</v>
      </c>
      <c r="B35" s="312" t="s">
        <v>1256</v>
      </c>
      <c r="C35" s="342" t="str">
        <f ca="1">'Schedule 1'!$D$2&amp;" Line "&amp;'Schedule 1'!A49&amp;" &amp; "&amp;'Schedule 1'!A26</f>
        <v>Schedule 1 Line 41 &amp; 18</v>
      </c>
      <c r="E35" s="659">
        <f>E30</f>
        <v>0</v>
      </c>
      <c r="G35" s="644">
        <f>'Est. Rates'!E39</f>
        <v>6.2E-2</v>
      </c>
      <c r="H35" s="644"/>
      <c r="I35" s="644">
        <f t="shared" si="1"/>
        <v>0</v>
      </c>
      <c r="J35" s="78" t="s">
        <v>120</v>
      </c>
    </row>
    <row r="36" spans="1:10">
      <c r="C36" s="673"/>
    </row>
    <row r="38" spans="1:10" ht="27.75" customHeight="1">
      <c r="B38" s="1206" t="s">
        <v>561</v>
      </c>
      <c r="C38" s="1206"/>
      <c r="D38" s="1206"/>
      <c r="E38" s="1206"/>
      <c r="F38" s="1206"/>
      <c r="G38" s="1206"/>
      <c r="H38" s="1206"/>
      <c r="I38" s="1206"/>
    </row>
    <row r="39" spans="1:10">
      <c r="B39" t="s">
        <v>1102</v>
      </c>
    </row>
    <row r="121" spans="1:2">
      <c r="A121" s="109"/>
      <c r="B121" s="109"/>
    </row>
  </sheetData>
  <mergeCells count="2">
    <mergeCell ref="B27:I27"/>
    <mergeCell ref="B38:I38"/>
  </mergeCells>
  <phoneticPr fontId="0" type="noConversion"/>
  <pageMargins left="0.75" right="0.5" top="0.75" bottom="0.75" header="0.5" footer="0.5"/>
  <pageSetup scale="68" firstPageNumber="7" orientation="portrait" cellComments="atEnd" r:id="rId1"/>
  <headerFooter alignWithMargins="0">
    <oddHeader>&amp;RPage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50"/>
  <sheetViews>
    <sheetView topLeftCell="A139" workbookViewId="0">
      <selection activeCell="D179" sqref="D179"/>
    </sheetView>
  </sheetViews>
  <sheetFormatPr defaultRowHeight="12.75"/>
  <cols>
    <col min="1" max="1" width="10.42578125" style="72" customWidth="1"/>
    <col min="2" max="2" width="53.140625" style="72" customWidth="1"/>
    <col min="3" max="3" width="36.28515625" style="72" customWidth="1"/>
    <col min="4" max="4" width="18" style="72" bestFit="1" customWidth="1"/>
    <col min="5" max="5" width="7.5703125" style="72" customWidth="1"/>
    <col min="6" max="6" width="8.42578125" style="72" bestFit="1" customWidth="1"/>
    <col min="7" max="7" width="25.28515625" style="72" customWidth="1"/>
    <col min="8" max="8" width="5" style="97" customWidth="1"/>
    <col min="9" max="9" width="14.28515625" style="315" hidden="1" customWidth="1"/>
    <col min="10" max="10" width="13.85546875" style="476" hidden="1" customWidth="1"/>
    <col min="11" max="16384" width="9.140625" style="72"/>
  </cols>
  <sheetData>
    <row r="1" spans="1:10">
      <c r="A1" s="73" t="str">
        <f>'Cover Page'!A5</f>
        <v>Public Service Company of Colorado</v>
      </c>
      <c r="B1" s="5"/>
      <c r="C1" s="5"/>
      <c r="D1" s="6"/>
      <c r="E1" s="7"/>
      <c r="F1" s="5"/>
      <c r="G1" s="373" t="str">
        <f>'Table of Contents'!A12</f>
        <v>Table 4</v>
      </c>
    </row>
    <row r="2" spans="1:10">
      <c r="A2" s="73" t="str">
        <f>'Cover Page'!A6</f>
        <v>Transmission Formula Rate Template</v>
      </c>
      <c r="B2" s="9"/>
      <c r="C2" s="10"/>
      <c r="D2" s="11"/>
      <c r="E2" s="7"/>
      <c r="F2" s="12"/>
      <c r="G2" s="133" t="str">
        <f ca="1">MID(CELL("filename",$A$1),FIND("]",CELL("filename",$A$1))+1,LEN(CELL("filename",$A$1))-FIND("]",CELL("filename",$A$1)))</f>
        <v>ATRR Est.</v>
      </c>
    </row>
    <row r="3" spans="1:10">
      <c r="A3" s="73" t="str">
        <f>'Cover Page'!A7</f>
        <v>Twelve Months Ended December 31, 2018</v>
      </c>
      <c r="B3" s="4"/>
      <c r="C3" s="7"/>
      <c r="D3" s="7"/>
      <c r="E3" s="13"/>
      <c r="F3" s="13"/>
      <c r="G3" s="8"/>
    </row>
    <row r="4" spans="1:10">
      <c r="A4" s="440" t="s">
        <v>509</v>
      </c>
      <c r="B4" s="14"/>
      <c r="C4" s="8"/>
      <c r="D4" s="15"/>
      <c r="E4" s="8"/>
      <c r="F4" s="8"/>
      <c r="G4" s="7"/>
    </row>
    <row r="5" spans="1:10">
      <c r="A5" s="440"/>
      <c r="B5" s="14"/>
      <c r="C5" s="8"/>
      <c r="D5" s="15"/>
      <c r="E5" s="8"/>
      <c r="F5" s="8"/>
      <c r="G5" s="7"/>
    </row>
    <row r="6" spans="1:10">
      <c r="A6" s="17"/>
      <c r="B6" s="14"/>
      <c r="C6" s="8"/>
      <c r="D6" s="15"/>
      <c r="E6" s="8"/>
      <c r="F6" s="8"/>
      <c r="G6" s="7"/>
    </row>
    <row r="7" spans="1:10">
      <c r="A7" s="85" t="s">
        <v>868</v>
      </c>
      <c r="B7" s="674" t="s">
        <v>542</v>
      </c>
      <c r="C7" s="675" t="s">
        <v>875</v>
      </c>
      <c r="D7" s="674" t="s">
        <v>795</v>
      </c>
      <c r="E7" s="1207" t="s">
        <v>1316</v>
      </c>
      <c r="F7" s="1208"/>
      <c r="G7" s="674" t="s">
        <v>794</v>
      </c>
      <c r="I7" s="315" t="s">
        <v>809</v>
      </c>
    </row>
    <row r="8" spans="1:10">
      <c r="B8" s="75" t="s">
        <v>357</v>
      </c>
      <c r="C8" s="75" t="s">
        <v>358</v>
      </c>
      <c r="D8" s="75" t="s">
        <v>359</v>
      </c>
      <c r="E8" s="1209" t="s">
        <v>360</v>
      </c>
      <c r="F8" s="1210"/>
      <c r="G8" s="676" t="s">
        <v>361</v>
      </c>
    </row>
    <row r="9" spans="1:10">
      <c r="A9" s="17">
        <v>1</v>
      </c>
      <c r="B9" s="5" t="s">
        <v>697</v>
      </c>
      <c r="C9" s="18" t="s">
        <v>576</v>
      </c>
      <c r="D9" s="12"/>
      <c r="E9" s="12"/>
      <c r="F9" s="12"/>
      <c r="G9" s="12"/>
    </row>
    <row r="10" spans="1:10">
      <c r="A10" s="75">
        <f>A9+1</f>
        <v>2</v>
      </c>
      <c r="B10" s="19" t="s">
        <v>805</v>
      </c>
      <c r="C10" s="20" t="str">
        <f ca="1">'WP_B-1'!$G$2&amp;" Col. (d), Line "&amp;'WP_B-1'!A11</f>
        <v>WP_B-1 Col. (d), Line 2</v>
      </c>
      <c r="D10" s="21">
        <f>'WP_B-1'!G11</f>
        <v>5433639326.8215399</v>
      </c>
      <c r="E10" s="48" t="s">
        <v>806</v>
      </c>
      <c r="F10" s="86">
        <v>0</v>
      </c>
      <c r="G10" s="545">
        <f t="shared" ref="G10:G16" si="0">D10*F10</f>
        <v>0</v>
      </c>
      <c r="I10" s="315">
        <v>0</v>
      </c>
      <c r="J10" s="476">
        <f>G10-I10</f>
        <v>0</v>
      </c>
    </row>
    <row r="11" spans="1:10">
      <c r="A11" s="75">
        <f t="shared" ref="A11:A76" si="1">A10+1</f>
        <v>3</v>
      </c>
      <c r="B11" s="23" t="s">
        <v>807</v>
      </c>
      <c r="C11" s="20" t="str">
        <f ca="1">'WP_B-1'!$G$2&amp;" Col. (d), Line "&amp;'WP_B-1'!A12</f>
        <v>WP_B-1 Col. (d), Line 3</v>
      </c>
      <c r="D11" s="24">
        <f>'WP_B-1'!G12</f>
        <v>2193184347.1415391</v>
      </c>
      <c r="E11" s="87" t="s">
        <v>808</v>
      </c>
      <c r="F11" s="88">
        <v>1</v>
      </c>
      <c r="G11" s="20">
        <f t="shared" si="0"/>
        <v>2193184347.1415391</v>
      </c>
      <c r="I11" s="315">
        <v>1467586788.3092313</v>
      </c>
      <c r="J11" s="476">
        <f t="shared" ref="J11:J74" si="2">G11-I11</f>
        <v>725597558.83230782</v>
      </c>
    </row>
    <row r="12" spans="1:10">
      <c r="A12" s="75">
        <f t="shared" si="1"/>
        <v>4</v>
      </c>
      <c r="B12" s="25" t="s">
        <v>810</v>
      </c>
      <c r="C12" s="20" t="str">
        <f ca="1">'WP_B-1'!$G$2&amp;" Col. (d), Line "&amp;'WP_B-1'!A13</f>
        <v>WP_B-1 Col. (d), Line 4</v>
      </c>
      <c r="D12" s="21">
        <f>'WP_B-1'!G13</f>
        <v>4931553653.4792318</v>
      </c>
      <c r="E12" s="48" t="s">
        <v>806</v>
      </c>
      <c r="F12" s="86">
        <v>0</v>
      </c>
      <c r="G12" s="545">
        <f t="shared" si="0"/>
        <v>0</v>
      </c>
      <c r="H12" s="337"/>
      <c r="I12" s="315">
        <v>0</v>
      </c>
      <c r="J12" s="476">
        <f t="shared" si="2"/>
        <v>0</v>
      </c>
    </row>
    <row r="13" spans="1:10">
      <c r="A13" s="75">
        <f t="shared" si="1"/>
        <v>5</v>
      </c>
      <c r="B13" s="25" t="s">
        <v>811</v>
      </c>
      <c r="C13" s="20" t="str">
        <f ca="1">'WP_B-1'!$G$2&amp;" Col. (d), Line "&amp;'WP_B-1'!A14</f>
        <v>WP_B-1 Col. (d), Line 5</v>
      </c>
      <c r="D13" s="21">
        <f>'WP_B-1'!G14</f>
        <v>278600181.47692305</v>
      </c>
      <c r="E13" s="48" t="s">
        <v>812</v>
      </c>
      <c r="F13" s="86">
        <f>WS</f>
        <v>0.11022</v>
      </c>
      <c r="G13" s="20">
        <f t="shared" si="0"/>
        <v>30707312.002386458</v>
      </c>
      <c r="H13" s="338"/>
      <c r="I13" s="315">
        <v>11658375.158455305</v>
      </c>
      <c r="J13" s="476">
        <f t="shared" si="2"/>
        <v>19048936.843931153</v>
      </c>
    </row>
    <row r="14" spans="1:10">
      <c r="A14" s="75">
        <f t="shared" si="1"/>
        <v>6</v>
      </c>
      <c r="B14" s="25" t="s">
        <v>813</v>
      </c>
      <c r="C14" s="20" t="str">
        <f ca="1">'WP_B-1'!$G$2&amp;" Col. (d), Line "&amp;'WP_B-1'!A15&amp;""</f>
        <v>WP_B-1 Col. (d), Line 6</v>
      </c>
      <c r="D14" s="31">
        <f>'WP_B-1'!G15</f>
        <v>80353487.556755617</v>
      </c>
      <c r="E14" s="48" t="s">
        <v>812</v>
      </c>
      <c r="F14" s="86">
        <f>WS</f>
        <v>0.11022</v>
      </c>
      <c r="G14" s="58">
        <f t="shared" si="0"/>
        <v>8856561.3985056039</v>
      </c>
      <c r="I14" s="315">
        <v>3266613.3688800749</v>
      </c>
      <c r="J14" s="476">
        <f t="shared" si="2"/>
        <v>5589948.0296255294</v>
      </c>
    </row>
    <row r="15" spans="1:10">
      <c r="A15" s="75">
        <f t="shared" si="1"/>
        <v>7</v>
      </c>
      <c r="B15" s="123" t="s">
        <v>920</v>
      </c>
      <c r="C15" s="20" t="str">
        <f ca="1">'WP_B-1'!$G$2&amp;" Col. (d), Line "&amp;'WP_B-1'!A16</f>
        <v>WP_B-1 Col. (d), Line 7</v>
      </c>
      <c r="D15" s="31">
        <f>'WP_B-1'!G16</f>
        <v>377153961.19461542</v>
      </c>
      <c r="E15" s="48" t="s">
        <v>921</v>
      </c>
      <c r="F15" s="86">
        <f>CE</f>
        <v>7.9146557159999992E-2</v>
      </c>
      <c r="G15" s="58">
        <f t="shared" si="0"/>
        <v>29850437.547810048</v>
      </c>
      <c r="I15" s="315">
        <v>11192855.991451954</v>
      </c>
      <c r="J15" s="476">
        <f t="shared" si="2"/>
        <v>18657581.556358092</v>
      </c>
    </row>
    <row r="16" spans="1:10">
      <c r="A16" s="75">
        <f t="shared" si="1"/>
        <v>8</v>
      </c>
      <c r="B16" s="123" t="s">
        <v>919</v>
      </c>
      <c r="C16" s="20" t="str">
        <f ca="1">'WP_B-1'!$G$2&amp;" Col. (d), Line "&amp;'WP_B-1'!A17</f>
        <v>WP_B-1 Col. (d), Line 8</v>
      </c>
      <c r="D16" s="62">
        <f>'WP_B-1'!G17</f>
        <v>419487281.42384595</v>
      </c>
      <c r="E16" s="48" t="s">
        <v>921</v>
      </c>
      <c r="F16" s="86">
        <f>CE</f>
        <v>7.9146557159999992E-2</v>
      </c>
      <c r="G16" s="83">
        <f t="shared" si="0"/>
        <v>33200974.097105425</v>
      </c>
      <c r="I16" s="315">
        <v>22333005.409672718</v>
      </c>
      <c r="J16" s="476">
        <f t="shared" si="2"/>
        <v>10867968.687432706</v>
      </c>
    </row>
    <row r="17" spans="1:10">
      <c r="A17" s="75">
        <f t="shared" si="1"/>
        <v>9</v>
      </c>
      <c r="B17" s="5" t="s">
        <v>789</v>
      </c>
      <c r="C17" s="25" t="str">
        <f>"Sum Lines "&amp;A10&amp;" through "&amp;A16</f>
        <v>Sum Lines 2 through 8</v>
      </c>
      <c r="D17" s="21">
        <f>SUM(D10:D16)</f>
        <v>13713972239.09445</v>
      </c>
      <c r="E17" s="313"/>
      <c r="F17" s="313"/>
      <c r="G17" s="21">
        <f>SUM(G10:G16)</f>
        <v>2295799632.1873469</v>
      </c>
      <c r="I17" s="315">
        <v>1516037638.2376914</v>
      </c>
      <c r="J17" s="476">
        <f t="shared" si="2"/>
        <v>779761993.94965553</v>
      </c>
    </row>
    <row r="18" spans="1:10">
      <c r="A18" s="75">
        <f t="shared" si="1"/>
        <v>10</v>
      </c>
      <c r="B18" s="5"/>
      <c r="C18" s="25" t="s">
        <v>1314</v>
      </c>
      <c r="D18" s="21"/>
      <c r="E18" s="677" t="s">
        <v>1223</v>
      </c>
      <c r="F18" s="89">
        <f>IF(G17=0,0,G17/D17)</f>
        <v>0.16740588300468526</v>
      </c>
      <c r="G18" s="21"/>
      <c r="J18" s="476">
        <f t="shared" si="2"/>
        <v>0</v>
      </c>
    </row>
    <row r="19" spans="1:10">
      <c r="A19" s="75">
        <f t="shared" si="1"/>
        <v>11</v>
      </c>
      <c r="B19" s="5"/>
      <c r="C19" s="20"/>
      <c r="D19" s="21"/>
      <c r="E19" s="340"/>
      <c r="F19" s="86"/>
      <c r="G19" s="21"/>
      <c r="J19" s="476">
        <f t="shared" si="2"/>
        <v>0</v>
      </c>
    </row>
    <row r="20" spans="1:10">
      <c r="A20" s="75">
        <f t="shared" si="1"/>
        <v>12</v>
      </c>
      <c r="B20" s="5" t="s">
        <v>698</v>
      </c>
      <c r="C20" s="18" t="s">
        <v>576</v>
      </c>
      <c r="D20" s="21"/>
      <c r="E20" s="48"/>
      <c r="F20" s="86"/>
      <c r="G20" s="21"/>
      <c r="J20" s="476">
        <f t="shared" si="2"/>
        <v>0</v>
      </c>
    </row>
    <row r="21" spans="1:10">
      <c r="A21" s="75">
        <f t="shared" si="1"/>
        <v>13</v>
      </c>
      <c r="B21" s="19" t="s">
        <v>805</v>
      </c>
      <c r="C21" s="20" t="str">
        <f ca="1">'WP_B-1'!$G$2&amp;" Col. (d), Line "&amp;'WP_B-1'!A21</f>
        <v>WP_B-1 Col. (d), Line 12</v>
      </c>
      <c r="D21" s="21">
        <f>'WP_B-1'!G21</f>
        <v>1619942374.4084611</v>
      </c>
      <c r="E21" s="48" t="s">
        <v>806</v>
      </c>
      <c r="F21" s="86">
        <v>0</v>
      </c>
      <c r="G21" s="24">
        <f>D21*F21</f>
        <v>0</v>
      </c>
      <c r="I21" s="315">
        <v>0</v>
      </c>
      <c r="J21" s="476">
        <f t="shared" si="2"/>
        <v>0</v>
      </c>
    </row>
    <row r="22" spans="1:10">
      <c r="A22" s="75">
        <f t="shared" si="1"/>
        <v>14</v>
      </c>
      <c r="B22" s="23" t="s">
        <v>807</v>
      </c>
      <c r="C22" s="20" t="str">
        <f ca="1">'WP_B-1'!$G$2&amp;" Col. (d), Line "&amp;'WP_B-1'!A22</f>
        <v>WP_B-1 Col. (d), Line 13</v>
      </c>
      <c r="D22" s="21">
        <f>'WP_B-1'!G22</f>
        <v>482132202.64230776</v>
      </c>
      <c r="E22" s="87" t="s">
        <v>808</v>
      </c>
      <c r="F22" s="88">
        <v>1</v>
      </c>
      <c r="G22" s="24">
        <f t="shared" ref="G22:G27" si="3">D22*F22</f>
        <v>482132202.64230776</v>
      </c>
      <c r="I22" s="315">
        <v>341547315.76018667</v>
      </c>
      <c r="J22" s="476">
        <f t="shared" si="2"/>
        <v>140584886.88212109</v>
      </c>
    </row>
    <row r="23" spans="1:10">
      <c r="A23" s="75">
        <f t="shared" si="1"/>
        <v>15</v>
      </c>
      <c r="B23" s="25" t="s">
        <v>810</v>
      </c>
      <c r="C23" s="20" t="str">
        <f ca="1">'WP_B-1'!$G$2&amp;" Col. (d), Line "&amp;'WP_B-1'!A23</f>
        <v>WP_B-1 Col. (d), Line 14</v>
      </c>
      <c r="D23" s="21">
        <f>'WP_B-1'!G23</f>
        <v>1429917532.8562436</v>
      </c>
      <c r="E23" s="48" t="s">
        <v>806</v>
      </c>
      <c r="F23" s="86">
        <v>0</v>
      </c>
      <c r="G23" s="24">
        <f t="shared" si="3"/>
        <v>0</v>
      </c>
      <c r="I23" s="315">
        <v>0</v>
      </c>
      <c r="J23" s="476">
        <f t="shared" si="2"/>
        <v>0</v>
      </c>
    </row>
    <row r="24" spans="1:10">
      <c r="A24" s="75">
        <f t="shared" si="1"/>
        <v>16</v>
      </c>
      <c r="B24" s="25" t="s">
        <v>811</v>
      </c>
      <c r="C24" s="20" t="str">
        <f ca="1">'WP_B-1'!$G$2&amp;" Col. (d), Line "&amp;'WP_B-1'!A24</f>
        <v>WP_B-1 Col. (d), Line 15</v>
      </c>
      <c r="D24" s="21">
        <f>'WP_B-1'!G24</f>
        <v>109057827.19261791</v>
      </c>
      <c r="E24" s="48" t="s">
        <v>812</v>
      </c>
      <c r="F24" s="86">
        <f>WS</f>
        <v>0.11022</v>
      </c>
      <c r="G24" s="24">
        <f t="shared" si="3"/>
        <v>12020353.713170346</v>
      </c>
      <c r="I24" s="315">
        <v>4484859.7822633805</v>
      </c>
      <c r="J24" s="476">
        <f t="shared" si="2"/>
        <v>7535493.9309069654</v>
      </c>
    </row>
    <row r="25" spans="1:10">
      <c r="A25" s="75">
        <f t="shared" si="1"/>
        <v>17</v>
      </c>
      <c r="B25" s="25" t="s">
        <v>813</v>
      </c>
      <c r="C25" s="20" t="str">
        <f ca="1">'WP_B-1'!$G$2&amp;" Col. (d), Line "&amp;'WP_B-1'!A25</f>
        <v>WP_B-1 Col. (d), Line 16</v>
      </c>
      <c r="D25" s="21">
        <f>'WP_B-1'!G25</f>
        <v>50322121.922307685</v>
      </c>
      <c r="E25" s="48" t="s">
        <v>812</v>
      </c>
      <c r="F25" s="86">
        <f>WS</f>
        <v>0.11022</v>
      </c>
      <c r="G25" s="24">
        <f t="shared" si="3"/>
        <v>5546504.2782767527</v>
      </c>
      <c r="I25" s="315">
        <v>2238257.6531565753</v>
      </c>
      <c r="J25" s="476">
        <f t="shared" si="2"/>
        <v>3308246.6251201774</v>
      </c>
    </row>
    <row r="26" spans="1:10">
      <c r="A26" s="75">
        <f t="shared" si="1"/>
        <v>18</v>
      </c>
      <c r="B26" s="123" t="s">
        <v>920</v>
      </c>
      <c r="C26" s="20" t="str">
        <f ca="1">'WP_B-1'!$G$2&amp;" Col. (d), Line "&amp;'WP_B-1'!A26</f>
        <v>WP_B-1 Col. (d), Line 17</v>
      </c>
      <c r="D26" s="31">
        <f>'WP_B-1'!G26</f>
        <v>172399359.36461538</v>
      </c>
      <c r="E26" s="48" t="s">
        <v>921</v>
      </c>
      <c r="F26" s="86">
        <f>CE</f>
        <v>7.9146557159999992E-2</v>
      </c>
      <c r="G26" s="24">
        <f t="shared" si="3"/>
        <v>13644815.750298912</v>
      </c>
      <c r="I26" s="315">
        <v>8548651.5529601611</v>
      </c>
      <c r="J26" s="476">
        <f t="shared" si="2"/>
        <v>5096164.1973387506</v>
      </c>
    </row>
    <row r="27" spans="1:10">
      <c r="A27" s="75">
        <f t="shared" si="1"/>
        <v>19</v>
      </c>
      <c r="B27" s="123" t="s">
        <v>919</v>
      </c>
      <c r="C27" s="20" t="str">
        <f ca="1">'WP_B-1'!$G$2&amp;" Col. (d), Line "&amp;'WP_B-1'!A27</f>
        <v>WP_B-1 Col. (d), Line 18</v>
      </c>
      <c r="D27" s="62">
        <f>'WP_B-1'!G27</f>
        <v>204576606.67561811</v>
      </c>
      <c r="E27" s="48" t="s">
        <v>921</v>
      </c>
      <c r="F27" s="86">
        <f>CE</f>
        <v>7.9146557159999992E-2</v>
      </c>
      <c r="G27" s="80">
        <f t="shared" si="3"/>
        <v>16191534.093850644</v>
      </c>
      <c r="I27" s="315">
        <v>10045839.913124649</v>
      </c>
      <c r="J27" s="476">
        <f t="shared" si="2"/>
        <v>6145694.1807259955</v>
      </c>
    </row>
    <row r="28" spans="1:10">
      <c r="A28" s="75">
        <f t="shared" si="1"/>
        <v>20</v>
      </c>
      <c r="B28" s="5" t="s">
        <v>788</v>
      </c>
      <c r="C28" s="5" t="str">
        <f>"Sum Lines "&amp;A21&amp;" through "&amp;A27</f>
        <v>Sum Lines 13 through 19</v>
      </c>
      <c r="D28" s="21">
        <f>SUM(D21:D27)</f>
        <v>4068348025.0621715</v>
      </c>
      <c r="E28" s="48"/>
      <c r="F28" s="86"/>
      <c r="G28" s="21">
        <f>SUM(G21:G27)</f>
        <v>529535410.47790444</v>
      </c>
      <c r="I28" s="315">
        <v>366864924.66169143</v>
      </c>
      <c r="J28" s="476">
        <f t="shared" si="2"/>
        <v>162670485.81621301</v>
      </c>
    </row>
    <row r="29" spans="1:10">
      <c r="A29" s="75">
        <f t="shared" si="1"/>
        <v>21</v>
      </c>
      <c r="B29" s="27"/>
      <c r="C29" s="20" t="s">
        <v>793</v>
      </c>
      <c r="D29" s="21"/>
      <c r="E29" s="48"/>
      <c r="F29" s="86"/>
      <c r="G29" s="21"/>
      <c r="J29" s="476">
        <f t="shared" si="2"/>
        <v>0</v>
      </c>
    </row>
    <row r="30" spans="1:10">
      <c r="A30" s="75">
        <f t="shared" si="1"/>
        <v>22</v>
      </c>
      <c r="B30" s="27" t="s">
        <v>355</v>
      </c>
      <c r="C30" s="18" t="s">
        <v>577</v>
      </c>
      <c r="D30" s="21"/>
      <c r="E30" s="48"/>
      <c r="F30" s="86"/>
      <c r="G30" s="21"/>
      <c r="J30" s="476">
        <f t="shared" si="2"/>
        <v>0</v>
      </c>
    </row>
    <row r="31" spans="1:10">
      <c r="A31" s="75">
        <f t="shared" si="1"/>
        <v>23</v>
      </c>
      <c r="B31" s="27" t="s">
        <v>1386</v>
      </c>
      <c r="C31" s="20" t="str">
        <f ca="1">'WP_B-4'!U2&amp;" Col.(i) Line "&amp;'WP_B-4'!A25</f>
        <v>WP_B-4 Col.(i) Line 15</v>
      </c>
      <c r="D31" s="21">
        <f>'WP_B-4'!M25</f>
        <v>175995926.64000005</v>
      </c>
      <c r="E31" s="48" t="s">
        <v>806</v>
      </c>
      <c r="F31" s="86">
        <v>0</v>
      </c>
      <c r="G31" s="21">
        <f>D31*F31</f>
        <v>0</v>
      </c>
      <c r="I31" s="315">
        <v>0</v>
      </c>
      <c r="J31" s="476">
        <f t="shared" si="2"/>
        <v>0</v>
      </c>
    </row>
    <row r="32" spans="1:10">
      <c r="A32" s="75">
        <f t="shared" si="1"/>
        <v>24</v>
      </c>
      <c r="B32" s="27" t="s">
        <v>1387</v>
      </c>
      <c r="C32" s="20" t="str">
        <f ca="1">'WP_B-4'!U2&amp;" Col.(j) Line "&amp;'WP_B-4'!A25</f>
        <v>WP_B-4 Col.(j) Line 15</v>
      </c>
      <c r="D32" s="21">
        <f>'WP_B-4'!N25</f>
        <v>8910301.3599999994</v>
      </c>
      <c r="E32" s="48" t="s">
        <v>806</v>
      </c>
      <c r="F32" s="86">
        <v>0</v>
      </c>
      <c r="G32" s="21">
        <f>D32*F32</f>
        <v>0</v>
      </c>
      <c r="I32" s="315">
        <v>0</v>
      </c>
      <c r="J32" s="476">
        <f t="shared" si="2"/>
        <v>0</v>
      </c>
    </row>
    <row r="33" spans="1:10">
      <c r="A33" s="75">
        <f t="shared" si="1"/>
        <v>25</v>
      </c>
      <c r="B33" s="27" t="s">
        <v>1388</v>
      </c>
      <c r="C33" s="20" t="str">
        <f ca="1">'WP_B-4'!U2&amp;" Col.(k) Line "&amp;'WP_B-4'!A25</f>
        <v>WP_B-4 Col.(k) Line 15</v>
      </c>
      <c r="D33" s="62">
        <f>'WP_B-4'!O25</f>
        <v>4680912.87</v>
      </c>
      <c r="E33" s="48" t="s">
        <v>808</v>
      </c>
      <c r="F33" s="86">
        <v>1</v>
      </c>
      <c r="G33" s="62">
        <f>D33*F33</f>
        <v>4680912.87</v>
      </c>
      <c r="I33" s="315">
        <v>5163486.3569720797</v>
      </c>
      <c r="J33" s="476">
        <f t="shared" si="2"/>
        <v>-482573.48697207961</v>
      </c>
    </row>
    <row r="34" spans="1:10">
      <c r="A34" s="75">
        <f t="shared" si="1"/>
        <v>26</v>
      </c>
      <c r="B34" s="27" t="s">
        <v>399</v>
      </c>
      <c r="C34" s="5" t="str">
        <f>"Sum Lines "&amp;A31&amp;" through "&amp;A33</f>
        <v>Sum Lines 23 through 25</v>
      </c>
      <c r="D34" s="21">
        <f>SUM(D31:D33)</f>
        <v>189587140.87000006</v>
      </c>
      <c r="E34" s="48"/>
      <c r="F34" s="86"/>
      <c r="G34" s="21">
        <f>SUM(G31:G33)</f>
        <v>4680912.87</v>
      </c>
      <c r="I34" s="315">
        <v>5163486.3569720797</v>
      </c>
      <c r="J34" s="476">
        <f t="shared" si="2"/>
        <v>-482573.48697207961</v>
      </c>
    </row>
    <row r="35" spans="1:10">
      <c r="A35" s="75">
        <f t="shared" si="1"/>
        <v>27</v>
      </c>
      <c r="B35" s="27"/>
      <c r="C35" s="20"/>
      <c r="D35" s="21"/>
      <c r="E35" s="48"/>
      <c r="F35" s="86"/>
      <c r="G35" s="21"/>
      <c r="J35" s="476">
        <f t="shared" si="2"/>
        <v>0</v>
      </c>
    </row>
    <row r="36" spans="1:10">
      <c r="A36" s="75">
        <f t="shared" si="1"/>
        <v>28</v>
      </c>
      <c r="B36" s="5" t="s">
        <v>699</v>
      </c>
      <c r="C36" s="18" t="s">
        <v>576</v>
      </c>
      <c r="D36" s="21"/>
      <c r="E36" s="48"/>
      <c r="F36" s="86"/>
      <c r="G36" s="21"/>
      <c r="J36" s="476">
        <f t="shared" si="2"/>
        <v>0</v>
      </c>
    </row>
    <row r="37" spans="1:10">
      <c r="A37" s="75">
        <f t="shared" si="1"/>
        <v>29</v>
      </c>
      <c r="B37" s="29" t="s">
        <v>805</v>
      </c>
      <c r="C37" s="20" t="str">
        <f>"Line "&amp;A10&amp; " minus "&amp;A21&amp;" plus "&amp;A31&amp;" plus "&amp;A32</f>
        <v>Line 2 minus 13 plus 23 plus 24</v>
      </c>
      <c r="D37" s="21">
        <f>D10-D21+D31+D32</f>
        <v>3998603180.4130788</v>
      </c>
      <c r="E37" s="48"/>
      <c r="F37" s="86"/>
      <c r="G37" s="21">
        <f>G10-G21+G31+G32</f>
        <v>0</v>
      </c>
      <c r="I37" s="315">
        <v>0</v>
      </c>
      <c r="J37" s="476">
        <f t="shared" si="2"/>
        <v>0</v>
      </c>
    </row>
    <row r="38" spans="1:10">
      <c r="A38" s="75">
        <f t="shared" si="1"/>
        <v>30</v>
      </c>
      <c r="B38" s="29" t="s">
        <v>807</v>
      </c>
      <c r="C38" s="20" t="str">
        <f>"Line "&amp;A11&amp; " minus "&amp;A22&amp;" plus "&amp;A33</f>
        <v>Line 3 minus 14 plus 25</v>
      </c>
      <c r="D38" s="21">
        <f>D11-D22+D33</f>
        <v>1715733057.3692312</v>
      </c>
      <c r="E38" s="48"/>
      <c r="F38" s="86"/>
      <c r="G38" s="21">
        <f>G11-G22+G33</f>
        <v>1715733057.3692312</v>
      </c>
      <c r="H38" s="26"/>
      <c r="I38" s="544">
        <v>1131202958.9060166</v>
      </c>
      <c r="J38" s="476">
        <f t="shared" si="2"/>
        <v>584530098.46321464</v>
      </c>
    </row>
    <row r="39" spans="1:10">
      <c r="A39" s="75">
        <f t="shared" si="1"/>
        <v>31</v>
      </c>
      <c r="B39" s="29" t="s">
        <v>810</v>
      </c>
      <c r="C39" s="20" t="str">
        <f>"Line "&amp;A12&amp; " minus "&amp;A23</f>
        <v>Line 4 minus 15</v>
      </c>
      <c r="D39" s="21">
        <f>D12-D23</f>
        <v>3501636120.6229882</v>
      </c>
      <c r="E39" s="48"/>
      <c r="F39" s="86"/>
      <c r="G39" s="21">
        <f>G12-G23</f>
        <v>0</v>
      </c>
      <c r="I39" s="315">
        <v>0</v>
      </c>
      <c r="J39" s="476">
        <f t="shared" si="2"/>
        <v>0</v>
      </c>
    </row>
    <row r="40" spans="1:10">
      <c r="A40" s="75">
        <f t="shared" si="1"/>
        <v>32</v>
      </c>
      <c r="B40" s="29" t="s">
        <v>811</v>
      </c>
      <c r="C40" s="20" t="str">
        <f>"Line "&amp;A13&amp; " minus "&amp;A24</f>
        <v>Line 5 minus 16</v>
      </c>
      <c r="D40" s="21">
        <f>D13-D24</f>
        <v>169542354.28430516</v>
      </c>
      <c r="E40" s="48"/>
      <c r="F40" s="86"/>
      <c r="G40" s="21">
        <f>G13-G24</f>
        <v>18686958.289216112</v>
      </c>
      <c r="I40" s="315">
        <v>7173515.3761919243</v>
      </c>
      <c r="J40" s="476">
        <f t="shared" si="2"/>
        <v>11513442.913024187</v>
      </c>
    </row>
    <row r="41" spans="1:10">
      <c r="A41" s="75">
        <f t="shared" si="1"/>
        <v>33</v>
      </c>
      <c r="B41" s="29" t="s">
        <v>813</v>
      </c>
      <c r="C41" s="20" t="str">
        <f>"Line "&amp;A14&amp; " minus "&amp;A25</f>
        <v>Line 6 minus 17</v>
      </c>
      <c r="D41" s="21">
        <f>D14-D25</f>
        <v>30031365.634447932</v>
      </c>
      <c r="E41" s="48"/>
      <c r="F41" s="86"/>
      <c r="G41" s="21">
        <f>G14-G25</f>
        <v>3310057.1202288512</v>
      </c>
      <c r="I41" s="315">
        <v>1028355.7157234997</v>
      </c>
      <c r="J41" s="476">
        <f t="shared" si="2"/>
        <v>2281701.4045053516</v>
      </c>
    </row>
    <row r="42" spans="1:10">
      <c r="A42" s="75">
        <f t="shared" si="1"/>
        <v>34</v>
      </c>
      <c r="B42" s="123" t="s">
        <v>920</v>
      </c>
      <c r="C42" s="20" t="str">
        <f>"Line "&amp;A15&amp; " minus "&amp;A26</f>
        <v>Line 7 minus 18</v>
      </c>
      <c r="D42" s="21">
        <f>D15-D26</f>
        <v>204754601.83000004</v>
      </c>
      <c r="E42" s="48"/>
      <c r="F42" s="86"/>
      <c r="G42" s="21">
        <f>G15-G26</f>
        <v>16205621.797511136</v>
      </c>
      <c r="I42" s="315">
        <v>2644204.4384917933</v>
      </c>
      <c r="J42" s="476">
        <f t="shared" si="2"/>
        <v>13561417.359019343</v>
      </c>
    </row>
    <row r="43" spans="1:10">
      <c r="A43" s="75">
        <f t="shared" si="1"/>
        <v>35</v>
      </c>
      <c r="B43" s="123" t="s">
        <v>919</v>
      </c>
      <c r="C43" s="20" t="str">
        <f>"Line "&amp;A16&amp; " minus "&amp;A27</f>
        <v>Line 8 minus 19</v>
      </c>
      <c r="D43" s="62">
        <f>D16-D27</f>
        <v>214910674.74822783</v>
      </c>
      <c r="E43" s="48"/>
      <c r="F43" s="86"/>
      <c r="G43" s="62">
        <f>G16-G27</f>
        <v>17009440.003254779</v>
      </c>
      <c r="I43" s="315">
        <v>12287165.49654807</v>
      </c>
      <c r="J43" s="476">
        <f t="shared" si="2"/>
        <v>4722274.506706709</v>
      </c>
    </row>
    <row r="44" spans="1:10">
      <c r="A44" s="75">
        <f t="shared" si="1"/>
        <v>36</v>
      </c>
      <c r="B44" s="29" t="s">
        <v>787</v>
      </c>
      <c r="C44" s="5" t="str">
        <f>"Sum Lines "&amp;A37&amp;" through "&amp;A43</f>
        <v>Sum Lines 29 through 35</v>
      </c>
      <c r="D44" s="21">
        <f>SUM(D37:D43)</f>
        <v>9835211354.9022789</v>
      </c>
      <c r="G44" s="21">
        <f>SUM(G37:G43)</f>
        <v>1770945134.579442</v>
      </c>
      <c r="I44" s="315">
        <v>1154336199.932972</v>
      </c>
      <c r="J44" s="476">
        <f t="shared" si="2"/>
        <v>616608934.64647007</v>
      </c>
    </row>
    <row r="45" spans="1:10">
      <c r="A45" s="75">
        <f t="shared" si="1"/>
        <v>37</v>
      </c>
      <c r="B45" s="5"/>
      <c r="C45" s="25" t="s">
        <v>1301</v>
      </c>
      <c r="D45" s="21"/>
      <c r="E45" s="459" t="s">
        <v>814</v>
      </c>
      <c r="F45" s="89">
        <f>IF(G44=0,0,G44/D44)</f>
        <v>0.1800617262481837</v>
      </c>
      <c r="G45" s="21"/>
      <c r="J45" s="476">
        <f t="shared" si="2"/>
        <v>0</v>
      </c>
    </row>
    <row r="46" spans="1:10">
      <c r="A46" s="75">
        <f t="shared" si="1"/>
        <v>38</v>
      </c>
      <c r="B46" s="27"/>
      <c r="C46" s="20"/>
      <c r="D46" s="21"/>
      <c r="E46" s="460"/>
      <c r="F46" s="86"/>
      <c r="G46" s="461"/>
      <c r="J46" s="476">
        <f t="shared" si="2"/>
        <v>0</v>
      </c>
    </row>
    <row r="47" spans="1:10">
      <c r="A47" s="75">
        <f t="shared" si="1"/>
        <v>39</v>
      </c>
      <c r="B47" s="5" t="s">
        <v>516</v>
      </c>
      <c r="C47" s="48" t="s">
        <v>1081</v>
      </c>
      <c r="D47" s="21"/>
      <c r="E47" s="48"/>
      <c r="F47" s="86"/>
      <c r="G47" s="21"/>
      <c r="J47" s="476">
        <f t="shared" si="2"/>
        <v>0</v>
      </c>
    </row>
    <row r="48" spans="1:10">
      <c r="A48" s="75">
        <f t="shared" si="1"/>
        <v>40</v>
      </c>
      <c r="B48" s="29" t="s">
        <v>543</v>
      </c>
      <c r="C48" s="20" t="str">
        <f>'WP_B-2'!G2&amp;" Col (c) &amp; (e), Line "&amp;'WP_B-2'!A13</f>
        <v>WP_B-2 Col (c) &amp; (e), Line 4</v>
      </c>
      <c r="D48" s="21">
        <f>'WP_B-2'!E13</f>
        <v>-135312803.63848972</v>
      </c>
      <c r="E48" s="48" t="s">
        <v>808</v>
      </c>
      <c r="F48" s="86">
        <v>0</v>
      </c>
      <c r="G48" s="21">
        <f>'WP_B-2'!G13</f>
        <v>0</v>
      </c>
      <c r="I48" s="315">
        <v>0</v>
      </c>
      <c r="J48" s="476">
        <f t="shared" si="2"/>
        <v>0</v>
      </c>
    </row>
    <row r="49" spans="1:10">
      <c r="A49" s="75">
        <f t="shared" si="1"/>
        <v>41</v>
      </c>
      <c r="B49" s="29" t="s">
        <v>544</v>
      </c>
      <c r="C49" s="20" t="str">
        <f>'WP_B-2'!G2&amp;" Col (c) &amp; (e), Line "&amp;'WP_B-2'!A40</f>
        <v>WP_B-2 Col (c) &amp; (e), Line 31</v>
      </c>
      <c r="D49" s="21">
        <f>'WP_B-2'!E40</f>
        <v>-2754880667.1694984</v>
      </c>
      <c r="E49" s="48" t="s">
        <v>808</v>
      </c>
      <c r="F49" s="86"/>
      <c r="G49" s="21">
        <f>'WP_B-2'!G40</f>
        <v>-509089205.25101173</v>
      </c>
      <c r="I49" s="315">
        <v>-301698212.90018088</v>
      </c>
      <c r="J49" s="476">
        <f t="shared" si="2"/>
        <v>-207390992.35083085</v>
      </c>
    </row>
    <row r="50" spans="1:10">
      <c r="A50" s="75">
        <f t="shared" si="1"/>
        <v>42</v>
      </c>
      <c r="B50" s="29" t="s">
        <v>545</v>
      </c>
      <c r="C50" s="20" t="str">
        <f>'WP_B-2'!G2&amp;" Col (c) &amp; (e), Line "&amp;'WP_B-2'!A99</f>
        <v>WP_B-2 Col (c) &amp; (e), Line 90</v>
      </c>
      <c r="D50" s="31">
        <f>'WP_B-2'!E99</f>
        <v>-124929991.36658865</v>
      </c>
      <c r="E50" s="48" t="s">
        <v>808</v>
      </c>
      <c r="F50" s="86"/>
      <c r="G50" s="21">
        <f>'WP_B-2'!G99</f>
        <v>-5281314.4710471928</v>
      </c>
      <c r="I50" s="315">
        <v>-3494983.8133122707</v>
      </c>
      <c r="J50" s="476">
        <f t="shared" si="2"/>
        <v>-1786330.6577349221</v>
      </c>
    </row>
    <row r="51" spans="1:10">
      <c r="A51" s="75">
        <f t="shared" si="1"/>
        <v>43</v>
      </c>
      <c r="B51" s="29" t="s">
        <v>816</v>
      </c>
      <c r="C51" s="20" t="str">
        <f>'WP_B-3'!G2&amp;" Col (c) &amp; (e), Line "&amp;'WP_B-3'!A96</f>
        <v>WP_B-3 Col (c) &amp; (e), Line 87</v>
      </c>
      <c r="D51" s="31">
        <f>'WP_B-3'!E96</f>
        <v>527279594.21644294</v>
      </c>
      <c r="E51" s="48" t="s">
        <v>808</v>
      </c>
      <c r="F51" s="86"/>
      <c r="G51" s="21">
        <f>'WP_B-3'!G96</f>
        <v>54221352.235460579</v>
      </c>
      <c r="I51" s="315">
        <v>46999690.256347358</v>
      </c>
      <c r="J51" s="476">
        <f t="shared" si="2"/>
        <v>7221661.9791132212</v>
      </c>
    </row>
    <row r="52" spans="1:10">
      <c r="A52" s="75">
        <f t="shared" si="1"/>
        <v>44</v>
      </c>
      <c r="B52" s="584" t="s">
        <v>590</v>
      </c>
      <c r="C52" s="20" t="str">
        <f ca="1">'WP_B-7'!F2&amp;" Col (e), Line "&amp;'WP_B-7'!A25</f>
        <v>WP_B-7 Col (e), Line 14</v>
      </c>
      <c r="D52" s="31">
        <f>'WP_B-7'!F25</f>
        <v>0</v>
      </c>
      <c r="E52" s="48" t="s">
        <v>812</v>
      </c>
      <c r="F52" s="86">
        <f>WS</f>
        <v>0.11022</v>
      </c>
      <c r="G52" s="21">
        <f>D52*F52</f>
        <v>0</v>
      </c>
      <c r="I52" s="315">
        <v>-436637.5858317939</v>
      </c>
      <c r="J52" s="476">
        <f t="shared" si="2"/>
        <v>436637.5858317939</v>
      </c>
    </row>
    <row r="53" spans="1:10">
      <c r="A53" s="75">
        <f t="shared" si="1"/>
        <v>45</v>
      </c>
      <c r="B53" s="34" t="s">
        <v>546</v>
      </c>
      <c r="C53" s="33" t="s">
        <v>782</v>
      </c>
      <c r="D53" s="238">
        <v>24921243</v>
      </c>
      <c r="E53" s="64" t="s">
        <v>808</v>
      </c>
      <c r="F53" s="82">
        <v>1</v>
      </c>
      <c r="G53" s="26">
        <v>0</v>
      </c>
      <c r="I53" s="315">
        <v>0</v>
      </c>
      <c r="J53" s="476">
        <f t="shared" si="2"/>
        <v>0</v>
      </c>
    </row>
    <row r="54" spans="1:10">
      <c r="A54" s="75">
        <f t="shared" si="1"/>
        <v>46</v>
      </c>
      <c r="B54" s="34" t="s">
        <v>578</v>
      </c>
      <c r="C54" s="20" t="str">
        <f ca="1">'WP_B-8'!L2&amp;" Col (a), Line "&amp;'WP_B-8'!A25</f>
        <v>WP_B-8 Col (a), Line 16</v>
      </c>
      <c r="D54" s="31">
        <f>'WP_B-8'!F25</f>
        <v>0</v>
      </c>
      <c r="E54" s="48" t="s">
        <v>808</v>
      </c>
      <c r="F54" s="88">
        <v>1</v>
      </c>
      <c r="G54" s="21">
        <f>D54*F54</f>
        <v>0</v>
      </c>
      <c r="I54" s="315">
        <v>0</v>
      </c>
      <c r="J54" s="476">
        <f t="shared" si="2"/>
        <v>0</v>
      </c>
    </row>
    <row r="55" spans="1:10">
      <c r="A55" s="75">
        <f t="shared" si="1"/>
        <v>47</v>
      </c>
      <c r="B55" s="557" t="s">
        <v>579</v>
      </c>
      <c r="C55" s="325" t="str">
        <f ca="1">'WP_B-8'!L2&amp;" Col (d), Line "&amp;'WP_B-8'!A25</f>
        <v>WP_B-8 Col (d), Line 16</v>
      </c>
      <c r="D55" s="35">
        <f>'WP_B-8'!J25</f>
        <v>0</v>
      </c>
      <c r="E55" s="90" t="s">
        <v>808</v>
      </c>
      <c r="F55" s="88">
        <v>1</v>
      </c>
      <c r="G55" s="21">
        <f>D55*F55</f>
        <v>0</v>
      </c>
      <c r="I55" s="315">
        <v>0</v>
      </c>
      <c r="J55" s="476">
        <f t="shared" si="2"/>
        <v>0</v>
      </c>
    </row>
    <row r="56" spans="1:10">
      <c r="A56" s="75">
        <f>A55+1</f>
        <v>48</v>
      </c>
      <c r="B56" s="19" t="s">
        <v>580</v>
      </c>
      <c r="C56" s="58" t="str">
        <f>'WP_B-Inputs Est.'!L2&amp;" Line "&amp;'WP_B-Inputs Est.'!A154</f>
        <v>WP_B-Inputs Est. Line 144</v>
      </c>
      <c r="D56" s="31">
        <f>'WP_B-Inputs Est.'!E154</f>
        <v>0</v>
      </c>
      <c r="E56" s="64" t="s">
        <v>808</v>
      </c>
      <c r="F56" s="88">
        <v>1</v>
      </c>
      <c r="G56" s="21">
        <f>D56*F56</f>
        <v>0</v>
      </c>
      <c r="I56" s="315">
        <v>0</v>
      </c>
      <c r="J56" s="476">
        <f t="shared" si="2"/>
        <v>0</v>
      </c>
    </row>
    <row r="57" spans="1:10">
      <c r="A57" s="75">
        <f t="shared" si="1"/>
        <v>49</v>
      </c>
      <c r="B57" s="19" t="s">
        <v>581</v>
      </c>
      <c r="C57" s="20" t="str">
        <f>'WP_B-Inputs Est.'!L2&amp;" Line "&amp;'WP_B-Inputs Est.'!A154</f>
        <v>WP_B-Inputs Est. Line 144</v>
      </c>
      <c r="D57" s="62">
        <f>'WP_B-Inputs Est.'!I154</f>
        <v>0</v>
      </c>
      <c r="E57" s="64" t="s">
        <v>808</v>
      </c>
      <c r="F57" s="88">
        <v>1</v>
      </c>
      <c r="G57" s="62">
        <f>D57*F57</f>
        <v>0</v>
      </c>
      <c r="I57" s="315">
        <v>0</v>
      </c>
      <c r="J57" s="476">
        <f t="shared" si="2"/>
        <v>0</v>
      </c>
    </row>
    <row r="58" spans="1:10">
      <c r="A58" s="75">
        <f t="shared" si="1"/>
        <v>50</v>
      </c>
      <c r="B58" s="29" t="s">
        <v>517</v>
      </c>
      <c r="C58" s="19" t="str">
        <f>"Sum Lines "&amp;A48&amp;" through "&amp;A57</f>
        <v>Sum Lines 40 through 49</v>
      </c>
      <c r="D58" s="26">
        <f>SUM(D48:D57)</f>
        <v>-2462922624.9581337</v>
      </c>
      <c r="E58" s="64"/>
      <c r="F58" s="82"/>
      <c r="G58" s="26">
        <f>SUM(G48:G57)</f>
        <v>-460149167.48659831</v>
      </c>
      <c r="I58" s="315">
        <v>-258630144.0429776</v>
      </c>
      <c r="J58" s="476">
        <f t="shared" si="2"/>
        <v>-201519023.44362071</v>
      </c>
    </row>
    <row r="59" spans="1:10">
      <c r="A59" s="75">
        <f t="shared" si="1"/>
        <v>51</v>
      </c>
      <c r="B59" s="27"/>
      <c r="C59" s="20"/>
      <c r="D59" s="26"/>
      <c r="E59" s="64"/>
      <c r="F59" s="82"/>
      <c r="G59" s="26"/>
      <c r="J59" s="476">
        <f t="shared" si="2"/>
        <v>0</v>
      </c>
    </row>
    <row r="60" spans="1:10">
      <c r="A60" s="75">
        <f t="shared" si="1"/>
        <v>52</v>
      </c>
      <c r="B60" s="29" t="s">
        <v>582</v>
      </c>
      <c r="C60" s="20" t="str">
        <f>'WP_B-Inputs Est.'!L2&amp;" Line "&amp;'WP_B-Inputs Est.'!A154</f>
        <v>WP_B-Inputs Est. Line 144</v>
      </c>
      <c r="D60" s="31">
        <f>'WP_B-Inputs Est.'!K154</f>
        <v>0</v>
      </c>
      <c r="E60" s="64" t="s">
        <v>796</v>
      </c>
      <c r="F60" s="88">
        <f>TP</f>
        <v>0.95538999999999996</v>
      </c>
      <c r="G60" s="26">
        <f>D60*F60</f>
        <v>0</v>
      </c>
      <c r="I60" s="315">
        <v>0</v>
      </c>
      <c r="J60" s="476">
        <f t="shared" si="2"/>
        <v>0</v>
      </c>
    </row>
    <row r="61" spans="1:10">
      <c r="A61" s="75">
        <f t="shared" si="1"/>
        <v>53</v>
      </c>
      <c r="B61" s="29"/>
      <c r="C61" s="20"/>
      <c r="D61" s="21"/>
      <c r="E61" s="64"/>
      <c r="F61" s="88"/>
      <c r="G61" s="26"/>
      <c r="J61" s="476">
        <f t="shared" si="2"/>
        <v>0</v>
      </c>
    </row>
    <row r="62" spans="1:10">
      <c r="A62" s="75">
        <f t="shared" si="1"/>
        <v>54</v>
      </c>
      <c r="B62" s="29" t="s">
        <v>865</v>
      </c>
      <c r="C62" s="20"/>
      <c r="D62" s="26"/>
      <c r="E62" s="64"/>
      <c r="F62" s="82"/>
      <c r="G62" s="26"/>
      <c r="J62" s="476">
        <f t="shared" si="2"/>
        <v>0</v>
      </c>
    </row>
    <row r="63" spans="1:10">
      <c r="A63" s="75">
        <f t="shared" si="1"/>
        <v>55</v>
      </c>
      <c r="B63" s="29" t="s">
        <v>547</v>
      </c>
      <c r="C63" s="340" t="s">
        <v>583</v>
      </c>
      <c r="D63" s="21">
        <v>0</v>
      </c>
      <c r="E63" s="48"/>
      <c r="F63" s="86"/>
      <c r="G63" s="21">
        <v>0</v>
      </c>
      <c r="I63" s="315">
        <v>0</v>
      </c>
      <c r="J63" s="476">
        <f t="shared" si="2"/>
        <v>0</v>
      </c>
    </row>
    <row r="64" spans="1:10">
      <c r="A64" s="75">
        <f t="shared" si="1"/>
        <v>56</v>
      </c>
      <c r="B64" s="29" t="s">
        <v>850</v>
      </c>
      <c r="C64" s="20" t="str">
        <f ca="1">'WP_B-6'!E2&amp;" Line "&amp;'WP_B-6'!A39</f>
        <v>WP_B-6 Line 29</v>
      </c>
      <c r="D64" s="21">
        <f>'WP_B-6'!E39</f>
        <v>570167.98312648514</v>
      </c>
      <c r="E64" s="48" t="s">
        <v>796</v>
      </c>
      <c r="F64" s="88">
        <f>TP</f>
        <v>0.95538999999999996</v>
      </c>
      <c r="G64" s="21">
        <f t="shared" ref="G64:G69" si="4">D64*F64</f>
        <v>544732.78939921258</v>
      </c>
      <c r="I64" s="315">
        <v>372634.63553066697</v>
      </c>
      <c r="J64" s="476">
        <f t="shared" si="2"/>
        <v>172098.1538685456</v>
      </c>
    </row>
    <row r="65" spans="1:10">
      <c r="A65" s="75">
        <f t="shared" si="1"/>
        <v>57</v>
      </c>
      <c r="B65" s="29" t="s">
        <v>851</v>
      </c>
      <c r="C65" s="20" t="str">
        <f ca="1">'WP_B-6'!E2&amp;" Line "&amp;'WP_B-6'!A41</f>
        <v>WP_B-6 Line 31</v>
      </c>
      <c r="D65" s="21">
        <f>'WP_B-6'!E41</f>
        <v>-1263698.0327074484</v>
      </c>
      <c r="E65" s="48" t="s">
        <v>815</v>
      </c>
      <c r="F65" s="86">
        <f>NP</f>
        <v>0.1800617262481837</v>
      </c>
      <c r="G65" s="21">
        <f t="shared" si="4"/>
        <v>-227543.64922573685</v>
      </c>
      <c r="I65" s="315">
        <v>-255461.02773906646</v>
      </c>
      <c r="J65" s="476">
        <f t="shared" si="2"/>
        <v>27917.378513329604</v>
      </c>
    </row>
    <row r="66" spans="1:10">
      <c r="A66" s="75">
        <f t="shared" si="1"/>
        <v>58</v>
      </c>
      <c r="B66" s="29" t="s">
        <v>762</v>
      </c>
      <c r="C66" s="20" t="str">
        <f ca="1">'WP_B-5'!R2&amp;" Line "&amp;'WP_B-5'!A19</f>
        <v>WP_B-5 Line 8</v>
      </c>
      <c r="D66" s="31">
        <f>'WP_B-5'!R19</f>
        <v>5463889.7868161676</v>
      </c>
      <c r="E66" s="48" t="s">
        <v>815</v>
      </c>
      <c r="F66" s="86">
        <f>NP</f>
        <v>0.1800617262481837</v>
      </c>
      <c r="G66" s="21">
        <f t="shared" si="4"/>
        <v>983837.42704393959</v>
      </c>
      <c r="I66" s="315">
        <v>1179908.4093521035</v>
      </c>
      <c r="J66" s="476">
        <f t="shared" si="2"/>
        <v>-196070.98230816389</v>
      </c>
    </row>
    <row r="67" spans="1:10">
      <c r="A67" s="75">
        <f t="shared" si="1"/>
        <v>59</v>
      </c>
      <c r="B67" s="29" t="s">
        <v>763</v>
      </c>
      <c r="C67" s="20" t="str">
        <f ca="1">'WP_B-5'!R2&amp;" Line "&amp;'WP_B-5'!A27</f>
        <v>WP_B-5 Line 16</v>
      </c>
      <c r="D67" s="31">
        <f>'WP_B-5'!R27</f>
        <v>196086.8707313902</v>
      </c>
      <c r="E67" s="48" t="s">
        <v>812</v>
      </c>
      <c r="F67" s="86">
        <f>WS</f>
        <v>0.11022</v>
      </c>
      <c r="G67" s="21">
        <f t="shared" si="4"/>
        <v>21612.694892013827</v>
      </c>
      <c r="I67" s="315">
        <v>51797.115282084851</v>
      </c>
      <c r="J67" s="476">
        <f t="shared" si="2"/>
        <v>-30184.420390071024</v>
      </c>
    </row>
    <row r="68" spans="1:10">
      <c r="A68" s="75">
        <f t="shared" si="1"/>
        <v>60</v>
      </c>
      <c r="B68" s="29" t="s">
        <v>764</v>
      </c>
      <c r="C68" s="20" t="str">
        <f ca="1">'WP_B-5'!R2&amp;" Line "&amp;'WP_B-5'!A31</f>
        <v>WP_B-5 Line 20</v>
      </c>
      <c r="D68" s="31">
        <f>'WP_B-5'!R31</f>
        <v>1758532.8246153849</v>
      </c>
      <c r="E68" s="48" t="s">
        <v>796</v>
      </c>
      <c r="F68" s="88">
        <f>TP</f>
        <v>0.95538999999999996</v>
      </c>
      <c r="G68" s="21">
        <f t="shared" si="4"/>
        <v>1680084.6753092925</v>
      </c>
      <c r="I68" s="315">
        <v>593858.86181267689</v>
      </c>
      <c r="J68" s="476">
        <f t="shared" si="2"/>
        <v>1086225.8134966157</v>
      </c>
    </row>
    <row r="69" spans="1:10">
      <c r="A69" s="75">
        <f t="shared" si="1"/>
        <v>61</v>
      </c>
      <c r="B69" s="29" t="s">
        <v>790</v>
      </c>
      <c r="C69" s="20" t="str">
        <f ca="1">'WP_B-5'!R2&amp;" Line "&amp;'WP_B-5'!A55</f>
        <v>WP_B-5 Line 44</v>
      </c>
      <c r="D69" s="62">
        <f>'WP_B-5'!R55</f>
        <v>6975509.1623701528</v>
      </c>
      <c r="E69" s="48" t="s">
        <v>806</v>
      </c>
      <c r="F69" s="86">
        <v>0</v>
      </c>
      <c r="G69" s="62">
        <f t="shared" si="4"/>
        <v>0</v>
      </c>
      <c r="I69" s="315">
        <v>0</v>
      </c>
      <c r="J69" s="476">
        <f t="shared" si="2"/>
        <v>0</v>
      </c>
    </row>
    <row r="70" spans="1:10">
      <c r="A70" s="75">
        <f t="shared" si="1"/>
        <v>62</v>
      </c>
      <c r="B70" s="29" t="s">
        <v>786</v>
      </c>
      <c r="C70" s="19" t="str">
        <f>"Sum Lines "&amp;A63&amp;" through "&amp;A69</f>
        <v>Sum Lines 55 through 61</v>
      </c>
      <c r="D70" s="26">
        <f>SUM(D63:D69)</f>
        <v>13700488.594952133</v>
      </c>
      <c r="E70" s="17"/>
      <c r="F70" s="82"/>
      <c r="G70" s="26">
        <f>SUM(G63:G69)</f>
        <v>3002723.9374187216</v>
      </c>
      <c r="I70" s="315">
        <v>1942737.9942384656</v>
      </c>
      <c r="J70" s="476">
        <f t="shared" si="2"/>
        <v>1059985.9431802561</v>
      </c>
    </row>
    <row r="71" spans="1:10">
      <c r="A71" s="75">
        <f t="shared" si="1"/>
        <v>63</v>
      </c>
      <c r="B71" s="29"/>
      <c r="C71" s="8"/>
      <c r="D71" s="26"/>
      <c r="E71" s="17"/>
      <c r="F71" s="82"/>
      <c r="G71" s="26"/>
      <c r="J71" s="476">
        <f t="shared" si="2"/>
        <v>0</v>
      </c>
    </row>
    <row r="72" spans="1:10">
      <c r="A72" s="75">
        <f t="shared" si="1"/>
        <v>64</v>
      </c>
      <c r="B72" s="5" t="s">
        <v>1392</v>
      </c>
      <c r="C72" s="20" t="str">
        <f>"Line "&amp;A44&amp;" plus "&amp;A58&amp;" plus "&amp;A60&amp;" plus "&amp;A70</f>
        <v>Line 36 plus 50 plus 52 plus 62</v>
      </c>
      <c r="D72" s="84">
        <f>D44+D58+D60+D70</f>
        <v>7385989218.5390978</v>
      </c>
      <c r="E72" s="12"/>
      <c r="F72" s="28"/>
      <c r="G72" s="84">
        <f>G44+G58+G60+G70</f>
        <v>1313798691.0302625</v>
      </c>
      <c r="I72" s="315">
        <v>897648793.88423288</v>
      </c>
      <c r="J72" s="476">
        <f t="shared" si="2"/>
        <v>416149897.14602959</v>
      </c>
    </row>
    <row r="73" spans="1:10">
      <c r="A73" s="75">
        <f t="shared" si="1"/>
        <v>65</v>
      </c>
      <c r="B73" s="5"/>
      <c r="C73" s="20"/>
      <c r="D73" s="36"/>
      <c r="E73" s="12"/>
      <c r="F73" s="28"/>
      <c r="G73" s="36"/>
      <c r="J73" s="476">
        <f t="shared" si="2"/>
        <v>0</v>
      </c>
    </row>
    <row r="74" spans="1:10">
      <c r="A74" s="75">
        <f t="shared" si="1"/>
        <v>66</v>
      </c>
      <c r="B74" s="5" t="s">
        <v>88</v>
      </c>
      <c r="C74" s="20" t="str">
        <f>"Line "&amp;A179</f>
        <v>Line 158</v>
      </c>
      <c r="D74" s="305">
        <f>ROR</f>
        <v>7.350000000000001E-2</v>
      </c>
      <c r="E74" s="12"/>
      <c r="F74" s="28"/>
      <c r="G74" s="305">
        <f>ROR</f>
        <v>7.350000000000001E-2</v>
      </c>
      <c r="I74" s="475">
        <v>8.2000000000000003E-2</v>
      </c>
      <c r="J74" s="476">
        <f t="shared" si="2"/>
        <v>-8.4999999999999937E-3</v>
      </c>
    </row>
    <row r="75" spans="1:10">
      <c r="A75" s="75">
        <f t="shared" si="1"/>
        <v>67</v>
      </c>
      <c r="B75" s="5"/>
      <c r="C75" s="12"/>
      <c r="D75" s="36"/>
      <c r="E75" s="12"/>
      <c r="F75" s="28"/>
      <c r="G75" s="36"/>
      <c r="J75" s="476">
        <f t="shared" ref="J75:J138" si="5">G75-I75</f>
        <v>0</v>
      </c>
    </row>
    <row r="76" spans="1:10" ht="13.5" thickBot="1">
      <c r="A76" s="75">
        <f t="shared" si="1"/>
        <v>68</v>
      </c>
      <c r="B76" s="39" t="s">
        <v>780</v>
      </c>
      <c r="C76" s="39" t="str">
        <f>"Line "&amp;A72&amp;" times Line "&amp;A74</f>
        <v>Line 64 times Line 66</v>
      </c>
      <c r="D76" s="38">
        <f>D72*D74</f>
        <v>542870207.56262374</v>
      </c>
      <c r="E76" s="26"/>
      <c r="F76" s="40"/>
      <c r="G76" s="38">
        <f>G72*G74</f>
        <v>96564203.790724307</v>
      </c>
      <c r="I76" s="315">
        <v>73607201.098507106</v>
      </c>
      <c r="J76" s="476">
        <f t="shared" si="5"/>
        <v>22957002.692217201</v>
      </c>
    </row>
    <row r="77" spans="1:10" ht="13.5" thickTop="1">
      <c r="A77" s="17"/>
      <c r="B77" s="39"/>
      <c r="C77" s="39"/>
      <c r="D77" s="26"/>
      <c r="E77" s="26"/>
      <c r="F77" s="40"/>
      <c r="G77" s="26"/>
      <c r="J77" s="476">
        <f t="shared" si="5"/>
        <v>0</v>
      </c>
    </row>
    <row r="78" spans="1:10">
      <c r="A78" s="17"/>
      <c r="B78" s="14"/>
      <c r="C78" s="8"/>
      <c r="D78" s="15"/>
      <c r="E78" s="8"/>
      <c r="F78" s="8"/>
      <c r="G78" s="7"/>
      <c r="J78" s="476">
        <f t="shared" si="5"/>
        <v>0</v>
      </c>
    </row>
    <row r="79" spans="1:10">
      <c r="A79" s="76"/>
      <c r="B79" s="41" t="s">
        <v>548</v>
      </c>
      <c r="C79" s="42"/>
      <c r="D79" s="12"/>
      <c r="E79" s="12"/>
      <c r="F79" s="17"/>
      <c r="G79" s="42" t="s">
        <v>795</v>
      </c>
      <c r="I79" s="315" t="s">
        <v>795</v>
      </c>
      <c r="J79" s="476" t="e">
        <f t="shared" si="5"/>
        <v>#VALUE!</v>
      </c>
    </row>
    <row r="80" spans="1:10">
      <c r="A80" s="85" t="s">
        <v>868</v>
      </c>
      <c r="B80" s="674" t="s">
        <v>769</v>
      </c>
      <c r="C80" s="675" t="s">
        <v>875</v>
      </c>
      <c r="D80" s="678" t="s">
        <v>795</v>
      </c>
      <c r="E80" s="1207" t="s">
        <v>1316</v>
      </c>
      <c r="F80" s="1208"/>
      <c r="G80" s="678" t="s">
        <v>794</v>
      </c>
      <c r="I80" s="315" t="s">
        <v>794</v>
      </c>
      <c r="J80" s="476" t="e">
        <f t="shared" si="5"/>
        <v>#VALUE!</v>
      </c>
    </row>
    <row r="81" spans="1:10">
      <c r="B81" s="75" t="s">
        <v>357</v>
      </c>
      <c r="C81" s="75" t="s">
        <v>358</v>
      </c>
      <c r="D81" s="75" t="s">
        <v>359</v>
      </c>
      <c r="E81" s="1209" t="s">
        <v>360</v>
      </c>
      <c r="F81" s="1210"/>
      <c r="G81" s="676" t="s">
        <v>361</v>
      </c>
      <c r="I81" s="315" t="s">
        <v>361</v>
      </c>
      <c r="J81" s="476" t="e">
        <f t="shared" si="5"/>
        <v>#VALUE!</v>
      </c>
    </row>
    <row r="82" spans="1:10">
      <c r="B82" s="5"/>
      <c r="C82" s="12"/>
      <c r="D82" s="16"/>
      <c r="E82" s="41"/>
      <c r="F82" s="27"/>
      <c r="G82" s="16"/>
      <c r="J82" s="476">
        <f t="shared" si="5"/>
        <v>0</v>
      </c>
    </row>
    <row r="83" spans="1:10">
      <c r="A83" s="17">
        <f>A76+1</f>
        <v>69</v>
      </c>
      <c r="B83" s="5" t="s">
        <v>770</v>
      </c>
      <c r="C83" s="12"/>
      <c r="D83" s="12"/>
      <c r="E83" s="12"/>
      <c r="F83" s="12"/>
      <c r="G83" s="12"/>
      <c r="J83" s="476">
        <f t="shared" si="5"/>
        <v>0</v>
      </c>
    </row>
    <row r="84" spans="1:10">
      <c r="A84" s="17">
        <f>A83+1</f>
        <v>70</v>
      </c>
      <c r="B84" s="5" t="s">
        <v>807</v>
      </c>
      <c r="C84" s="20" t="str">
        <f ca="1">'WP_C-1'!M2&amp;" Line "&amp;'WP_C-1'!A41</f>
        <v>WP_C-1 Line 31</v>
      </c>
      <c r="D84" s="21">
        <f>'WP_C-1'!H41</f>
        <v>51652706.179286294</v>
      </c>
      <c r="E84" s="12"/>
      <c r="F84" s="43"/>
      <c r="G84" s="26"/>
      <c r="J84" s="476">
        <f t="shared" si="5"/>
        <v>0</v>
      </c>
    </row>
    <row r="85" spans="1:10">
      <c r="A85" s="17">
        <f t="shared" ref="A85:A96" si="6">A84+1</f>
        <v>71</v>
      </c>
      <c r="B85" s="25" t="s">
        <v>849</v>
      </c>
      <c r="C85" s="20" t="str">
        <f ca="1">'WP_C-1'!M2&amp;" Line "&amp;'WP_C-1'!A46</f>
        <v>WP_C-1 Line 36</v>
      </c>
      <c r="D85" s="21">
        <f>-'WP_C-1'!H46</f>
        <v>-8651451.8117643408</v>
      </c>
      <c r="E85" s="20"/>
      <c r="F85" s="44"/>
      <c r="G85" s="21"/>
      <c r="J85" s="476">
        <f t="shared" si="5"/>
        <v>0</v>
      </c>
    </row>
    <row r="86" spans="1:10">
      <c r="A86" s="17">
        <f t="shared" si="6"/>
        <v>72</v>
      </c>
      <c r="B86" s="25" t="s">
        <v>539</v>
      </c>
      <c r="C86" s="20" t="str">
        <f ca="1">'WP_C-1'!M2&amp;" Line "&amp;'WP_C-1'!A15</f>
        <v>WP_C-1 Line 5</v>
      </c>
      <c r="D86" s="21">
        <f>'WP_C-1'!H15</f>
        <v>0</v>
      </c>
      <c r="E86" s="20"/>
      <c r="F86" s="44"/>
      <c r="G86" s="21"/>
      <c r="J86" s="476">
        <f t="shared" si="5"/>
        <v>0</v>
      </c>
    </row>
    <row r="87" spans="1:10">
      <c r="A87" s="17">
        <f t="shared" si="6"/>
        <v>73</v>
      </c>
      <c r="B87" s="25" t="s">
        <v>604</v>
      </c>
      <c r="C87" s="20" t="str">
        <f ca="1">'WP_C-1'!M2&amp;" Line "&amp;'WP_C-1'!A16</f>
        <v>WP_C-1 Line 6</v>
      </c>
      <c r="D87" s="21">
        <f>'WP_C-1'!H16</f>
        <v>11836.390791938042</v>
      </c>
      <c r="E87" s="20"/>
      <c r="F87" s="44"/>
      <c r="G87" s="21"/>
      <c r="J87" s="476">
        <f t="shared" si="5"/>
        <v>0</v>
      </c>
    </row>
    <row r="88" spans="1:10">
      <c r="A88" s="17">
        <f t="shared" si="6"/>
        <v>74</v>
      </c>
      <c r="B88" s="25" t="s">
        <v>777</v>
      </c>
      <c r="C88" s="20" t="str">
        <f ca="1">'WP_C-1'!M2&amp;" Line "&amp;'WP_C-1'!A17</f>
        <v>WP_C-1 Line 7</v>
      </c>
      <c r="D88" s="21">
        <f>'WP_C-1'!H17</f>
        <v>0</v>
      </c>
      <c r="E88" s="20"/>
      <c r="F88" s="44"/>
      <c r="G88" s="21"/>
      <c r="J88" s="476">
        <f t="shared" si="5"/>
        <v>0</v>
      </c>
    </row>
    <row r="89" spans="1:10">
      <c r="A89" s="17">
        <f t="shared" si="6"/>
        <v>75</v>
      </c>
      <c r="B89" s="25" t="s">
        <v>778</v>
      </c>
      <c r="C89" s="20" t="str">
        <f ca="1">'WP_C-1'!M2&amp;" Line "&amp;'WP_C-1'!A18</f>
        <v>WP_C-1 Line 8</v>
      </c>
      <c r="D89" s="21">
        <f>'WP_C-1'!H18</f>
        <v>-51570.914323087476</v>
      </c>
      <c r="E89" s="20"/>
      <c r="F89" s="44"/>
      <c r="G89" s="21"/>
      <c r="J89" s="476">
        <f t="shared" si="5"/>
        <v>0</v>
      </c>
    </row>
    <row r="90" spans="1:10">
      <c r="A90" s="17">
        <f t="shared" si="6"/>
        <v>76</v>
      </c>
      <c r="B90" s="25" t="s">
        <v>605</v>
      </c>
      <c r="C90" s="20" t="str">
        <f ca="1">'WP_C-1'!M2&amp;" Line "&amp;'WP_C-1'!A19</f>
        <v>WP_C-1 Line 9</v>
      </c>
      <c r="D90" s="21">
        <f>'WP_C-1'!H19</f>
        <v>3619233.7309533488</v>
      </c>
      <c r="E90" s="20"/>
      <c r="F90" s="44"/>
      <c r="G90" s="21"/>
      <c r="J90" s="476">
        <f t="shared" si="5"/>
        <v>0</v>
      </c>
    </row>
    <row r="91" spans="1:10">
      <c r="A91" s="17">
        <f t="shared" si="6"/>
        <v>77</v>
      </c>
      <c r="B91" s="25" t="s">
        <v>584</v>
      </c>
      <c r="C91" s="20" t="str">
        <f ca="1">'WP_C-1'!M2&amp;" Line "&amp;'WP_C-1'!A23</f>
        <v>WP_C-1 Line 13</v>
      </c>
      <c r="D91" s="31">
        <f>-'WP_C-1'!H23</f>
        <v>-15574049.904972363</v>
      </c>
      <c r="E91" s="20"/>
      <c r="F91" s="22"/>
      <c r="G91" s="31"/>
      <c r="J91" s="476">
        <f t="shared" si="5"/>
        <v>0</v>
      </c>
    </row>
    <row r="92" spans="1:10">
      <c r="A92" s="17">
        <f t="shared" si="6"/>
        <v>78</v>
      </c>
      <c r="B92" s="123" t="s">
        <v>96</v>
      </c>
      <c r="C92" s="20" t="str">
        <f ca="1">'WP_C-1'!M2&amp;" Line "&amp;'WP_C-1'!A44</f>
        <v>WP_C-1 Line 34</v>
      </c>
      <c r="D92" s="62">
        <f>'WP_C-1'!H44</f>
        <v>0</v>
      </c>
      <c r="E92" s="20"/>
      <c r="F92" s="22"/>
      <c r="G92" s="62"/>
      <c r="J92" s="476">
        <f t="shared" si="5"/>
        <v>0</v>
      </c>
    </row>
    <row r="93" spans="1:10" ht="12.75" customHeight="1">
      <c r="A93" s="17">
        <f t="shared" si="6"/>
        <v>79</v>
      </c>
      <c r="B93" s="45" t="s">
        <v>771</v>
      </c>
      <c r="C93" s="19" t="str">
        <f>"Sum Lines "&amp;A84&amp;" through "&amp;A92</f>
        <v>Sum Lines 70 through 78</v>
      </c>
      <c r="D93" s="46">
        <f>SUM(D84:D92)</f>
        <v>31006703.669971798</v>
      </c>
      <c r="E93" s="91" t="s">
        <v>796</v>
      </c>
      <c r="F93" s="88">
        <f>TP</f>
        <v>0.95538999999999996</v>
      </c>
      <c r="G93" s="46">
        <f>D93*F93</f>
        <v>29623494.619254354</v>
      </c>
      <c r="H93" s="476"/>
      <c r="I93" s="315">
        <v>23054981.66062</v>
      </c>
      <c r="J93" s="476">
        <f t="shared" si="5"/>
        <v>6568512.9586343542</v>
      </c>
    </row>
    <row r="94" spans="1:10">
      <c r="A94" s="17">
        <f t="shared" si="6"/>
        <v>80</v>
      </c>
      <c r="B94" s="5"/>
      <c r="C94" s="5"/>
      <c r="D94" s="26"/>
      <c r="E94" s="64"/>
      <c r="F94" s="82"/>
      <c r="G94" s="26"/>
      <c r="H94" s="124"/>
      <c r="J94" s="476">
        <f t="shared" si="5"/>
        <v>0</v>
      </c>
    </row>
    <row r="95" spans="1:10">
      <c r="A95" s="17">
        <f t="shared" si="6"/>
        <v>81</v>
      </c>
      <c r="B95" s="5" t="s">
        <v>585</v>
      </c>
      <c r="C95" s="20" t="str">
        <f ca="1">'WP_C-2'!G2&amp;" Line "&amp;'WP_C-2'!A25</f>
        <v>WP_C-2 Line 15</v>
      </c>
      <c r="D95" s="21">
        <f>'WP_C-2'!G25</f>
        <v>154634044.71803299</v>
      </c>
      <c r="E95" s="64"/>
      <c r="F95" s="82"/>
      <c r="G95" s="26"/>
      <c r="J95" s="476">
        <f t="shared" si="5"/>
        <v>0</v>
      </c>
    </row>
    <row r="96" spans="1:10">
      <c r="A96" s="17">
        <f t="shared" si="6"/>
        <v>82</v>
      </c>
      <c r="B96" s="25" t="s">
        <v>66</v>
      </c>
      <c r="C96" s="20" t="str">
        <f ca="1">'WP_C-2'!G2&amp;" Line "&amp;'WP_C-2'!A15</f>
        <v>WP_C-2 Line 5</v>
      </c>
      <c r="D96" s="62">
        <f>-'WP_C-2'!E15</f>
        <v>-2632768.2408606433</v>
      </c>
      <c r="E96" s="64"/>
      <c r="F96" s="82"/>
      <c r="G96" s="26"/>
      <c r="J96" s="476">
        <f t="shared" si="5"/>
        <v>0</v>
      </c>
    </row>
    <row r="97" spans="1:10">
      <c r="A97" s="17">
        <f t="shared" ref="A97:A144" si="7">A96+1</f>
        <v>83</v>
      </c>
      <c r="B97" s="5" t="s">
        <v>772</v>
      </c>
      <c r="C97" s="19" t="str">
        <f>"Sum Lines "&amp;A95&amp;" through "&amp;A96</f>
        <v>Sum Lines 81 through 82</v>
      </c>
      <c r="D97" s="21">
        <f>SUM(D95:D96)</f>
        <v>152001276.47717234</v>
      </c>
      <c r="E97" s="64" t="s">
        <v>812</v>
      </c>
      <c r="F97" s="86">
        <f>WS</f>
        <v>0.11022</v>
      </c>
      <c r="G97" s="46">
        <f>D97*F97</f>
        <v>16753580.693313936</v>
      </c>
      <c r="I97" s="315">
        <v>13763722.594999999</v>
      </c>
      <c r="J97" s="476">
        <f t="shared" si="5"/>
        <v>2989858.098313937</v>
      </c>
    </row>
    <row r="98" spans="1:10">
      <c r="A98" s="17">
        <f t="shared" si="7"/>
        <v>84</v>
      </c>
      <c r="B98" s="25" t="s">
        <v>550</v>
      </c>
      <c r="C98" s="20" t="str">
        <f>"Line "&amp;A96</f>
        <v>Line 82</v>
      </c>
      <c r="D98" s="21">
        <f>-D96</f>
        <v>2632768.2408606433</v>
      </c>
      <c r="E98" s="64" t="s">
        <v>815</v>
      </c>
      <c r="F98" s="82">
        <f>NP</f>
        <v>0.1800617262481837</v>
      </c>
      <c r="G98" s="26">
        <f>D98*F98</f>
        <v>474060.79426076135</v>
      </c>
      <c r="I98" s="315">
        <v>825234.79675525113</v>
      </c>
      <c r="J98" s="476">
        <f t="shared" si="5"/>
        <v>-351174.00249448977</v>
      </c>
    </row>
    <row r="99" spans="1:10">
      <c r="A99" s="17">
        <f t="shared" si="7"/>
        <v>85</v>
      </c>
      <c r="B99" s="25" t="s">
        <v>549</v>
      </c>
      <c r="C99" s="20" t="str">
        <f ca="1">'WP_C-4'!F2&amp;" Line "&amp;'WP_C-4'!A16</f>
        <v>WP_C-4 Line 6</v>
      </c>
      <c r="D99" s="62">
        <f>'WP_C-4'!D16</f>
        <v>79859.7</v>
      </c>
      <c r="E99" s="48" t="s">
        <v>808</v>
      </c>
      <c r="F99" s="86">
        <v>1</v>
      </c>
      <c r="G99" s="84">
        <f>D99*F99</f>
        <v>79859.7</v>
      </c>
      <c r="I99" s="315">
        <v>14109.84</v>
      </c>
      <c r="J99" s="476">
        <f t="shared" si="5"/>
        <v>65749.86</v>
      </c>
    </row>
    <row r="100" spans="1:10">
      <c r="A100" s="17">
        <f t="shared" si="7"/>
        <v>86</v>
      </c>
      <c r="B100" s="5" t="s">
        <v>773</v>
      </c>
      <c r="C100" s="19" t="str">
        <f>"Sum Lines "&amp;A97&amp;" through "&amp;A99</f>
        <v>Sum Lines 83 through 85</v>
      </c>
      <c r="D100" s="26">
        <f>SUM(D97:D99)</f>
        <v>154713904.41803297</v>
      </c>
      <c r="E100" s="12"/>
      <c r="F100" s="30"/>
      <c r="G100" s="26">
        <f>SUM(G97:G99)</f>
        <v>17307501.187574696</v>
      </c>
      <c r="I100" s="315">
        <v>14603067.231755249</v>
      </c>
      <c r="J100" s="476">
        <f t="shared" si="5"/>
        <v>2704433.9558194466</v>
      </c>
    </row>
    <row r="101" spans="1:10">
      <c r="A101" s="17">
        <f t="shared" si="7"/>
        <v>87</v>
      </c>
      <c r="B101" s="25"/>
      <c r="C101" s="20"/>
      <c r="D101" s="21"/>
      <c r="E101" s="12"/>
      <c r="F101" s="30"/>
      <c r="G101" s="26"/>
      <c r="J101" s="476">
        <f t="shared" si="5"/>
        <v>0</v>
      </c>
    </row>
    <row r="102" spans="1:10">
      <c r="A102" s="17">
        <f t="shared" si="7"/>
        <v>88</v>
      </c>
      <c r="B102" s="5" t="s">
        <v>774</v>
      </c>
      <c r="C102" s="20" t="str">
        <f>"Line "&amp;A93&amp;" plus Line "&amp;A100</f>
        <v>Line 79 plus Line 86</v>
      </c>
      <c r="D102" s="26">
        <f>D93+D100</f>
        <v>185720608.08800477</v>
      </c>
      <c r="E102" s="12"/>
      <c r="F102" s="12"/>
      <c r="G102" s="26">
        <f>G93+G100</f>
        <v>46930995.80682905</v>
      </c>
      <c r="I102" s="315">
        <v>37658048.892375246</v>
      </c>
      <c r="J102" s="476">
        <f t="shared" si="5"/>
        <v>9272946.9144538045</v>
      </c>
    </row>
    <row r="103" spans="1:10">
      <c r="A103" s="17">
        <f t="shared" si="7"/>
        <v>89</v>
      </c>
      <c r="B103" s="32"/>
      <c r="C103" s="20"/>
      <c r="D103" s="26"/>
      <c r="E103" s="12"/>
      <c r="F103" s="12"/>
      <c r="G103" s="26"/>
      <c r="J103" s="476">
        <f t="shared" si="5"/>
        <v>0</v>
      </c>
    </row>
    <row r="104" spans="1:10">
      <c r="A104" s="17">
        <f t="shared" si="7"/>
        <v>90</v>
      </c>
      <c r="B104" s="7"/>
      <c r="C104" s="33"/>
      <c r="D104" s="26"/>
      <c r="E104" s="10"/>
      <c r="F104" s="27"/>
      <c r="G104" s="47"/>
      <c r="J104" s="476">
        <f t="shared" si="5"/>
        <v>0</v>
      </c>
    </row>
    <row r="105" spans="1:10">
      <c r="A105" s="17">
        <f t="shared" si="7"/>
        <v>91</v>
      </c>
      <c r="B105" s="29" t="s">
        <v>792</v>
      </c>
      <c r="C105" s="48"/>
      <c r="D105" s="26"/>
      <c r="E105" s="12"/>
      <c r="F105" s="12"/>
      <c r="G105" s="26"/>
      <c r="J105" s="476">
        <f t="shared" si="5"/>
        <v>0</v>
      </c>
    </row>
    <row r="106" spans="1:10">
      <c r="A106" s="17">
        <f t="shared" si="7"/>
        <v>92</v>
      </c>
      <c r="B106" s="49" t="s">
        <v>807</v>
      </c>
      <c r="C106" s="20" t="str">
        <f ca="1">'WP_B-1'!G2&amp;" Line "&amp;'WP_B-1'!A33&amp;" "&amp;'WP_B-1'!G9</f>
        <v>WP_B-1 Line 24 Col. (d)</v>
      </c>
      <c r="D106" s="24">
        <f>'WP_B-1'!G33</f>
        <v>39456812.210000001</v>
      </c>
      <c r="E106" s="87" t="s">
        <v>808</v>
      </c>
      <c r="F106" s="88">
        <v>1</v>
      </c>
      <c r="G106" s="24">
        <f t="shared" ref="G106:G113" si="8">D106*F106</f>
        <v>39456812.210000001</v>
      </c>
      <c r="I106" s="315">
        <v>25923452.535289999</v>
      </c>
      <c r="J106" s="476">
        <f t="shared" si="5"/>
        <v>13533359.674710002</v>
      </c>
    </row>
    <row r="107" spans="1:10">
      <c r="A107" s="17">
        <f t="shared" si="7"/>
        <v>93</v>
      </c>
      <c r="B107" s="23" t="s">
        <v>1087</v>
      </c>
      <c r="C107" s="33" t="str">
        <f ca="1">'WP_B-8'!L2&amp;" Col (f), Line "&amp;'WP_B-8'!A27</f>
        <v>WP_B-8 Col (f), Line 18</v>
      </c>
      <c r="D107" s="24">
        <f>'WP_B-8'!L27</f>
        <v>0</v>
      </c>
      <c r="E107" s="87" t="s">
        <v>808</v>
      </c>
      <c r="F107" s="88">
        <v>1</v>
      </c>
      <c r="G107" s="24">
        <f t="shared" si="8"/>
        <v>0</v>
      </c>
      <c r="I107" s="315">
        <v>0</v>
      </c>
      <c r="J107" s="476">
        <f t="shared" si="5"/>
        <v>0</v>
      </c>
    </row>
    <row r="108" spans="1:10">
      <c r="A108" s="17">
        <f t="shared" si="7"/>
        <v>94</v>
      </c>
      <c r="B108" s="23" t="s">
        <v>1088</v>
      </c>
      <c r="C108" s="20" t="str">
        <f>'WP_B-Inputs Est.'!L2&amp;" Line "&amp;'WP_B-Inputs Est.'!A154</f>
        <v>WP_B-Inputs Est. Line 144</v>
      </c>
      <c r="D108" s="21">
        <f>'WP_B-Inputs Est.'!D154</f>
        <v>0</v>
      </c>
      <c r="E108" s="48" t="s">
        <v>808</v>
      </c>
      <c r="F108" s="88">
        <v>1</v>
      </c>
      <c r="G108" s="24">
        <f t="shared" si="8"/>
        <v>0</v>
      </c>
      <c r="I108" s="315">
        <v>0</v>
      </c>
      <c r="J108" s="476">
        <f t="shared" si="5"/>
        <v>0</v>
      </c>
    </row>
    <row r="109" spans="1:10">
      <c r="A109" s="17">
        <f t="shared" si="7"/>
        <v>95</v>
      </c>
      <c r="B109" s="23" t="s">
        <v>1089</v>
      </c>
      <c r="C109" s="20" t="str">
        <f>'WP_B-Inputs Est.'!L2&amp;" Line "&amp;'WP_B-Inputs Est.'!A154</f>
        <v>WP_B-Inputs Est. Line 144</v>
      </c>
      <c r="D109" s="21">
        <f>'WP_B-Inputs Est.'!H154</f>
        <v>0</v>
      </c>
      <c r="E109" s="48" t="s">
        <v>808</v>
      </c>
      <c r="F109" s="88">
        <v>1</v>
      </c>
      <c r="G109" s="24">
        <f t="shared" si="8"/>
        <v>0</v>
      </c>
      <c r="I109" s="315">
        <v>0</v>
      </c>
      <c r="J109" s="476">
        <f t="shared" si="5"/>
        <v>0</v>
      </c>
    </row>
    <row r="110" spans="1:10">
      <c r="A110" s="17">
        <f t="shared" si="7"/>
        <v>96</v>
      </c>
      <c r="B110" s="29" t="s">
        <v>817</v>
      </c>
      <c r="C110" s="20" t="str">
        <f ca="1">'WP_B-1'!G2&amp;" Line "&amp;'WP_B-1'!A35&amp;" "&amp;'WP_B-1'!G9</f>
        <v>WP_B-1 Line 26 Col. (d)</v>
      </c>
      <c r="D110" s="21">
        <f>'WP_B-1'!G35</f>
        <v>11273811.467795331</v>
      </c>
      <c r="E110" s="48" t="s">
        <v>812</v>
      </c>
      <c r="F110" s="86">
        <f>WS</f>
        <v>0.11022</v>
      </c>
      <c r="G110" s="24">
        <f t="shared" si="8"/>
        <v>1242599.4999804015</v>
      </c>
      <c r="I110" s="315">
        <v>420460.21003451513</v>
      </c>
      <c r="J110" s="476">
        <f t="shared" si="5"/>
        <v>822139.28994588635</v>
      </c>
    </row>
    <row r="111" spans="1:10">
      <c r="A111" s="17">
        <f t="shared" si="7"/>
        <v>97</v>
      </c>
      <c r="B111" s="29" t="s">
        <v>818</v>
      </c>
      <c r="C111" s="20" t="str">
        <f ca="1">'WP_B-1'!G2&amp;" Line "&amp;'WP_B-1'!A36&amp;" "&amp;'WP_B-1'!G9</f>
        <v>WP_B-1 Line 27 Col. (d)</v>
      </c>
      <c r="D111" s="31">
        <f>'WP_B-1'!G36</f>
        <v>7942148.3299999945</v>
      </c>
      <c r="E111" s="48" t="s">
        <v>812</v>
      </c>
      <c r="F111" s="86">
        <f>WS</f>
        <v>0.11022</v>
      </c>
      <c r="G111" s="335">
        <f t="shared" si="8"/>
        <v>875383.58893259941</v>
      </c>
      <c r="I111" s="315">
        <v>342685.65587969997</v>
      </c>
      <c r="J111" s="476">
        <f t="shared" si="5"/>
        <v>532697.93305289943</v>
      </c>
    </row>
    <row r="112" spans="1:10">
      <c r="A112" s="17">
        <f t="shared" si="7"/>
        <v>98</v>
      </c>
      <c r="B112" s="123" t="s">
        <v>920</v>
      </c>
      <c r="C112" s="20" t="str">
        <f ca="1">'WP_B-1'!G2&amp;" Line "&amp;'WP_B-1'!A37&amp;" "&amp;'WP_B-1'!G9</f>
        <v>WP_B-1 Line 28 Col. (d)</v>
      </c>
      <c r="D112" s="31">
        <f>'WP_B-1'!G37</f>
        <v>33410487.349999998</v>
      </c>
      <c r="E112" s="48" t="s">
        <v>921</v>
      </c>
      <c r="F112" s="86">
        <f>CE</f>
        <v>7.9146557159999992E-2</v>
      </c>
      <c r="G112" s="335">
        <f t="shared" si="8"/>
        <v>2644325.0467902315</v>
      </c>
      <c r="I112" s="315">
        <v>595979.51827644545</v>
      </c>
      <c r="J112" s="476">
        <f t="shared" si="5"/>
        <v>2048345.5285137859</v>
      </c>
    </row>
    <row r="113" spans="1:10">
      <c r="A113" s="17">
        <f t="shared" si="7"/>
        <v>99</v>
      </c>
      <c r="B113" s="123" t="s">
        <v>919</v>
      </c>
      <c r="C113" s="20" t="str">
        <f ca="1">'WP_B-1'!G2&amp;" Line "&amp;'WP_B-1'!A38&amp;" "&amp;'WP_B-1'!G9</f>
        <v>WP_B-1 Line 29 Col. (d)</v>
      </c>
      <c r="D113" s="31">
        <f>'WP_B-1'!G38</f>
        <v>30014464.10836827</v>
      </c>
      <c r="E113" s="48" t="s">
        <v>921</v>
      </c>
      <c r="F113" s="86">
        <f>CE</f>
        <v>7.9146557159999992E-2</v>
      </c>
      <c r="G113" s="335">
        <f t="shared" si="8"/>
        <v>2375541.4991797376</v>
      </c>
      <c r="I113" s="315">
        <v>1070801.7907744579</v>
      </c>
      <c r="J113" s="476">
        <f t="shared" si="5"/>
        <v>1304739.7084052798</v>
      </c>
    </row>
    <row r="114" spans="1:10">
      <c r="A114" s="17">
        <f t="shared" si="7"/>
        <v>100</v>
      </c>
      <c r="B114" s="123" t="s">
        <v>1269</v>
      </c>
      <c r="C114" s="20" t="str">
        <f ca="1">'WP_B-4'!U2&amp;" Line "&amp;'WP_B-4'!A25&amp;" Col. "&amp;'WP_B-4'!T9</f>
        <v>WP_B-4 Line 15 Col. Col. (o)</v>
      </c>
      <c r="D114" s="62">
        <f>'WP_B-4'!T25</f>
        <v>96514.680000000008</v>
      </c>
      <c r="E114" s="48" t="s">
        <v>808</v>
      </c>
      <c r="F114" s="88">
        <v>1</v>
      </c>
      <c r="G114" s="62">
        <f>D114*F114</f>
        <v>96514.680000000008</v>
      </c>
      <c r="I114" s="315">
        <v>96513.762018613823</v>
      </c>
      <c r="J114" s="476">
        <f t="shared" si="5"/>
        <v>0.91798138618469238</v>
      </c>
    </row>
    <row r="115" spans="1:10">
      <c r="A115" s="17">
        <f t="shared" si="7"/>
        <v>101</v>
      </c>
      <c r="B115" s="29" t="s">
        <v>696</v>
      </c>
      <c r="C115" s="19" t="str">
        <f>"Sum Lines "&amp;A106&amp;" through "&amp;A114</f>
        <v>Sum Lines 92 through 100</v>
      </c>
      <c r="D115" s="26">
        <f>SUM(D106:D114)</f>
        <v>122194238.14616361</v>
      </c>
      <c r="E115" s="12"/>
      <c r="F115" s="12"/>
      <c r="G115" s="26">
        <f>SUM(G106:G114)</f>
        <v>46691176.524882972</v>
      </c>
      <c r="I115" s="315">
        <v>28449893.47227373</v>
      </c>
      <c r="J115" s="476">
        <f t="shared" si="5"/>
        <v>18241283.052609242</v>
      </c>
    </row>
    <row r="116" spans="1:10">
      <c r="A116" s="17">
        <f t="shared" si="7"/>
        <v>102</v>
      </c>
      <c r="B116" s="29"/>
      <c r="C116" s="20"/>
      <c r="D116" s="26"/>
      <c r="E116" s="12"/>
      <c r="F116" s="12"/>
      <c r="G116" s="26"/>
      <c r="J116" s="476">
        <f t="shared" si="5"/>
        <v>0</v>
      </c>
    </row>
    <row r="117" spans="1:10">
      <c r="A117" s="17">
        <f t="shared" si="7"/>
        <v>103</v>
      </c>
      <c r="B117" s="29" t="s">
        <v>692</v>
      </c>
      <c r="C117" s="340" t="s">
        <v>586</v>
      </c>
      <c r="D117" s="26"/>
      <c r="E117" s="12"/>
      <c r="F117" s="12"/>
      <c r="G117" s="26"/>
      <c r="J117" s="476">
        <f t="shared" si="5"/>
        <v>0</v>
      </c>
    </row>
    <row r="118" spans="1:10">
      <c r="A118" s="17">
        <f t="shared" si="7"/>
        <v>104</v>
      </c>
      <c r="B118" s="29" t="s">
        <v>819</v>
      </c>
      <c r="C118" s="20" t="str">
        <f ca="1">'WP_D-1'!G2&amp;" Line "&amp;'WP_D-1'!A14</f>
        <v>WP_D-1 Line 5</v>
      </c>
      <c r="D118" s="21">
        <f>'WP_D-1'!D14</f>
        <v>13438495.990702413</v>
      </c>
      <c r="E118" s="64" t="s">
        <v>812</v>
      </c>
      <c r="F118" s="86">
        <f>WS</f>
        <v>0.11022</v>
      </c>
      <c r="G118" s="26">
        <f>D118*F118</f>
        <v>1481191.02809522</v>
      </c>
      <c r="I118" s="315">
        <v>1251154.36005</v>
      </c>
      <c r="J118" s="476">
        <f t="shared" si="5"/>
        <v>230036.66804521997</v>
      </c>
    </row>
    <row r="119" spans="1:10">
      <c r="A119" s="17">
        <f t="shared" si="7"/>
        <v>105</v>
      </c>
      <c r="B119" s="29" t="s">
        <v>820</v>
      </c>
      <c r="C119" s="20" t="str">
        <f ca="1">'WP_D-1'!G2&amp;" Line "&amp;'WP_D-1'!A18</f>
        <v>WP_D-1 Line 9</v>
      </c>
      <c r="D119" s="21">
        <f>'WP_D-1'!D18</f>
        <v>148278275.99999997</v>
      </c>
      <c r="E119" s="48" t="s">
        <v>815</v>
      </c>
      <c r="F119" s="86">
        <f>NP</f>
        <v>0.1800617262481837</v>
      </c>
      <c r="G119" s="26">
        <f>D119*F119</f>
        <v>26699242.341664623</v>
      </c>
      <c r="I119" s="315">
        <v>16202067.011973923</v>
      </c>
      <c r="J119" s="476">
        <f t="shared" si="5"/>
        <v>10497175.3296907</v>
      </c>
    </row>
    <row r="120" spans="1:10">
      <c r="A120" s="17">
        <f t="shared" si="7"/>
        <v>106</v>
      </c>
      <c r="B120" s="101" t="s">
        <v>85</v>
      </c>
      <c r="C120" s="20" t="str">
        <f ca="1">'WP_D-1'!G2&amp;" Line "&amp;'WP_D-1'!A21</f>
        <v>WP_D-1 Line 12</v>
      </c>
      <c r="D120" s="62">
        <f>'WP_D-1'!D21</f>
        <v>0</v>
      </c>
      <c r="E120" s="64" t="s">
        <v>806</v>
      </c>
      <c r="F120" s="82">
        <v>0</v>
      </c>
      <c r="G120" s="84">
        <f>D120*F120</f>
        <v>0</v>
      </c>
      <c r="I120" s="315">
        <v>0</v>
      </c>
      <c r="J120" s="476">
        <f t="shared" si="5"/>
        <v>0</v>
      </c>
    </row>
    <row r="121" spans="1:10">
      <c r="A121" s="17">
        <f t="shared" si="7"/>
        <v>107</v>
      </c>
      <c r="B121" s="29" t="s">
        <v>693</v>
      </c>
      <c r="C121" s="19" t="str">
        <f>"Sum Lines "&amp;A118&amp;" through "&amp;A120</f>
        <v>Sum Lines 104 through 106</v>
      </c>
      <c r="D121" s="26">
        <f>SUM(D118:D120)</f>
        <v>161716771.99070239</v>
      </c>
      <c r="E121" s="12"/>
      <c r="F121" s="50"/>
      <c r="G121" s="26">
        <f>SUM(G118:G120)</f>
        <v>28180433.369759843</v>
      </c>
      <c r="I121" s="315">
        <v>17453221.372023921</v>
      </c>
      <c r="J121" s="476">
        <f t="shared" si="5"/>
        <v>10727211.997735921</v>
      </c>
    </row>
    <row r="122" spans="1:10">
      <c r="A122" s="17">
        <f t="shared" si="7"/>
        <v>108</v>
      </c>
      <c r="B122" s="29"/>
      <c r="C122" s="20"/>
      <c r="D122" s="12"/>
      <c r="E122" s="12"/>
      <c r="F122" s="50"/>
      <c r="G122" s="12"/>
      <c r="J122" s="476">
        <f t="shared" si="5"/>
        <v>0</v>
      </c>
    </row>
    <row r="123" spans="1:10">
      <c r="A123" s="17">
        <f t="shared" si="7"/>
        <v>109</v>
      </c>
      <c r="B123" s="29" t="s">
        <v>694</v>
      </c>
      <c r="C123" s="64" t="s">
        <v>587</v>
      </c>
      <c r="D123" s="12"/>
      <c r="E123" s="27"/>
      <c r="F123" s="27"/>
      <c r="G123" s="27"/>
      <c r="J123" s="476">
        <f t="shared" si="5"/>
        <v>0</v>
      </c>
    </row>
    <row r="124" spans="1:10">
      <c r="A124" s="17">
        <f t="shared" si="7"/>
        <v>110</v>
      </c>
      <c r="B124" s="51" t="s">
        <v>821</v>
      </c>
      <c r="C124" s="12"/>
      <c r="D124" s="130">
        <f>ROUND(IF(D226&gt;0,1-(((1-D227)*(1-D226))/(1-D226*D227*D228)),0),4)</f>
        <v>0.38009999999999999</v>
      </c>
      <c r="F124" s="541"/>
      <c r="G124" s="27"/>
      <c r="J124" s="476">
        <f t="shared" si="5"/>
        <v>0</v>
      </c>
    </row>
    <row r="125" spans="1:10">
      <c r="A125" s="17">
        <f t="shared" si="7"/>
        <v>111</v>
      </c>
      <c r="B125" s="32" t="s">
        <v>822</v>
      </c>
      <c r="C125" s="12"/>
      <c r="D125" s="129">
        <f>ROUND(IF(G179&gt;0,(D124/(1-D124))*(1-(G176/G179)),0),4)</f>
        <v>0.44969999999999999</v>
      </c>
      <c r="F125" s="543"/>
      <c r="G125" s="27"/>
      <c r="J125" s="476">
        <f t="shared" si="5"/>
        <v>0</v>
      </c>
    </row>
    <row r="126" spans="1:10">
      <c r="A126" s="17">
        <f t="shared" si="7"/>
        <v>112</v>
      </c>
      <c r="B126" s="19" t="s">
        <v>938</v>
      </c>
      <c r="C126" s="20"/>
      <c r="D126" s="12"/>
      <c r="E126" s="27"/>
      <c r="F126" s="542"/>
      <c r="G126" s="27"/>
      <c r="J126" s="476">
        <f t="shared" si="5"/>
        <v>0</v>
      </c>
    </row>
    <row r="127" spans="1:10">
      <c r="A127" s="17">
        <f t="shared" si="7"/>
        <v>113</v>
      </c>
      <c r="B127" s="19" t="s">
        <v>588</v>
      </c>
      <c r="C127" s="12"/>
      <c r="D127" s="12"/>
      <c r="E127" s="27"/>
      <c r="F127" s="52"/>
      <c r="G127" s="27"/>
      <c r="J127" s="476">
        <f t="shared" si="5"/>
        <v>0</v>
      </c>
    </row>
    <row r="128" spans="1:10">
      <c r="A128" s="17">
        <f t="shared" si="7"/>
        <v>114</v>
      </c>
      <c r="B128" s="39" t="s">
        <v>939</v>
      </c>
      <c r="C128" s="12"/>
      <c r="D128" s="583">
        <f>ROUND(IF(D124&gt;0,1/(1-D124),0),4)</f>
        <v>1.6132</v>
      </c>
      <c r="E128" s="26"/>
      <c r="F128" s="40"/>
      <c r="G128" s="26"/>
      <c r="J128" s="476">
        <f t="shared" si="5"/>
        <v>0</v>
      </c>
    </row>
    <row r="129" spans="1:11">
      <c r="A129" s="17">
        <f t="shared" si="7"/>
        <v>115</v>
      </c>
      <c r="B129" s="29" t="s">
        <v>864</v>
      </c>
      <c r="C129" s="20" t="s">
        <v>1345</v>
      </c>
      <c r="D129" s="238">
        <v>-2283792</v>
      </c>
      <c r="E129" s="26"/>
      <c r="F129" s="40"/>
      <c r="G129" s="40"/>
      <c r="J129" s="476">
        <f t="shared" si="5"/>
        <v>0</v>
      </c>
    </row>
    <row r="130" spans="1:11">
      <c r="A130" s="17">
        <f t="shared" si="7"/>
        <v>116</v>
      </c>
      <c r="B130" s="29"/>
      <c r="C130" s="12"/>
      <c r="D130" s="26"/>
      <c r="E130" s="26"/>
      <c r="F130" s="40"/>
      <c r="G130" s="26"/>
      <c r="J130" s="476">
        <f t="shared" si="5"/>
        <v>0</v>
      </c>
    </row>
    <row r="131" spans="1:11">
      <c r="A131" s="17">
        <f t="shared" si="7"/>
        <v>117</v>
      </c>
      <c r="B131" s="51" t="s">
        <v>823</v>
      </c>
      <c r="C131" s="307" t="str">
        <f>"Line "&amp;A76&amp;" times Line "&amp;A125</f>
        <v>Line 68 times Line 111</v>
      </c>
      <c r="D131" s="26">
        <f>ROUND(D76*D125,0)</f>
        <v>244128732</v>
      </c>
      <c r="E131" s="26"/>
      <c r="F131" s="26"/>
      <c r="G131" s="26">
        <f>ROUND(G76*D125,0)</f>
        <v>43424922</v>
      </c>
      <c r="I131" s="315">
        <v>31871918</v>
      </c>
      <c r="J131" s="476">
        <f t="shared" si="5"/>
        <v>11553004</v>
      </c>
    </row>
    <row r="132" spans="1:11">
      <c r="A132" s="17">
        <f t="shared" si="7"/>
        <v>118</v>
      </c>
      <c r="B132" s="32" t="s">
        <v>785</v>
      </c>
      <c r="C132" s="307" t="str">
        <f>"Line "&amp;A128&amp;" times Line "&amp;A129</f>
        <v>Line 114 times Line 115</v>
      </c>
      <c r="D132" s="84">
        <f>ROUND(D128*D129,0)</f>
        <v>-3684213</v>
      </c>
      <c r="E132" s="40" t="s">
        <v>815</v>
      </c>
      <c r="F132" s="82">
        <f>NP</f>
        <v>0.1800617262481837</v>
      </c>
      <c r="G132" s="84">
        <f>D132*F132</f>
        <v>-663385.75264599966</v>
      </c>
      <c r="I132" s="315">
        <v>-680279.30877631519</v>
      </c>
      <c r="J132" s="476">
        <f t="shared" si="5"/>
        <v>16893.556130315526</v>
      </c>
    </row>
    <row r="133" spans="1:11">
      <c r="A133" s="17">
        <f t="shared" si="7"/>
        <v>119</v>
      </c>
      <c r="B133" s="51" t="s">
        <v>695</v>
      </c>
      <c r="C133" s="19" t="str">
        <f>"Sum Lines "&amp;A131&amp;" through "&amp;A132</f>
        <v>Sum Lines 117 through 118</v>
      </c>
      <c r="D133" s="54">
        <f>SUM(D131:D132)</f>
        <v>240444519</v>
      </c>
      <c r="E133" s="26" t="s">
        <v>793</v>
      </c>
      <c r="F133" s="26" t="s">
        <v>793</v>
      </c>
      <c r="G133" s="54">
        <f>SUM(G131:G132)</f>
        <v>42761536.247354001</v>
      </c>
      <c r="I133" s="315">
        <v>31191638.691223685</v>
      </c>
      <c r="J133" s="476">
        <f t="shared" si="5"/>
        <v>11569897.556130316</v>
      </c>
    </row>
    <row r="134" spans="1:11">
      <c r="A134" s="17">
        <f t="shared" si="7"/>
        <v>120</v>
      </c>
      <c r="B134" s="32"/>
      <c r="C134" s="55"/>
      <c r="D134" s="26"/>
      <c r="E134" s="26"/>
      <c r="F134" s="26"/>
      <c r="G134" s="26"/>
      <c r="J134" s="476">
        <f t="shared" si="5"/>
        <v>0</v>
      </c>
    </row>
    <row r="135" spans="1:11">
      <c r="A135" s="17">
        <f t="shared" si="7"/>
        <v>121</v>
      </c>
      <c r="B135" s="51"/>
      <c r="C135" s="27"/>
      <c r="D135" s="26"/>
      <c r="E135" s="26"/>
      <c r="F135" s="40"/>
      <c r="G135" s="26"/>
      <c r="J135" s="476">
        <f t="shared" si="5"/>
        <v>0</v>
      </c>
    </row>
    <row r="136" spans="1:11">
      <c r="A136" s="17">
        <f t="shared" si="7"/>
        <v>122</v>
      </c>
      <c r="B136" s="72" t="s">
        <v>776</v>
      </c>
      <c r="C136" s="74" t="s">
        <v>589</v>
      </c>
      <c r="J136" s="476">
        <f t="shared" si="5"/>
        <v>0</v>
      </c>
    </row>
    <row r="137" spans="1:11">
      <c r="A137" s="17">
        <f t="shared" si="7"/>
        <v>123</v>
      </c>
      <c r="B137" s="313" t="s">
        <v>210</v>
      </c>
      <c r="C137" s="313" t="str">
        <f ca="1">'WP_E-1'!F2&amp;" Line "&amp;'WP_E-1'!A13</f>
        <v>WP_E-1 Line 4</v>
      </c>
      <c r="D137" s="168">
        <f>'WP_E-1'!F13</f>
        <v>3497395</v>
      </c>
      <c r="E137" s="74" t="s">
        <v>808</v>
      </c>
      <c r="F137" s="92">
        <v>1</v>
      </c>
      <c r="G137" s="93">
        <f>D137*F137</f>
        <v>3497395</v>
      </c>
      <c r="I137" s="315">
        <v>2646752.69</v>
      </c>
      <c r="J137" s="476">
        <f t="shared" si="5"/>
        <v>850642.31</v>
      </c>
    </row>
    <row r="138" spans="1:11">
      <c r="A138" s="17">
        <f t="shared" si="7"/>
        <v>124</v>
      </c>
      <c r="B138" s="313" t="s">
        <v>518</v>
      </c>
      <c r="C138" s="313" t="str">
        <f ca="1">'WP_E-1'!F2&amp;" Line "&amp;'WP_E-1'!A18</f>
        <v>WP_E-1 Line 9</v>
      </c>
      <c r="D138" s="168">
        <f>'WP_E-1'!F18</f>
        <v>0</v>
      </c>
      <c r="E138" s="74" t="s">
        <v>657</v>
      </c>
      <c r="F138" s="287">
        <f>WS</f>
        <v>0.11022</v>
      </c>
      <c r="G138" s="93">
        <f>D138*F138</f>
        <v>0</v>
      </c>
      <c r="I138" s="315">
        <v>95462.262699999992</v>
      </c>
      <c r="J138" s="476">
        <f t="shared" si="5"/>
        <v>-95462.262699999992</v>
      </c>
    </row>
    <row r="139" spans="1:11">
      <c r="A139" s="75">
        <f t="shared" si="7"/>
        <v>125</v>
      </c>
      <c r="B139" s="313" t="s">
        <v>91</v>
      </c>
      <c r="C139" s="313" t="str">
        <f ca="1">'WP_F-1'!R2&amp;" Line "&amp;'WP_F-1'!A54&amp;" Col. (b)"</f>
        <v>WP_F-1 Line 42 Col. (b)</v>
      </c>
      <c r="D139" s="168">
        <f>'WP_F-1'!F54</f>
        <v>2235032</v>
      </c>
      <c r="E139" s="420" t="s">
        <v>808</v>
      </c>
      <c r="F139" s="679">
        <v>1</v>
      </c>
      <c r="G139" s="635">
        <f>D139*F139</f>
        <v>2235032</v>
      </c>
      <c r="I139" s="315">
        <v>2274144.7773793004</v>
      </c>
      <c r="J139" s="476">
        <f t="shared" ref="J139:J144" si="9">G139-I139</f>
        <v>-39112.777379300445</v>
      </c>
    </row>
    <row r="140" spans="1:11">
      <c r="A140" s="75">
        <f t="shared" si="7"/>
        <v>126</v>
      </c>
      <c r="B140" s="313" t="s">
        <v>91</v>
      </c>
      <c r="C140" s="313" t="str">
        <f ca="1">'WP_F-1'!R2&amp;" Line "&amp;'WP_F-1'!A54&amp;" Col. (c)"</f>
        <v>WP_F-1 Line 42 Col. (c)</v>
      </c>
      <c r="D140" s="169">
        <f>'WP_F-1'!G54</f>
        <v>224400</v>
      </c>
      <c r="E140" s="420" t="s">
        <v>808</v>
      </c>
      <c r="F140" s="679">
        <v>1</v>
      </c>
      <c r="G140" s="680">
        <f>D140*F140</f>
        <v>224400</v>
      </c>
      <c r="I140" s="315">
        <v>2846434.3560364451</v>
      </c>
      <c r="J140" s="476">
        <f t="shared" si="9"/>
        <v>-2622034.3560364451</v>
      </c>
    </row>
    <row r="141" spans="1:11">
      <c r="A141" s="75">
        <f t="shared" si="7"/>
        <v>127</v>
      </c>
      <c r="B141" s="584" t="s">
        <v>335</v>
      </c>
      <c r="C141" s="313" t="s">
        <v>1224</v>
      </c>
      <c r="D141" s="238">
        <v>726905</v>
      </c>
      <c r="E141" s="420" t="s">
        <v>808</v>
      </c>
      <c r="F141" s="679">
        <v>1</v>
      </c>
      <c r="G141" s="681">
        <f>D141*F141</f>
        <v>726905</v>
      </c>
      <c r="I141" s="315">
        <v>726905</v>
      </c>
      <c r="J141" s="476">
        <f t="shared" si="9"/>
        <v>0</v>
      </c>
    </row>
    <row r="142" spans="1:11">
      <c r="A142" s="17">
        <f t="shared" si="7"/>
        <v>128</v>
      </c>
      <c r="B142" s="72" t="s">
        <v>797</v>
      </c>
      <c r="C142" s="19"/>
      <c r="D142" s="93">
        <f>SUM(D137:D141)</f>
        <v>6683732</v>
      </c>
      <c r="G142" s="93">
        <f>SUM(G137:G141)</f>
        <v>6683732</v>
      </c>
      <c r="I142" s="315">
        <v>8589699.0861157458</v>
      </c>
      <c r="J142" s="476">
        <f t="shared" si="9"/>
        <v>-1905967.0861157458</v>
      </c>
    </row>
    <row r="143" spans="1:11" ht="13.5" thickBot="1">
      <c r="A143" s="17">
        <f t="shared" si="7"/>
        <v>129</v>
      </c>
      <c r="B143" s="29"/>
      <c r="C143" s="27"/>
      <c r="D143" s="36"/>
      <c r="E143" s="26"/>
      <c r="F143" s="40"/>
      <c r="G143" s="36"/>
      <c r="J143" s="476">
        <f t="shared" si="9"/>
        <v>0</v>
      </c>
    </row>
    <row r="144" spans="1:11" ht="13.5" thickBot="1">
      <c r="A144" s="17">
        <f t="shared" si="7"/>
        <v>130</v>
      </c>
      <c r="B144" s="5" t="s">
        <v>195</v>
      </c>
      <c r="C144" s="56"/>
      <c r="D144" s="319">
        <f>D76+D102+D115+D121+D133-D142</f>
        <v>1246262612.7874947</v>
      </c>
      <c r="E144" s="26"/>
      <c r="F144" s="26"/>
      <c r="G144" s="540">
        <f>G76+G102+G115+G121+G133-G142</f>
        <v>254444613.7395502</v>
      </c>
      <c r="I144" s="315">
        <v>179770304.44028792</v>
      </c>
      <c r="J144" s="476">
        <f t="shared" si="9"/>
        <v>74674309.299262285</v>
      </c>
      <c r="K144" s="288"/>
    </row>
    <row r="145" spans="1:11" ht="13.5" thickTop="1">
      <c r="A145" s="17"/>
      <c r="B145" s="5"/>
      <c r="C145" s="56"/>
      <c r="D145" s="36"/>
      <c r="E145" s="26"/>
      <c r="F145" s="26"/>
      <c r="G145" s="36"/>
      <c r="K145" s="288"/>
    </row>
    <row r="146" spans="1:11">
      <c r="A146" s="17"/>
      <c r="B146" s="5"/>
      <c r="C146" s="56"/>
      <c r="D146" s="36"/>
      <c r="E146" s="26"/>
      <c r="F146" s="26"/>
      <c r="G146" s="36"/>
    </row>
    <row r="147" spans="1:11">
      <c r="A147" s="17"/>
      <c r="B147" s="5"/>
      <c r="C147" s="56"/>
      <c r="D147" s="36"/>
      <c r="E147" s="26"/>
      <c r="F147" s="26"/>
      <c r="G147" s="36"/>
    </row>
    <row r="148" spans="1:11">
      <c r="A148" s="17"/>
      <c r="B148" s="14"/>
      <c r="C148" s="8"/>
      <c r="D148" s="12"/>
      <c r="E148" s="12"/>
      <c r="F148" s="17"/>
      <c r="G148" s="42" t="s">
        <v>795</v>
      </c>
    </row>
    <row r="149" spans="1:11">
      <c r="A149" s="85" t="s">
        <v>868</v>
      </c>
      <c r="B149" s="674" t="s">
        <v>781</v>
      </c>
      <c r="C149" s="675" t="s">
        <v>875</v>
      </c>
      <c r="D149" s="678" t="s">
        <v>795</v>
      </c>
      <c r="E149" s="1207" t="s">
        <v>1316</v>
      </c>
      <c r="F149" s="1208"/>
      <c r="G149" s="678" t="s">
        <v>794</v>
      </c>
    </row>
    <row r="150" spans="1:11">
      <c r="B150" s="75" t="s">
        <v>357</v>
      </c>
      <c r="C150" s="75" t="s">
        <v>358</v>
      </c>
      <c r="D150" s="75" t="s">
        <v>359</v>
      </c>
      <c r="E150" s="1209" t="s">
        <v>360</v>
      </c>
      <c r="F150" s="1210"/>
      <c r="G150" s="676" t="s">
        <v>361</v>
      </c>
    </row>
    <row r="151" spans="1:11">
      <c r="B151" s="9"/>
      <c r="C151" s="8"/>
      <c r="D151" s="8"/>
      <c r="E151" s="8"/>
      <c r="F151" s="8"/>
      <c r="G151" s="8"/>
    </row>
    <row r="152" spans="1:11">
      <c r="A152" s="17">
        <f>A144+1</f>
        <v>131</v>
      </c>
      <c r="B152" s="25" t="s">
        <v>551</v>
      </c>
      <c r="C152" s="75" t="s">
        <v>1093</v>
      </c>
      <c r="D152" s="37"/>
      <c r="E152" s="37"/>
      <c r="F152" s="37"/>
      <c r="G152" s="27"/>
    </row>
    <row r="153" spans="1:11">
      <c r="A153" s="17">
        <f>A152+1</f>
        <v>132</v>
      </c>
      <c r="B153" s="37" t="s">
        <v>552</v>
      </c>
      <c r="C153" s="584" t="str">
        <f ca="1">'WP_B-1'!G2&amp;" Col. (a), Line "&amp;'WP_B-1'!A12</f>
        <v>WP_B-1 Col. (a), Line 3</v>
      </c>
      <c r="D153" s="585"/>
      <c r="E153" s="58"/>
      <c r="F153" s="58"/>
      <c r="G153" s="21">
        <f>'WP_B-1'!D12</f>
        <v>2295830431.4976931</v>
      </c>
    </row>
    <row r="154" spans="1:11">
      <c r="A154" s="17">
        <f>A153+1</f>
        <v>133</v>
      </c>
      <c r="B154" s="37" t="s">
        <v>885</v>
      </c>
      <c r="C154" s="584" t="str">
        <f ca="1">'WP_B-4'!U2&amp;" Col. (c), Line "&amp;'WP_B-4'!A25</f>
        <v>WP_B-4 Col. (c), Line 15</v>
      </c>
      <c r="D154" s="585"/>
      <c r="E154" s="58"/>
      <c r="F154" s="58"/>
      <c r="G154" s="62">
        <f>'WP_B-4'!E25</f>
        <v>5308256.9099999983</v>
      </c>
    </row>
    <row r="155" spans="1:11">
      <c r="A155" s="17">
        <f t="shared" ref="A155:A161" si="10">A154+1</f>
        <v>134</v>
      </c>
      <c r="B155" s="37" t="s">
        <v>553</v>
      </c>
      <c r="C155" s="19" t="str">
        <f>"Sum Lines "&amp;A152&amp;" through "&amp;A153</f>
        <v>Sum Lines 131 through 132</v>
      </c>
      <c r="D155" s="585"/>
      <c r="E155" s="58"/>
      <c r="F155" s="58"/>
      <c r="G155" s="21">
        <f>SUM(G153:G154)</f>
        <v>2301138688.4076929</v>
      </c>
    </row>
    <row r="156" spans="1:11">
      <c r="A156" s="17">
        <f t="shared" si="10"/>
        <v>135</v>
      </c>
      <c r="B156" s="37" t="s">
        <v>1236</v>
      </c>
      <c r="C156" s="20" t="str">
        <f>'WP_B-Inputs Est.'!L2&amp;" Line "&amp;'WP_B-Inputs Est.'!A129</f>
        <v>WP_B-Inputs Est. Line 119</v>
      </c>
      <c r="D156" s="59"/>
      <c r="E156" s="34"/>
      <c r="F156" s="34"/>
      <c r="G156" s="62">
        <f>-'WP_B-Inputs Est.'!C129</f>
        <v>-102646084.35615388</v>
      </c>
    </row>
    <row r="157" spans="1:11">
      <c r="A157" s="17">
        <f t="shared" si="10"/>
        <v>136</v>
      </c>
      <c r="B157" s="37" t="s">
        <v>690</v>
      </c>
      <c r="C157" s="19" t="str">
        <f>"Sum Lines "&amp;A154&amp;" through "&amp;A155</f>
        <v>Sum Lines 133 through 134</v>
      </c>
      <c r="D157" s="585"/>
      <c r="E157" s="58"/>
      <c r="F157" s="18"/>
      <c r="G157" s="21">
        <f>SUM(G155:G156)</f>
        <v>2198492604.0515389</v>
      </c>
      <c r="H157" s="124"/>
    </row>
    <row r="158" spans="1:11">
      <c r="A158" s="17">
        <f t="shared" si="10"/>
        <v>137</v>
      </c>
      <c r="B158" s="37" t="s">
        <v>560</v>
      </c>
      <c r="C158" s="308" t="str">
        <f>"Line "&amp;A157&amp;" divided by Line "&amp;A155</f>
        <v>Line 136 divided by Line 134</v>
      </c>
      <c r="D158" s="7"/>
      <c r="E158" s="60"/>
      <c r="F158" s="95" t="s">
        <v>824</v>
      </c>
      <c r="G158" s="94">
        <f>IF(G157=0,0,ROUND(G157/SUM(G155),5))</f>
        <v>0.95538999999999996</v>
      </c>
    </row>
    <row r="159" spans="1:11">
      <c r="A159" s="17">
        <f t="shared" si="10"/>
        <v>138</v>
      </c>
      <c r="B159" s="61"/>
      <c r="C159" s="37"/>
      <c r="D159" s="37"/>
      <c r="E159" s="37"/>
      <c r="F159" s="37"/>
      <c r="G159" s="8"/>
    </row>
    <row r="160" spans="1:11">
      <c r="A160" s="17">
        <f t="shared" si="10"/>
        <v>139</v>
      </c>
      <c r="B160" s="5" t="s">
        <v>783</v>
      </c>
      <c r="C160" s="306"/>
      <c r="D160" s="12"/>
      <c r="E160" s="12"/>
      <c r="F160" s="12"/>
      <c r="G160" s="12"/>
    </row>
    <row r="161" spans="1:7">
      <c r="A161" s="17">
        <f t="shared" si="10"/>
        <v>140</v>
      </c>
      <c r="B161" s="5" t="s">
        <v>805</v>
      </c>
      <c r="C161" s="20" t="s">
        <v>1393</v>
      </c>
      <c r="D161" s="238">
        <v>71260423</v>
      </c>
      <c r="E161" s="64" t="s">
        <v>806</v>
      </c>
      <c r="F161" s="82">
        <v>0</v>
      </c>
      <c r="G161" s="26">
        <f>D161*F161</f>
        <v>0</v>
      </c>
    </row>
    <row r="162" spans="1:7">
      <c r="A162" s="17">
        <f t="shared" ref="A162:A192" si="11">A161+1</f>
        <v>141</v>
      </c>
      <c r="B162" s="29" t="s">
        <v>807</v>
      </c>
      <c r="C162" s="20" t="str">
        <f ca="1">'WP_C-1'!M2&amp;" Line "&amp;'WP_C-1'!A41&amp;" Col. (b)"</f>
        <v>WP_C-1 Line 31 Col. (b)</v>
      </c>
      <c r="D162" s="290">
        <f>'WP_C-1'!G41</f>
        <v>16489254.252255015</v>
      </c>
      <c r="E162" s="75" t="s">
        <v>796</v>
      </c>
      <c r="F162" s="88">
        <f>TP</f>
        <v>0.95538999999999996</v>
      </c>
      <c r="G162" s="26">
        <f>D162*F162</f>
        <v>15753668.620061919</v>
      </c>
    </row>
    <row r="163" spans="1:7">
      <c r="A163" s="17">
        <f t="shared" si="11"/>
        <v>142</v>
      </c>
      <c r="B163" s="29" t="s">
        <v>866</v>
      </c>
      <c r="C163" s="20" t="s">
        <v>1393</v>
      </c>
      <c r="D163" s="238">
        <v>302631</v>
      </c>
      <c r="E163" s="75" t="s">
        <v>806</v>
      </c>
      <c r="F163" s="82">
        <v>0</v>
      </c>
      <c r="G163" s="26">
        <f>D163*F163</f>
        <v>0</v>
      </c>
    </row>
    <row r="164" spans="1:7">
      <c r="A164" s="17">
        <f t="shared" si="11"/>
        <v>143</v>
      </c>
      <c r="B164" s="29" t="s">
        <v>810</v>
      </c>
      <c r="C164" s="20" t="s">
        <v>1393</v>
      </c>
      <c r="D164" s="238">
        <v>41006893</v>
      </c>
      <c r="E164" s="64" t="s">
        <v>806</v>
      </c>
      <c r="F164" s="82">
        <v>0</v>
      </c>
      <c r="G164" s="26">
        <f>D164*F164</f>
        <v>0</v>
      </c>
    </row>
    <row r="165" spans="1:7">
      <c r="A165" s="17">
        <f t="shared" si="11"/>
        <v>144</v>
      </c>
      <c r="B165" s="29" t="s">
        <v>826</v>
      </c>
      <c r="C165" s="20" t="s">
        <v>1393</v>
      </c>
      <c r="D165" s="289">
        <v>13865684</v>
      </c>
      <c r="E165" s="64" t="s">
        <v>806</v>
      </c>
      <c r="F165" s="82">
        <v>0</v>
      </c>
      <c r="G165" s="84">
        <f>D165*F165</f>
        <v>0</v>
      </c>
    </row>
    <row r="166" spans="1:7">
      <c r="A166" s="17">
        <f t="shared" si="11"/>
        <v>145</v>
      </c>
      <c r="B166" s="19" t="s">
        <v>795</v>
      </c>
      <c r="C166" s="19" t="str">
        <f>"Sum Lines "&amp;A161&amp;" through "&amp;A165</f>
        <v>Sum Lines 140 through 144</v>
      </c>
      <c r="D166" s="26">
        <f>SUM(D161:D165)</f>
        <v>142924885.25225502</v>
      </c>
      <c r="E166" s="12"/>
      <c r="F166" s="12"/>
      <c r="G166" s="26">
        <f>SUM(G161:G165)</f>
        <v>15753668.620061919</v>
      </c>
    </row>
    <row r="167" spans="1:7">
      <c r="A167" s="17">
        <f t="shared" si="11"/>
        <v>146</v>
      </c>
      <c r="B167" s="29" t="s">
        <v>793</v>
      </c>
      <c r="C167" s="12" t="s">
        <v>793</v>
      </c>
      <c r="D167" s="27"/>
      <c r="E167" s="7"/>
      <c r="F167" s="7"/>
      <c r="G167" s="7"/>
    </row>
    <row r="168" spans="1:7">
      <c r="A168" s="17">
        <f t="shared" si="11"/>
        <v>147</v>
      </c>
      <c r="B168" s="29" t="s">
        <v>791</v>
      </c>
      <c r="C168" s="12" t="str">
        <f>"Line "&amp;A166&amp;", Col. "&amp;G150&amp;" divided by Col. "&amp;D150</f>
        <v>Line 145, Col. Col. (5) divided by Col. Col. (3)</v>
      </c>
      <c r="D168" s="27"/>
      <c r="E168" s="7"/>
      <c r="F168" s="63" t="s">
        <v>784</v>
      </c>
      <c r="G168" s="96">
        <f>IF(G166=0,0,ROUND(G166/D166,5))</f>
        <v>0.11022</v>
      </c>
    </row>
    <row r="169" spans="1:7">
      <c r="A169" s="17">
        <f t="shared" si="11"/>
        <v>148</v>
      </c>
      <c r="B169" s="29"/>
      <c r="C169" s="12"/>
      <c r="D169" s="27"/>
      <c r="E169" s="7"/>
      <c r="F169" s="63"/>
      <c r="G169" s="96"/>
    </row>
    <row r="170" spans="1:7">
      <c r="A170" s="17">
        <f t="shared" si="11"/>
        <v>149</v>
      </c>
      <c r="B170" s="12" t="s">
        <v>942</v>
      </c>
      <c r="C170" s="12" t="s">
        <v>929</v>
      </c>
      <c r="D170" s="27"/>
      <c r="E170" s="7"/>
      <c r="F170" s="63"/>
      <c r="G170" s="768">
        <v>0.71807799999999999</v>
      </c>
    </row>
    <row r="171" spans="1:7">
      <c r="A171" s="17">
        <f t="shared" si="11"/>
        <v>150</v>
      </c>
      <c r="B171" s="29"/>
      <c r="C171" s="29" t="str">
        <f>"W/S Allocator, Line "&amp;A168</f>
        <v>W/S Allocator, Line 147</v>
      </c>
      <c r="D171" s="27"/>
      <c r="E171" s="7"/>
      <c r="F171" s="63"/>
      <c r="G171" s="125">
        <f>WS</f>
        <v>0.11022</v>
      </c>
    </row>
    <row r="172" spans="1:7">
      <c r="A172" s="17">
        <f t="shared" si="11"/>
        <v>151</v>
      </c>
      <c r="B172" s="12"/>
      <c r="C172" s="72" t="str">
        <f>"Line "&amp;A170&amp;" times Line "&amp;A171</f>
        <v>Line 149 times Line 150</v>
      </c>
      <c r="D172" s="27"/>
      <c r="E172" s="7"/>
      <c r="F172" s="63" t="s">
        <v>922</v>
      </c>
      <c r="G172" s="96">
        <f>G170*G171</f>
        <v>7.9146557159999992E-2</v>
      </c>
    </row>
    <row r="173" spans="1:7">
      <c r="A173" s="17">
        <f t="shared" si="11"/>
        <v>152</v>
      </c>
      <c r="B173" s="29"/>
      <c r="C173" s="12"/>
      <c r="D173" s="12"/>
      <c r="E173" s="12"/>
      <c r="F173" s="12"/>
      <c r="G173" s="12"/>
    </row>
    <row r="174" spans="1:7">
      <c r="A174" s="17">
        <f t="shared" si="11"/>
        <v>153</v>
      </c>
      <c r="C174" s="12"/>
      <c r="D174" s="12"/>
      <c r="E174" s="12"/>
      <c r="F174" s="64"/>
      <c r="G174" s="12"/>
    </row>
    <row r="175" spans="1:7">
      <c r="A175" s="17">
        <f t="shared" si="11"/>
        <v>154</v>
      </c>
      <c r="B175" s="29" t="s">
        <v>1189</v>
      </c>
      <c r="C175" s="64" t="s">
        <v>1188</v>
      </c>
      <c r="D175" s="127" t="s">
        <v>825</v>
      </c>
      <c r="E175" s="127" t="s">
        <v>828</v>
      </c>
      <c r="F175" s="128" t="s">
        <v>827</v>
      </c>
      <c r="G175" s="127" t="s">
        <v>829</v>
      </c>
    </row>
    <row r="176" spans="1:7">
      <c r="A176" s="17">
        <f t="shared" si="11"/>
        <v>155</v>
      </c>
      <c r="B176" s="20" t="s">
        <v>686</v>
      </c>
      <c r="C176" s="20" t="str">
        <f ca="1">'WP_G-1'!Q2&amp;" Col (n), Line "&amp;'WP_G-1'!A16</f>
        <v>WP_G-1 Col (n), Line 6</v>
      </c>
      <c r="D176" s="21">
        <f>'WP_G-1'!Q16</f>
        <v>4734615384.6153851</v>
      </c>
      <c r="E176" s="81">
        <f>IF(D179=0,0,ROUND(D176/$D$179,4))</f>
        <v>0.4456</v>
      </c>
      <c r="F176" s="81">
        <f>'WP_G-1'!P37</f>
        <v>4.3975402242079603E-2</v>
      </c>
      <c r="G176" s="65">
        <f>ROUND(E176*F176,4)</f>
        <v>1.9599999999999999E-2</v>
      </c>
    </row>
    <row r="177" spans="1:7">
      <c r="A177" s="17">
        <f t="shared" si="11"/>
        <v>156</v>
      </c>
      <c r="B177" s="20" t="s">
        <v>665</v>
      </c>
      <c r="C177" s="33" t="str">
        <f ca="1">'WP_G-1'!Q2&amp;" Col (n), Line "&amp;'WP_G-1'!A18</f>
        <v>WP_G-1 Col (n), Line 8</v>
      </c>
      <c r="D177" s="21">
        <f>'WP_G-1'!Q18</f>
        <v>0</v>
      </c>
      <c r="E177" s="81">
        <f>IF(D179=0,0,ROUND(D177/$D$179,4))</f>
        <v>0</v>
      </c>
      <c r="F177" s="81">
        <v>0</v>
      </c>
      <c r="G177" s="65">
        <f>ROUND(E177*F177,4)</f>
        <v>0</v>
      </c>
    </row>
    <row r="178" spans="1:7">
      <c r="A178" s="17">
        <f t="shared" si="11"/>
        <v>157</v>
      </c>
      <c r="B178" s="20" t="s">
        <v>687</v>
      </c>
      <c r="C178" s="33" t="str">
        <f ca="1">'WP_G-1'!Q2&amp;" Col (n), Line "&amp;'WP_G-1'!A24</f>
        <v>WP_G-1 Col (n), Line 14</v>
      </c>
      <c r="D178" s="62">
        <f>'WP_G-1'!Q24</f>
        <v>5890759676.9051313</v>
      </c>
      <c r="E178" s="81">
        <f>IF(D179=0,0,ROUND(D178/$D$179,4))</f>
        <v>0.5544</v>
      </c>
      <c r="F178" s="81">
        <v>9.7199999999999995E-2</v>
      </c>
      <c r="G178" s="126">
        <f>ROUND(E178*F178,4)</f>
        <v>5.3900000000000003E-2</v>
      </c>
    </row>
    <row r="179" spans="1:7">
      <c r="A179" s="17">
        <f t="shared" si="11"/>
        <v>158</v>
      </c>
      <c r="B179" s="19" t="s">
        <v>688</v>
      </c>
      <c r="C179" s="19" t="str">
        <f>"Sum Lines "&amp;A176&amp;" through "&amp;A178</f>
        <v>Sum Lines 155 through 157</v>
      </c>
      <c r="D179" s="21">
        <f>SUM(D176:D178)</f>
        <v>10625375061.520515</v>
      </c>
      <c r="E179" s="20"/>
      <c r="F179" s="66" t="s">
        <v>1410</v>
      </c>
      <c r="G179" s="67">
        <f>SUM(G176:G178)</f>
        <v>7.350000000000001E-2</v>
      </c>
    </row>
    <row r="180" spans="1:7">
      <c r="A180" s="17">
        <f t="shared" si="11"/>
        <v>159</v>
      </c>
      <c r="B180" s="14"/>
      <c r="C180" s="8"/>
      <c r="D180" s="15"/>
      <c r="E180" s="8"/>
      <c r="F180" s="8"/>
      <c r="G180" s="7"/>
    </row>
    <row r="181" spans="1:7">
      <c r="A181" s="17">
        <f t="shared" si="11"/>
        <v>160</v>
      </c>
      <c r="C181" s="8"/>
      <c r="D181" s="13"/>
      <c r="E181" s="8"/>
      <c r="F181" s="8"/>
      <c r="G181" s="232"/>
    </row>
    <row r="182" spans="1:7">
      <c r="A182" s="17">
        <f t="shared" si="11"/>
        <v>161</v>
      </c>
      <c r="B182" s="8" t="s">
        <v>1409</v>
      </c>
      <c r="C182" s="8"/>
      <c r="D182" s="743" t="s">
        <v>1736</v>
      </c>
      <c r="E182" s="8"/>
      <c r="G182" s="233"/>
    </row>
    <row r="183" spans="1:7">
      <c r="A183" s="17">
        <f t="shared" si="11"/>
        <v>162</v>
      </c>
      <c r="B183" s="229"/>
      <c r="C183" s="8"/>
      <c r="D183" s="15"/>
      <c r="E183" s="8"/>
      <c r="G183" s="234"/>
    </row>
    <row r="184" spans="1:7">
      <c r="A184" s="17">
        <f t="shared" si="11"/>
        <v>163</v>
      </c>
      <c r="B184" s="229" t="s">
        <v>1400</v>
      </c>
      <c r="C184" s="8" t="s">
        <v>563</v>
      </c>
      <c r="D184" s="226">
        <v>12401986380</v>
      </c>
      <c r="E184" s="8"/>
      <c r="G184" s="235"/>
    </row>
    <row r="185" spans="1:7">
      <c r="A185" s="17">
        <f t="shared" si="11"/>
        <v>164</v>
      </c>
      <c r="B185" s="229" t="s">
        <v>1401</v>
      </c>
      <c r="C185" s="586">
        <v>356</v>
      </c>
      <c r="D185" s="226">
        <v>547833465</v>
      </c>
      <c r="E185" s="8"/>
      <c r="G185" s="235"/>
    </row>
    <row r="186" spans="1:7">
      <c r="A186" s="17">
        <f t="shared" si="11"/>
        <v>165</v>
      </c>
      <c r="B186" s="229" t="s">
        <v>1402</v>
      </c>
      <c r="C186" s="8" t="s">
        <v>564</v>
      </c>
      <c r="D186" s="226">
        <v>26270332</v>
      </c>
      <c r="E186" s="8"/>
      <c r="G186" s="235"/>
    </row>
    <row r="187" spans="1:7">
      <c r="A187" s="17">
        <f t="shared" si="11"/>
        <v>166</v>
      </c>
      <c r="B187" s="229" t="s">
        <v>1403</v>
      </c>
      <c r="C187" s="8" t="s">
        <v>565</v>
      </c>
      <c r="D187" s="226">
        <v>265209821</v>
      </c>
      <c r="E187" s="8"/>
      <c r="G187" s="235"/>
    </row>
    <row r="188" spans="1:7">
      <c r="A188" s="17">
        <f t="shared" si="11"/>
        <v>167</v>
      </c>
      <c r="B188" s="229" t="s">
        <v>1405</v>
      </c>
      <c r="C188" s="586">
        <v>356</v>
      </c>
      <c r="D188" s="227">
        <v>92624754</v>
      </c>
      <c r="E188" s="8"/>
      <c r="G188" s="235"/>
    </row>
    <row r="189" spans="1:7">
      <c r="A189" s="17">
        <f t="shared" si="11"/>
        <v>168</v>
      </c>
      <c r="B189" s="229" t="s">
        <v>1406</v>
      </c>
      <c r="C189" s="19" t="str">
        <f>"Sum Lines "&amp;A184&amp;" through "&amp;A188</f>
        <v>Sum Lines 163 through 167</v>
      </c>
      <c r="D189" s="225">
        <f>SUM(D184:D188)</f>
        <v>13333924752</v>
      </c>
      <c r="E189" s="8"/>
      <c r="G189" s="235"/>
    </row>
    <row r="190" spans="1:7">
      <c r="A190" s="17">
        <f t="shared" si="11"/>
        <v>169</v>
      </c>
      <c r="B190" s="229" t="s">
        <v>1407</v>
      </c>
      <c r="C190" s="228" t="s">
        <v>933</v>
      </c>
      <c r="D190" s="226">
        <v>17650346661</v>
      </c>
      <c r="E190" s="8"/>
      <c r="G190" s="235"/>
    </row>
    <row r="191" spans="1:7">
      <c r="A191" s="17">
        <f t="shared" si="11"/>
        <v>170</v>
      </c>
      <c r="B191" s="8"/>
      <c r="C191" s="8"/>
      <c r="D191" s="225"/>
      <c r="E191" s="8"/>
      <c r="G191" s="235"/>
    </row>
    <row r="192" spans="1:7">
      <c r="A192" s="17">
        <f t="shared" si="11"/>
        <v>171</v>
      </c>
      <c r="B192" s="229" t="s">
        <v>1408</v>
      </c>
      <c r="C192" s="8" t="str">
        <f>"Line "&amp;A189&amp;" divided by Line "&amp;A190</f>
        <v>Line 168 divided by Line 169</v>
      </c>
      <c r="D192" s="610">
        <f>IF(D189=0,0,D189/D190)</f>
        <v>0.75544832110649052</v>
      </c>
      <c r="E192" s="231"/>
      <c r="G192" s="236"/>
    </row>
    <row r="193" spans="1:7">
      <c r="A193" s="17"/>
      <c r="B193" s="14"/>
      <c r="C193" s="8"/>
      <c r="D193" s="15"/>
      <c r="E193" s="8"/>
      <c r="F193" s="8"/>
      <c r="G193" s="7"/>
    </row>
    <row r="194" spans="1:7">
      <c r="A194" s="17"/>
      <c r="B194" s="14"/>
      <c r="C194" s="8"/>
      <c r="D194" s="15"/>
      <c r="E194" s="8"/>
      <c r="F194" s="8"/>
      <c r="G194" s="7"/>
    </row>
    <row r="195" spans="1:7">
      <c r="A195" s="9" t="s">
        <v>376</v>
      </c>
      <c r="B195" s="68"/>
      <c r="C195" s="69"/>
      <c r="D195" s="69"/>
      <c r="E195" s="7"/>
      <c r="F195" s="7"/>
      <c r="G195" s="70"/>
    </row>
    <row r="196" spans="1:7">
      <c r="A196" s="9"/>
      <c r="B196" s="68"/>
      <c r="C196" s="69"/>
      <c r="D196" s="69"/>
      <c r="E196" s="7"/>
      <c r="F196" s="7"/>
      <c r="G196" s="70"/>
    </row>
    <row r="197" spans="1:7">
      <c r="A197" s="77"/>
      <c r="B197" s="25"/>
      <c r="C197" s="37"/>
      <c r="D197" s="20"/>
      <c r="E197" s="20"/>
      <c r="F197" s="20"/>
      <c r="G197" s="20"/>
    </row>
    <row r="198" spans="1:7">
      <c r="A198" s="339" t="s">
        <v>89</v>
      </c>
      <c r="B198" s="25"/>
      <c r="C198" s="37"/>
      <c r="D198" s="20"/>
      <c r="E198" s="20"/>
      <c r="F198" s="20"/>
      <c r="G198" s="20"/>
    </row>
    <row r="199" spans="1:7">
      <c r="A199" s="339" t="s">
        <v>830</v>
      </c>
      <c r="B199" s="25" t="s">
        <v>1082</v>
      </c>
      <c r="C199" s="37"/>
      <c r="D199" s="20"/>
      <c r="E199" s="20"/>
      <c r="F199" s="20"/>
      <c r="G199" s="20"/>
    </row>
    <row r="200" spans="1:7">
      <c r="A200" s="339" t="s">
        <v>831</v>
      </c>
      <c r="B200" s="25" t="s">
        <v>166</v>
      </c>
      <c r="C200" s="37"/>
      <c r="D200" s="20"/>
      <c r="E200" s="20"/>
      <c r="F200" s="20"/>
      <c r="G200" s="20"/>
    </row>
    <row r="201" spans="1:7">
      <c r="A201" s="339"/>
      <c r="B201" s="25" t="s">
        <v>356</v>
      </c>
      <c r="C201" s="37"/>
      <c r="D201" s="20"/>
      <c r="E201" s="20"/>
      <c r="F201" s="20"/>
      <c r="G201" s="20"/>
    </row>
    <row r="202" spans="1:7">
      <c r="A202" s="339"/>
      <c r="B202" s="25" t="s">
        <v>562</v>
      </c>
      <c r="C202" s="37"/>
      <c r="D202" s="20"/>
      <c r="E202" s="20"/>
      <c r="F202" s="20"/>
      <c r="G202" s="20"/>
    </row>
    <row r="203" spans="1:7" ht="21" customHeight="1">
      <c r="A203" s="961" t="s">
        <v>832</v>
      </c>
      <c r="B203" s="1211" t="s">
        <v>1695</v>
      </c>
      <c r="C203" s="1211"/>
      <c r="D203" s="1211"/>
      <c r="E203" s="1211"/>
      <c r="F203" s="1211"/>
      <c r="G203" s="1211"/>
    </row>
    <row r="204" spans="1:7" ht="23.25" customHeight="1">
      <c r="A204" s="75"/>
      <c r="B204" s="1211"/>
      <c r="C204" s="1211"/>
      <c r="D204" s="1211"/>
      <c r="E204" s="1211"/>
      <c r="F204" s="1211"/>
      <c r="G204" s="1211"/>
    </row>
    <row r="205" spans="1:7" ht="33.75" customHeight="1">
      <c r="A205" s="75"/>
      <c r="B205" s="1211"/>
      <c r="C205" s="1211"/>
      <c r="D205" s="1211"/>
      <c r="E205" s="1211"/>
      <c r="F205" s="1211"/>
      <c r="G205" s="1211"/>
    </row>
    <row r="206" spans="1:7">
      <c r="A206" s="75" t="s">
        <v>833</v>
      </c>
      <c r="B206" s="25" t="s">
        <v>575</v>
      </c>
      <c r="C206" s="37"/>
      <c r="D206" s="37"/>
      <c r="E206" s="37"/>
      <c r="F206" s="37"/>
      <c r="G206" s="37"/>
    </row>
    <row r="207" spans="1:7">
      <c r="A207" s="75"/>
      <c r="B207" s="25" t="s">
        <v>567</v>
      </c>
      <c r="C207" s="37"/>
      <c r="D207" s="37"/>
      <c r="E207" s="37"/>
      <c r="F207" s="37"/>
      <c r="G207" s="37"/>
    </row>
    <row r="208" spans="1:7">
      <c r="A208" s="75" t="s">
        <v>834</v>
      </c>
      <c r="B208" s="25" t="s">
        <v>491</v>
      </c>
      <c r="C208" s="37"/>
      <c r="D208" s="37"/>
      <c r="E208" s="37"/>
      <c r="F208" s="37"/>
      <c r="G208" s="37"/>
    </row>
    <row r="209" spans="1:7">
      <c r="A209" s="75"/>
      <c r="B209" s="25" t="s">
        <v>775</v>
      </c>
      <c r="C209" s="37"/>
      <c r="D209" s="37"/>
      <c r="E209" s="37"/>
      <c r="F209" s="37"/>
      <c r="G209" s="37"/>
    </row>
    <row r="210" spans="1:7">
      <c r="A210" s="75"/>
      <c r="B210" s="25" t="s">
        <v>196</v>
      </c>
      <c r="C210" s="37"/>
      <c r="D210" s="37"/>
      <c r="E210" s="37"/>
      <c r="F210" s="37"/>
      <c r="G210" s="37"/>
    </row>
    <row r="211" spans="1:7">
      <c r="A211" s="75" t="s">
        <v>835</v>
      </c>
      <c r="B211" s="25" t="s">
        <v>691</v>
      </c>
      <c r="C211" s="37"/>
      <c r="D211" s="37"/>
      <c r="E211" s="37"/>
      <c r="F211" s="37"/>
      <c r="G211" s="19"/>
    </row>
    <row r="212" spans="1:7">
      <c r="A212" s="75" t="s">
        <v>836</v>
      </c>
      <c r="B212" s="25" t="s">
        <v>1411</v>
      </c>
      <c r="C212" s="37"/>
      <c r="D212" s="37"/>
      <c r="E212" s="37"/>
      <c r="F212" s="37"/>
      <c r="G212" s="37"/>
    </row>
    <row r="213" spans="1:7">
      <c r="A213" s="75" t="s">
        <v>837</v>
      </c>
      <c r="B213" s="25" t="s">
        <v>492</v>
      </c>
      <c r="C213" s="37"/>
      <c r="D213" s="37"/>
      <c r="E213" s="37"/>
      <c r="F213" s="37"/>
      <c r="G213" s="37"/>
    </row>
    <row r="214" spans="1:7">
      <c r="A214" s="75" t="s">
        <v>838</v>
      </c>
      <c r="B214" s="25" t="s">
        <v>1083</v>
      </c>
      <c r="C214" s="37"/>
      <c r="D214" s="37"/>
      <c r="E214" s="37"/>
      <c r="F214" s="37"/>
      <c r="G214" s="37"/>
    </row>
    <row r="215" spans="1:7">
      <c r="A215" s="75"/>
      <c r="B215" s="25" t="s">
        <v>1084</v>
      </c>
      <c r="C215" s="37"/>
      <c r="D215" s="37"/>
      <c r="E215" s="37"/>
      <c r="F215" s="37"/>
      <c r="G215" s="37"/>
    </row>
    <row r="216" spans="1:7">
      <c r="A216" s="75"/>
      <c r="B216" s="25" t="s">
        <v>197</v>
      </c>
      <c r="C216" s="37"/>
      <c r="D216" s="37"/>
      <c r="E216" s="37"/>
      <c r="F216" s="37"/>
      <c r="G216" s="37"/>
    </row>
    <row r="217" spans="1:7">
      <c r="A217" s="339"/>
      <c r="B217" s="25" t="s">
        <v>1086</v>
      </c>
      <c r="C217" s="37"/>
      <c r="D217" s="20"/>
      <c r="E217" s="20"/>
      <c r="F217" s="20"/>
      <c r="G217" s="20"/>
    </row>
    <row r="218" spans="1:7">
      <c r="A218" s="101"/>
      <c r="B218" s="25" t="s">
        <v>503</v>
      </c>
      <c r="C218" s="37"/>
      <c r="D218" s="20"/>
      <c r="E218" s="20"/>
      <c r="F218" s="20"/>
      <c r="G218" s="20"/>
    </row>
    <row r="219" spans="1:7">
      <c r="A219" s="339" t="s">
        <v>839</v>
      </c>
      <c r="B219" s="25" t="s">
        <v>506</v>
      </c>
      <c r="C219" s="37"/>
      <c r="D219" s="20"/>
      <c r="E219" s="20"/>
      <c r="F219" s="20"/>
      <c r="G219" s="20"/>
    </row>
    <row r="220" spans="1:7">
      <c r="A220" s="101"/>
      <c r="B220" s="25" t="s">
        <v>1090</v>
      </c>
      <c r="C220" s="37"/>
      <c r="D220" s="20"/>
      <c r="E220" s="20"/>
      <c r="F220" s="20"/>
      <c r="G220" s="20"/>
    </row>
    <row r="221" spans="1:7">
      <c r="A221" s="75" t="s">
        <v>840</v>
      </c>
      <c r="B221" s="25" t="s">
        <v>844</v>
      </c>
      <c r="C221" s="37"/>
      <c r="D221" s="37"/>
      <c r="E221" s="37"/>
      <c r="F221" s="37"/>
      <c r="G221" s="37"/>
    </row>
    <row r="222" spans="1:7">
      <c r="A222" s="103"/>
      <c r="B222" s="25" t="s">
        <v>753</v>
      </c>
      <c r="C222" s="37"/>
      <c r="D222" s="37"/>
      <c r="E222" s="37"/>
      <c r="F222" s="37"/>
      <c r="G222" s="37"/>
    </row>
    <row r="223" spans="1:7">
      <c r="A223" s="103"/>
      <c r="B223" s="25" t="s">
        <v>754</v>
      </c>
      <c r="C223" s="37"/>
      <c r="D223" s="37"/>
      <c r="E223" s="37"/>
      <c r="F223" s="37"/>
      <c r="G223" s="37"/>
    </row>
    <row r="224" spans="1:7">
      <c r="A224" s="103"/>
      <c r="B224" s="25" t="s">
        <v>1091</v>
      </c>
      <c r="C224" s="37"/>
      <c r="D224" s="37"/>
      <c r="E224" s="37"/>
      <c r="F224" s="37"/>
      <c r="G224" s="37"/>
    </row>
    <row r="225" spans="1:7">
      <c r="A225" s="103"/>
      <c r="B225" s="25" t="s">
        <v>1092</v>
      </c>
      <c r="C225" s="37"/>
      <c r="D225" s="37"/>
      <c r="E225" s="37"/>
      <c r="F225" s="37"/>
      <c r="G225" s="37"/>
    </row>
    <row r="226" spans="1:7">
      <c r="A226" s="103" t="s">
        <v>793</v>
      </c>
      <c r="B226" s="25" t="s">
        <v>845</v>
      </c>
      <c r="C226" s="37" t="s">
        <v>846</v>
      </c>
      <c r="D226" s="318">
        <v>0.35</v>
      </c>
      <c r="E226" s="37"/>
      <c r="F226" s="37"/>
      <c r="G226" s="37"/>
    </row>
    <row r="227" spans="1:7">
      <c r="A227" s="103"/>
      <c r="B227" s="102"/>
      <c r="C227" s="37" t="s">
        <v>514</v>
      </c>
      <c r="D227" s="318">
        <v>4.6300000000000001E-2</v>
      </c>
      <c r="E227" s="37" t="s">
        <v>847</v>
      </c>
      <c r="F227" s="37"/>
      <c r="G227" s="37"/>
    </row>
    <row r="228" spans="1:7">
      <c r="A228" s="103"/>
      <c r="B228" s="102"/>
      <c r="C228" s="37" t="s">
        <v>848</v>
      </c>
      <c r="D228" s="318">
        <v>0</v>
      </c>
      <c r="E228" s="37" t="s">
        <v>867</v>
      </c>
      <c r="F228" s="37"/>
      <c r="G228" s="37"/>
    </row>
    <row r="229" spans="1:7" ht="42.75" customHeight="1">
      <c r="A229" s="103"/>
      <c r="B229" s="1211" t="s">
        <v>519</v>
      </c>
      <c r="C229" s="1211"/>
      <c r="D229" s="1211"/>
      <c r="E229" s="1211"/>
      <c r="F229" s="1211"/>
      <c r="G229" s="1211"/>
    </row>
    <row r="230" spans="1:7">
      <c r="A230" s="75" t="s">
        <v>841</v>
      </c>
      <c r="B230" s="25" t="s">
        <v>1187</v>
      </c>
      <c r="C230" s="37"/>
      <c r="D230" s="341"/>
      <c r="E230" s="37"/>
      <c r="F230" s="37"/>
      <c r="G230" s="37"/>
    </row>
    <row r="231" spans="1:7">
      <c r="A231" s="75"/>
      <c r="B231" s="25" t="s">
        <v>340</v>
      </c>
      <c r="C231" s="37"/>
      <c r="D231" s="341"/>
      <c r="E231" s="37"/>
      <c r="F231" s="37"/>
      <c r="G231" s="37"/>
    </row>
    <row r="232" spans="1:7">
      <c r="A232" s="75"/>
      <c r="B232" s="25" t="s">
        <v>1192</v>
      </c>
      <c r="C232" s="37"/>
      <c r="D232" s="341"/>
      <c r="E232" s="37"/>
      <c r="F232" s="37"/>
      <c r="G232" s="37"/>
    </row>
    <row r="233" spans="1:7">
      <c r="A233" s="75" t="s">
        <v>843</v>
      </c>
      <c r="B233" s="25" t="s">
        <v>761</v>
      </c>
      <c r="C233" s="33"/>
      <c r="D233" s="33"/>
      <c r="E233" s="33"/>
      <c r="F233" s="33"/>
      <c r="G233" s="33"/>
    </row>
    <row r="234" spans="1:7">
      <c r="A234" s="7"/>
      <c r="B234" s="25" t="s">
        <v>760</v>
      </c>
      <c r="C234" s="33"/>
      <c r="D234" s="33"/>
      <c r="E234" s="33"/>
      <c r="F234" s="33"/>
      <c r="G234" s="33"/>
    </row>
    <row r="235" spans="1:7">
      <c r="A235" s="7"/>
      <c r="B235" s="25" t="s">
        <v>689</v>
      </c>
      <c r="C235" s="33"/>
      <c r="D235" s="33"/>
      <c r="E235" s="33"/>
      <c r="F235" s="33"/>
      <c r="G235" s="33"/>
    </row>
    <row r="236" spans="1:7">
      <c r="A236" s="75" t="s">
        <v>842</v>
      </c>
      <c r="B236" s="25" t="s">
        <v>1190</v>
      </c>
      <c r="C236" s="37"/>
      <c r="D236" s="341"/>
      <c r="E236" s="37"/>
      <c r="F236" s="37"/>
      <c r="G236" s="37"/>
    </row>
    <row r="237" spans="1:7">
      <c r="A237" s="75"/>
      <c r="B237" s="25" t="s">
        <v>1191</v>
      </c>
      <c r="C237" s="37"/>
      <c r="D237" s="341"/>
      <c r="E237" s="37"/>
      <c r="F237" s="37"/>
      <c r="G237" s="37"/>
    </row>
    <row r="238" spans="1:7">
      <c r="A238" s="75" t="s">
        <v>1315</v>
      </c>
      <c r="B238" s="25" t="s">
        <v>386</v>
      </c>
      <c r="C238" s="37"/>
      <c r="D238" s="341"/>
      <c r="E238" s="37"/>
      <c r="F238" s="37"/>
      <c r="G238" s="37"/>
    </row>
    <row r="239" spans="1:7">
      <c r="A239" s="313"/>
      <c r="B239" s="25" t="s">
        <v>387</v>
      </c>
      <c r="C239" s="313"/>
      <c r="D239" s="313"/>
      <c r="E239" s="313"/>
      <c r="F239" s="313"/>
      <c r="G239" s="313"/>
    </row>
    <row r="240" spans="1:7">
      <c r="A240" s="313"/>
      <c r="B240" s="25" t="s">
        <v>1382</v>
      </c>
      <c r="C240" s="313"/>
      <c r="D240" s="313"/>
      <c r="E240" s="313"/>
      <c r="F240" s="313"/>
      <c r="G240" s="313"/>
    </row>
    <row r="241" spans="1:7">
      <c r="A241" s="313"/>
      <c r="B241" s="25" t="s">
        <v>1225</v>
      </c>
      <c r="C241" s="313"/>
      <c r="D241" s="313"/>
      <c r="E241" s="313"/>
      <c r="F241" s="313"/>
      <c r="G241" s="313"/>
    </row>
    <row r="242" spans="1:7">
      <c r="A242" s="313"/>
      <c r="B242" s="25" t="s">
        <v>1033</v>
      </c>
      <c r="C242" s="313"/>
      <c r="D242" s="313"/>
      <c r="E242" s="313"/>
      <c r="F242" s="313"/>
      <c r="G242" s="313"/>
    </row>
    <row r="243" spans="1:7">
      <c r="A243" s="420" t="s">
        <v>1226</v>
      </c>
      <c r="B243" s="25" t="s">
        <v>1404</v>
      </c>
      <c r="C243" s="313"/>
      <c r="D243" s="313"/>
      <c r="E243" s="313"/>
      <c r="F243" s="313"/>
      <c r="G243" s="313"/>
    </row>
    <row r="244" spans="1:7">
      <c r="A244" s="313"/>
      <c r="B244" s="25" t="s">
        <v>617</v>
      </c>
      <c r="C244" s="313"/>
      <c r="D244" s="313"/>
      <c r="E244" s="313"/>
      <c r="F244" s="313"/>
      <c r="G244" s="313"/>
    </row>
    <row r="245" spans="1:7">
      <c r="A245" s="313"/>
      <c r="B245" s="313"/>
      <c r="C245" s="313"/>
      <c r="D245" s="313"/>
      <c r="E245" s="313"/>
      <c r="F245" s="313"/>
      <c r="G245" s="313"/>
    </row>
    <row r="250" spans="1:7">
      <c r="C250" s="664"/>
    </row>
  </sheetData>
  <mergeCells count="8">
    <mergeCell ref="E7:F7"/>
    <mergeCell ref="E8:F8"/>
    <mergeCell ref="E149:F149"/>
    <mergeCell ref="B229:G229"/>
    <mergeCell ref="E81:F81"/>
    <mergeCell ref="E150:F150"/>
    <mergeCell ref="E80:F80"/>
    <mergeCell ref="B203:G205"/>
  </mergeCells>
  <phoneticPr fontId="2" type="noConversion"/>
  <printOptions horizontalCentered="1"/>
  <pageMargins left="0.75" right="0.75" top="1" bottom="1" header="0.5" footer="0.5"/>
  <pageSetup scale="56" fitToHeight="16" orientation="portrait" r:id="rId1"/>
  <headerFooter alignWithMargins="0">
    <oddHeader>&amp;RPage &amp;P of &amp;N</oddHeader>
  </headerFooter>
  <rowBreaks count="3" manualBreakCount="3">
    <brk id="77" max="6" man="1"/>
    <brk id="146" max="6" man="1"/>
    <brk id="193" max="6" man="1"/>
  </rowBreaks>
  <ignoredErrors>
    <ignoredError sqref="A1:A3 G10 A10 D162 G11:G14 G21 D130 G171:G202 G1 E11:F17 G15:G20 C130:C155 C10:D10 D11:D47 A11:B202 C11:C47 G22:G47 D167:D181 D189 D191 D183 D229:D257 E179:F202 D166 D116:D128 C58:C59 D58:D59 C61:C99 D61:D99 C110:C128 D110:D114 C157:C202 G157 C52:C55 D52 G52:G57 G169 D132:D160 D54:D55 D193:D202 G167 G159:G165 F177 F176 G132:G143 G77:G130 G73:G75 G59:G71 E46:F175 E45 E19:F44 E18 C101:C107 D101:D107 A206:B257 A203 A204 A205 G206:G257 E206:F257 C206:C257 D206:D225 G145:G155" unlocked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G249"/>
  <sheetViews>
    <sheetView topLeftCell="A16" workbookViewId="0"/>
  </sheetViews>
  <sheetFormatPr defaultRowHeight="12.75"/>
  <cols>
    <col min="1" max="1" width="10.42578125" style="72" customWidth="1"/>
    <col min="2" max="2" width="53.140625" style="72" customWidth="1"/>
    <col min="3" max="3" width="36.28515625" style="72" customWidth="1"/>
    <col min="4" max="4" width="18" style="72" bestFit="1" customWidth="1"/>
    <col min="5" max="5" width="8.5703125" style="72" customWidth="1"/>
    <col min="6" max="6" width="9.42578125" style="72" customWidth="1"/>
    <col min="7" max="7" width="16" style="72" bestFit="1" customWidth="1"/>
    <col min="8" max="16384" width="9.140625" style="72"/>
  </cols>
  <sheetData>
    <row r="1" spans="1:7">
      <c r="A1" s="73" t="str">
        <f>'Cover Page'!A5</f>
        <v>Public Service Company of Colorado</v>
      </c>
      <c r="B1" s="5"/>
      <c r="C1" s="5"/>
      <c r="D1" s="6"/>
      <c r="E1" s="7"/>
      <c r="F1" s="5"/>
      <c r="G1" s="373" t="str">
        <f>'Table of Contents'!A13</f>
        <v>Table 5</v>
      </c>
    </row>
    <row r="2" spans="1:7">
      <c r="A2" s="73" t="str">
        <f>'Cover Page'!A6</f>
        <v>Transmission Formula Rate Template</v>
      </c>
      <c r="B2" s="9"/>
      <c r="C2" s="10"/>
      <c r="D2" s="11"/>
      <c r="E2" s="7"/>
      <c r="F2" s="12"/>
      <c r="G2" s="133" t="str">
        <f ca="1">MID(CELL("filename",$A$1),FIND("]",CELL("filename",$A$1))+1,LEN(CELL("filename",$A$1))-FIND("]",CELL("filename",$A$1)))</f>
        <v>ATRR Act</v>
      </c>
    </row>
    <row r="3" spans="1:7">
      <c r="A3" s="73" t="str">
        <f>'Cover Page'!A7</f>
        <v>Twelve Months Ended December 31, 2018</v>
      </c>
      <c r="B3" s="4"/>
      <c r="C3" s="7"/>
      <c r="D3" s="7"/>
      <c r="E3" s="13"/>
      <c r="F3" s="13"/>
      <c r="G3" s="8"/>
    </row>
    <row r="4" spans="1:7">
      <c r="A4" s="440" t="s">
        <v>508</v>
      </c>
      <c r="B4" s="14"/>
      <c r="C4" s="8"/>
      <c r="D4" s="15"/>
      <c r="E4" s="8"/>
      <c r="F4" s="8"/>
      <c r="G4" s="7"/>
    </row>
    <row r="5" spans="1:7">
      <c r="A5" s="440"/>
      <c r="B5" s="14"/>
      <c r="C5" s="8"/>
      <c r="D5" s="15"/>
      <c r="E5" s="8"/>
      <c r="F5" s="8"/>
      <c r="G5" s="7"/>
    </row>
    <row r="6" spans="1:7">
      <c r="A6" s="17"/>
      <c r="B6" s="14"/>
      <c r="C6" s="8"/>
      <c r="D6" s="15"/>
      <c r="E6" s="8"/>
      <c r="F6" s="8"/>
      <c r="G6" s="7"/>
    </row>
    <row r="7" spans="1:7">
      <c r="A7" s="85" t="s">
        <v>868</v>
      </c>
      <c r="B7" s="674" t="s">
        <v>542</v>
      </c>
      <c r="C7" s="675" t="s">
        <v>875</v>
      </c>
      <c r="D7" s="674" t="s">
        <v>795</v>
      </c>
      <c r="E7" s="1207" t="s">
        <v>1316</v>
      </c>
      <c r="F7" s="1208"/>
      <c r="G7" s="674" t="s">
        <v>794</v>
      </c>
    </row>
    <row r="8" spans="1:7">
      <c r="B8" s="75" t="s">
        <v>357</v>
      </c>
      <c r="C8" s="75" t="s">
        <v>358</v>
      </c>
      <c r="D8" s="75" t="s">
        <v>359</v>
      </c>
      <c r="E8" s="1209" t="s">
        <v>360</v>
      </c>
      <c r="F8" s="1210"/>
      <c r="G8" s="676" t="s">
        <v>361</v>
      </c>
    </row>
    <row r="9" spans="1:7">
      <c r="A9" s="17">
        <v>1</v>
      </c>
      <c r="B9" s="25" t="s">
        <v>697</v>
      </c>
      <c r="C9" s="18" t="s">
        <v>576</v>
      </c>
      <c r="D9" s="20"/>
      <c r="E9" s="20"/>
      <c r="F9" s="20"/>
      <c r="G9" s="20"/>
    </row>
    <row r="10" spans="1:7">
      <c r="A10" s="75">
        <f t="shared" ref="A10:A48" si="0">A9+1</f>
        <v>2</v>
      </c>
      <c r="B10" s="19" t="s">
        <v>805</v>
      </c>
      <c r="C10" s="20" t="str">
        <f ca="1">'WP_B-1'!$G$2&amp;" Col. (d), Line "&amp;'WP_B-1'!A54</f>
        <v>WP_B-1 Col. (d), Line 2</v>
      </c>
      <c r="D10" s="21">
        <f>'WP_B-1'!G54</f>
        <v>0</v>
      </c>
      <c r="E10" s="48" t="s">
        <v>806</v>
      </c>
      <c r="F10" s="86">
        <v>0</v>
      </c>
      <c r="G10" s="24">
        <f t="shared" ref="G10:G16" si="1">D10*F10</f>
        <v>0</v>
      </c>
    </row>
    <row r="11" spans="1:7">
      <c r="A11" s="75">
        <f t="shared" si="0"/>
        <v>3</v>
      </c>
      <c r="B11" s="23" t="s">
        <v>807</v>
      </c>
      <c r="C11" s="20" t="str">
        <f ca="1">'WP_B-1'!$G$2&amp;" Col. (d), Line "&amp;'WP_B-1'!A55</f>
        <v>WP_B-1 Col. (d), Line 3</v>
      </c>
      <c r="D11" s="21">
        <f>'WP_B-1'!G55</f>
        <v>0</v>
      </c>
      <c r="E11" s="87" t="s">
        <v>808</v>
      </c>
      <c r="F11" s="575">
        <v>1</v>
      </c>
      <c r="G11" s="24">
        <f t="shared" si="1"/>
        <v>0</v>
      </c>
    </row>
    <row r="12" spans="1:7">
      <c r="A12" s="75">
        <f t="shared" si="0"/>
        <v>4</v>
      </c>
      <c r="B12" s="25" t="s">
        <v>810</v>
      </c>
      <c r="C12" s="20" t="str">
        <f ca="1">'WP_B-1'!$G$2&amp;" Col. (d), Line "&amp;'WP_B-1'!A56</f>
        <v>WP_B-1 Col. (d), Line 4</v>
      </c>
      <c r="D12" s="21">
        <f>'WP_B-1'!G56</f>
        <v>0</v>
      </c>
      <c r="E12" s="48" t="s">
        <v>806</v>
      </c>
      <c r="F12" s="86">
        <v>0</v>
      </c>
      <c r="G12" s="24">
        <f t="shared" si="1"/>
        <v>0</v>
      </c>
    </row>
    <row r="13" spans="1:7">
      <c r="A13" s="75">
        <f t="shared" si="0"/>
        <v>5</v>
      </c>
      <c r="B13" s="25" t="s">
        <v>811</v>
      </c>
      <c r="C13" s="20" t="str">
        <f ca="1">'WP_B-1'!$G$2&amp;" Col. (d), Line "&amp;'WP_B-1'!A57</f>
        <v>WP_B-1 Col. (d), Line 5</v>
      </c>
      <c r="D13" s="21">
        <f>'WP_B-1'!G57</f>
        <v>0</v>
      </c>
      <c r="E13" s="48" t="s">
        <v>812</v>
      </c>
      <c r="F13" s="86">
        <f>WSA</f>
        <v>0</v>
      </c>
      <c r="G13" s="24">
        <f t="shared" si="1"/>
        <v>0</v>
      </c>
    </row>
    <row r="14" spans="1:7">
      <c r="A14" s="75">
        <f t="shared" si="0"/>
        <v>6</v>
      </c>
      <c r="B14" s="25" t="s">
        <v>813</v>
      </c>
      <c r="C14" s="20" t="str">
        <f ca="1">'WP_B-1'!$G$2&amp;" Col. (d), Line "&amp;'WP_B-1'!A58</f>
        <v>WP_B-1 Col. (d), Line 6</v>
      </c>
      <c r="D14" s="21">
        <f>'WP_B-1'!G58</f>
        <v>0</v>
      </c>
      <c r="E14" s="48" t="s">
        <v>812</v>
      </c>
      <c r="F14" s="86">
        <f>WSA</f>
        <v>0</v>
      </c>
      <c r="G14" s="24">
        <f t="shared" si="1"/>
        <v>0</v>
      </c>
    </row>
    <row r="15" spans="1:7">
      <c r="A15" s="75">
        <f t="shared" si="0"/>
        <v>7</v>
      </c>
      <c r="B15" s="123" t="s">
        <v>920</v>
      </c>
      <c r="C15" s="20" t="str">
        <f ca="1">'WP_B-1'!$G$2&amp;" Col. (d), Line "&amp;'WP_B-1'!A59</f>
        <v>WP_B-1 Col. (d), Line 7</v>
      </c>
      <c r="D15" s="21">
        <f>'WP_B-1'!G59</f>
        <v>0</v>
      </c>
      <c r="E15" s="48" t="s">
        <v>921</v>
      </c>
      <c r="F15" s="86">
        <f>CEA</f>
        <v>7.9146557159999992E-2</v>
      </c>
      <c r="G15" s="24">
        <f>D15*F15</f>
        <v>0</v>
      </c>
    </row>
    <row r="16" spans="1:7">
      <c r="A16" s="75">
        <f t="shared" si="0"/>
        <v>8</v>
      </c>
      <c r="B16" s="123" t="s">
        <v>919</v>
      </c>
      <c r="C16" s="20" t="str">
        <f ca="1">'WP_B-1'!$G$2&amp;" Col. (d), Line "&amp;'WP_B-1'!A60</f>
        <v>WP_B-1 Col. (d), Line 8</v>
      </c>
      <c r="D16" s="62">
        <f>'WP_B-1'!G60</f>
        <v>0</v>
      </c>
      <c r="E16" s="48" t="s">
        <v>921</v>
      </c>
      <c r="F16" s="86">
        <f>CEA</f>
        <v>7.9146557159999992E-2</v>
      </c>
      <c r="G16" s="80">
        <f t="shared" si="1"/>
        <v>0</v>
      </c>
    </row>
    <row r="17" spans="1:7">
      <c r="A17" s="75">
        <f t="shared" si="0"/>
        <v>9</v>
      </c>
      <c r="B17" s="5" t="s">
        <v>789</v>
      </c>
      <c r="C17" s="25" t="str">
        <f>"Sum Lines "&amp;A10&amp;" through "&amp;A16</f>
        <v>Sum Lines 2 through 8</v>
      </c>
      <c r="D17" s="21">
        <f>SUM(D10:D16)</f>
        <v>0</v>
      </c>
      <c r="E17" s="313"/>
      <c r="F17" s="313"/>
      <c r="G17" s="26">
        <f>SUM(G10:G16)</f>
        <v>0</v>
      </c>
    </row>
    <row r="18" spans="1:7">
      <c r="A18" s="75">
        <f t="shared" si="0"/>
        <v>10</v>
      </c>
      <c r="B18" s="5"/>
      <c r="C18" s="25" t="s">
        <v>863</v>
      </c>
      <c r="D18" s="21"/>
      <c r="E18" s="677" t="s">
        <v>1223</v>
      </c>
      <c r="F18" s="89">
        <f>IF(D17=0,0,G17/D17)</f>
        <v>0</v>
      </c>
      <c r="G18" s="26"/>
    </row>
    <row r="19" spans="1:7">
      <c r="A19" s="75">
        <f t="shared" si="0"/>
        <v>11</v>
      </c>
      <c r="B19" s="5"/>
      <c r="C19" s="20"/>
      <c r="D19" s="21"/>
      <c r="E19" s="340"/>
      <c r="F19" s="86"/>
      <c r="G19" s="26"/>
    </row>
    <row r="20" spans="1:7">
      <c r="A20" s="75">
        <f t="shared" si="0"/>
        <v>12</v>
      </c>
      <c r="B20" s="5" t="s">
        <v>698</v>
      </c>
      <c r="C20" s="18" t="s">
        <v>576</v>
      </c>
      <c r="D20" s="21"/>
      <c r="E20" s="64"/>
      <c r="F20" s="82"/>
      <c r="G20" s="26"/>
    </row>
    <row r="21" spans="1:7">
      <c r="A21" s="75">
        <f t="shared" si="0"/>
        <v>13</v>
      </c>
      <c r="B21" s="19" t="s">
        <v>805</v>
      </c>
      <c r="C21" s="20" t="str">
        <f ca="1">'WP_B-1'!$G$2&amp;" Col. (d), Line "&amp;'WP_B-1'!A21</f>
        <v>WP_B-1 Col. (d), Line 12</v>
      </c>
      <c r="D21" s="21">
        <f>'WP_B-1'!G64</f>
        <v>0</v>
      </c>
      <c r="E21" s="48" t="s">
        <v>806</v>
      </c>
      <c r="F21" s="86">
        <v>0</v>
      </c>
      <c r="G21" s="24">
        <f t="shared" ref="G21:G27" si="2">D21*F21</f>
        <v>0</v>
      </c>
    </row>
    <row r="22" spans="1:7">
      <c r="A22" s="75">
        <f t="shared" si="0"/>
        <v>14</v>
      </c>
      <c r="B22" s="23" t="s">
        <v>807</v>
      </c>
      <c r="C22" s="20" t="str">
        <f ca="1">'WP_B-1'!$G$2&amp;" Col. (d), Line "&amp;'WP_B-1'!A22</f>
        <v>WP_B-1 Col. (d), Line 13</v>
      </c>
      <c r="D22" s="21">
        <f>'WP_B-1'!G65</f>
        <v>0</v>
      </c>
      <c r="E22" s="87" t="s">
        <v>808</v>
      </c>
      <c r="F22" s="575">
        <v>1</v>
      </c>
      <c r="G22" s="24">
        <f t="shared" si="2"/>
        <v>0</v>
      </c>
    </row>
    <row r="23" spans="1:7">
      <c r="A23" s="75">
        <f t="shared" si="0"/>
        <v>15</v>
      </c>
      <c r="B23" s="25" t="s">
        <v>810</v>
      </c>
      <c r="C23" s="20" t="str">
        <f ca="1">'WP_B-1'!$G$2&amp;" Col. (d), Line "&amp;'WP_B-1'!A23</f>
        <v>WP_B-1 Col. (d), Line 14</v>
      </c>
      <c r="D23" s="21">
        <f>'WP_B-1'!G66</f>
        <v>0</v>
      </c>
      <c r="E23" s="48" t="s">
        <v>806</v>
      </c>
      <c r="F23" s="86">
        <v>0</v>
      </c>
      <c r="G23" s="24">
        <f t="shared" si="2"/>
        <v>0</v>
      </c>
    </row>
    <row r="24" spans="1:7">
      <c r="A24" s="75">
        <f t="shared" si="0"/>
        <v>16</v>
      </c>
      <c r="B24" s="25" t="s">
        <v>811</v>
      </c>
      <c r="C24" s="20" t="str">
        <f ca="1">'WP_B-1'!$G$2&amp;" Col. (d), Line "&amp;'WP_B-1'!A24</f>
        <v>WP_B-1 Col. (d), Line 15</v>
      </c>
      <c r="D24" s="21">
        <f>'WP_B-1'!G67</f>
        <v>0</v>
      </c>
      <c r="E24" s="48" t="s">
        <v>812</v>
      </c>
      <c r="F24" s="86">
        <f>WSA</f>
        <v>0</v>
      </c>
      <c r="G24" s="24">
        <f t="shared" si="2"/>
        <v>0</v>
      </c>
    </row>
    <row r="25" spans="1:7">
      <c r="A25" s="75">
        <f t="shared" si="0"/>
        <v>17</v>
      </c>
      <c r="B25" s="25" t="s">
        <v>813</v>
      </c>
      <c r="C25" s="20" t="str">
        <f ca="1">'WP_B-1'!$G$2&amp;" Col. (d), Line "&amp;'WP_B-1'!A25</f>
        <v>WP_B-1 Col. (d), Line 16</v>
      </c>
      <c r="D25" s="21">
        <f>'WP_B-1'!G68</f>
        <v>0</v>
      </c>
      <c r="E25" s="48" t="s">
        <v>812</v>
      </c>
      <c r="F25" s="86">
        <f>WSA</f>
        <v>0</v>
      </c>
      <c r="G25" s="24">
        <f t="shared" si="2"/>
        <v>0</v>
      </c>
    </row>
    <row r="26" spans="1:7">
      <c r="A26" s="75">
        <f t="shared" si="0"/>
        <v>18</v>
      </c>
      <c r="B26" s="123" t="s">
        <v>920</v>
      </c>
      <c r="C26" s="20" t="str">
        <f ca="1">'WP_B-1'!$G$2&amp;" Col. (d), Line "&amp;'WP_B-1'!A26</f>
        <v>WP_B-1 Col. (d), Line 17</v>
      </c>
      <c r="D26" s="31">
        <f>'WP_B-1'!G69</f>
        <v>0</v>
      </c>
      <c r="E26" s="48" t="s">
        <v>921</v>
      </c>
      <c r="F26" s="86">
        <f>CEA</f>
        <v>7.9146557159999992E-2</v>
      </c>
      <c r="G26" s="24">
        <f t="shared" si="2"/>
        <v>0</v>
      </c>
    </row>
    <row r="27" spans="1:7">
      <c r="A27" s="75">
        <f t="shared" si="0"/>
        <v>19</v>
      </c>
      <c r="B27" s="123" t="s">
        <v>919</v>
      </c>
      <c r="C27" s="20" t="str">
        <f ca="1">'WP_B-1'!$G$2&amp;" Col. (d), Line "&amp;'WP_B-1'!A27</f>
        <v>WP_B-1 Col. (d), Line 18</v>
      </c>
      <c r="D27" s="62">
        <f>'WP_B-1'!G70</f>
        <v>0</v>
      </c>
      <c r="E27" s="48" t="s">
        <v>921</v>
      </c>
      <c r="F27" s="86">
        <f>CEA</f>
        <v>7.9146557159999992E-2</v>
      </c>
      <c r="G27" s="80">
        <f t="shared" si="2"/>
        <v>0</v>
      </c>
    </row>
    <row r="28" spans="1:7">
      <c r="A28" s="75">
        <f t="shared" si="0"/>
        <v>20</v>
      </c>
      <c r="B28" s="5" t="s">
        <v>788</v>
      </c>
      <c r="C28" s="5" t="str">
        <f>"Sum Lines "&amp;A21&amp;" through "&amp;A27</f>
        <v>Sum Lines 13 through 19</v>
      </c>
      <c r="D28" s="21">
        <f>SUM(D21:D27)</f>
        <v>0</v>
      </c>
      <c r="E28" s="64"/>
      <c r="F28" s="82"/>
      <c r="G28" s="26">
        <f>SUM(G21:G27)</f>
        <v>0</v>
      </c>
    </row>
    <row r="29" spans="1:7">
      <c r="A29" s="75">
        <f t="shared" si="0"/>
        <v>21</v>
      </c>
      <c r="B29" s="5"/>
      <c r="C29" s="5"/>
      <c r="D29" s="21"/>
      <c r="E29" s="64"/>
      <c r="F29" s="82"/>
      <c r="G29" s="26"/>
    </row>
    <row r="30" spans="1:7">
      <c r="A30" s="75">
        <f t="shared" si="0"/>
        <v>22</v>
      </c>
      <c r="B30" s="27" t="s">
        <v>355</v>
      </c>
      <c r="C30" s="18" t="s">
        <v>577</v>
      </c>
      <c r="D30" s="21"/>
      <c r="E30" s="64"/>
      <c r="F30" s="82"/>
      <c r="G30" s="26"/>
    </row>
    <row r="31" spans="1:7">
      <c r="A31" s="75">
        <f t="shared" si="0"/>
        <v>23</v>
      </c>
      <c r="B31" s="27" t="s">
        <v>1386</v>
      </c>
      <c r="C31" s="20" t="str">
        <f ca="1">'WP_B-4'!U2&amp;" Col.(i) Line "&amp;'WP_B-4'!A25</f>
        <v>WP_B-4 Col.(i) Line 15</v>
      </c>
      <c r="D31" s="21">
        <f>'WP_B-4'!M58</f>
        <v>0</v>
      </c>
      <c r="E31" s="48" t="s">
        <v>806</v>
      </c>
      <c r="F31" s="86">
        <v>0</v>
      </c>
      <c r="G31" s="26">
        <f>D31*F31</f>
        <v>0</v>
      </c>
    </row>
    <row r="32" spans="1:7">
      <c r="A32" s="75">
        <f t="shared" si="0"/>
        <v>24</v>
      </c>
      <c r="B32" s="27" t="s">
        <v>1387</v>
      </c>
      <c r="C32" s="20" t="str">
        <f ca="1">'WP_B-4'!U2&amp;" Col.(j) Line "&amp;'WP_B-4'!A25</f>
        <v>WP_B-4 Col.(j) Line 15</v>
      </c>
      <c r="D32" s="21">
        <f>'WP_B-4'!N58</f>
        <v>0</v>
      </c>
      <c r="E32" s="48" t="s">
        <v>806</v>
      </c>
      <c r="F32" s="86">
        <v>0</v>
      </c>
      <c r="G32" s="26">
        <f>D32*F32</f>
        <v>0</v>
      </c>
    </row>
    <row r="33" spans="1:7">
      <c r="A33" s="75">
        <f t="shared" si="0"/>
        <v>25</v>
      </c>
      <c r="B33" s="27" t="s">
        <v>1388</v>
      </c>
      <c r="C33" s="20" t="str">
        <f ca="1">'WP_B-4'!U2&amp;" Col.(k) Line "&amp;'WP_B-4'!A25</f>
        <v>WP_B-4 Col.(k) Line 15</v>
      </c>
      <c r="D33" s="62">
        <f>'WP_B-4'!O58</f>
        <v>0</v>
      </c>
      <c r="E33" s="64" t="s">
        <v>808</v>
      </c>
      <c r="F33" s="82">
        <v>1</v>
      </c>
      <c r="G33" s="84">
        <f>D33*F33</f>
        <v>0</v>
      </c>
    </row>
    <row r="34" spans="1:7">
      <c r="A34" s="75">
        <f t="shared" si="0"/>
        <v>26</v>
      </c>
      <c r="B34" s="27" t="s">
        <v>399</v>
      </c>
      <c r="C34" s="25" t="str">
        <f>"Sum Lines "&amp;A31&amp;" through "&amp;A33</f>
        <v>Sum Lines 23 through 25</v>
      </c>
      <c r="D34" s="21">
        <f>SUM(D31:D33)</f>
        <v>0</v>
      </c>
      <c r="E34" s="64"/>
      <c r="F34" s="82"/>
      <c r="G34" s="21">
        <f>SUM(G31:G33)</f>
        <v>0</v>
      </c>
    </row>
    <row r="35" spans="1:7">
      <c r="A35" s="75">
        <f t="shared" si="0"/>
        <v>27</v>
      </c>
      <c r="B35" s="27"/>
      <c r="C35" s="20" t="s">
        <v>793</v>
      </c>
      <c r="D35" s="21"/>
      <c r="E35" s="64"/>
      <c r="F35" s="82"/>
      <c r="G35" s="26"/>
    </row>
    <row r="36" spans="1:7">
      <c r="A36" s="75">
        <f t="shared" si="0"/>
        <v>28</v>
      </c>
      <c r="B36" s="5" t="s">
        <v>699</v>
      </c>
      <c r="C36" s="18" t="s">
        <v>576</v>
      </c>
      <c r="D36" s="21"/>
      <c r="E36" s="64"/>
      <c r="F36" s="82"/>
      <c r="G36" s="26"/>
    </row>
    <row r="37" spans="1:7">
      <c r="A37" s="75">
        <f t="shared" si="0"/>
        <v>29</v>
      </c>
      <c r="B37" s="29" t="s">
        <v>805</v>
      </c>
      <c r="C37" s="20" t="str">
        <f>"Line "&amp;A10&amp; " minus "&amp;A21&amp;" plus "&amp;A31&amp;" plus "&amp;A32</f>
        <v>Line 2 minus 13 plus 23 plus 24</v>
      </c>
      <c r="D37" s="21">
        <f>D10-D21+D31+D32</f>
        <v>0</v>
      </c>
      <c r="E37" s="64"/>
      <c r="F37" s="82"/>
      <c r="G37" s="21">
        <f>G10-G21+G31+G32</f>
        <v>0</v>
      </c>
    </row>
    <row r="38" spans="1:7">
      <c r="A38" s="75">
        <f t="shared" si="0"/>
        <v>30</v>
      </c>
      <c r="B38" s="29" t="s">
        <v>807</v>
      </c>
      <c r="C38" s="20" t="str">
        <f>"Line "&amp;A11&amp; " minus "&amp;A22&amp;" plus "&amp;A33</f>
        <v>Line 3 minus 14 plus 25</v>
      </c>
      <c r="D38" s="21">
        <f>D11-D22+D33</f>
        <v>0</v>
      </c>
      <c r="E38" s="64"/>
      <c r="F38" s="82"/>
      <c r="G38" s="21">
        <f>G11-G22+G33</f>
        <v>0</v>
      </c>
    </row>
    <row r="39" spans="1:7">
      <c r="A39" s="75">
        <f t="shared" si="0"/>
        <v>31</v>
      </c>
      <c r="B39" s="29" t="s">
        <v>810</v>
      </c>
      <c r="C39" s="20" t="str">
        <f>"Line "&amp;A12&amp; " minus "&amp;A23</f>
        <v>Line 4 minus 15</v>
      </c>
      <c r="D39" s="21">
        <f>D12-D23</f>
        <v>0</v>
      </c>
      <c r="E39" s="64"/>
      <c r="F39" s="82"/>
      <c r="G39" s="21">
        <f>G12-G23</f>
        <v>0</v>
      </c>
    </row>
    <row r="40" spans="1:7">
      <c r="A40" s="75">
        <f t="shared" si="0"/>
        <v>32</v>
      </c>
      <c r="B40" s="29" t="s">
        <v>811</v>
      </c>
      <c r="C40" s="20" t="str">
        <f>"Line "&amp;A13&amp; " minus "&amp;A24</f>
        <v>Line 5 minus 16</v>
      </c>
      <c r="D40" s="21">
        <f>D13-D24</f>
        <v>0</v>
      </c>
      <c r="E40" s="64"/>
      <c r="F40" s="82"/>
      <c r="G40" s="26">
        <f>G13-G24</f>
        <v>0</v>
      </c>
    </row>
    <row r="41" spans="1:7">
      <c r="A41" s="75">
        <f t="shared" si="0"/>
        <v>33</v>
      </c>
      <c r="B41" s="29" t="s">
        <v>813</v>
      </c>
      <c r="C41" s="20" t="str">
        <f>"Line "&amp;A14&amp; " minus "&amp;A25</f>
        <v>Line 6 minus 17</v>
      </c>
      <c r="D41" s="21">
        <f>D14-D25</f>
        <v>0</v>
      </c>
      <c r="E41" s="64"/>
      <c r="F41" s="82"/>
      <c r="G41" s="26">
        <f>G14-G25</f>
        <v>0</v>
      </c>
    </row>
    <row r="42" spans="1:7">
      <c r="A42" s="75">
        <f t="shared" si="0"/>
        <v>34</v>
      </c>
      <c r="B42" s="123" t="s">
        <v>920</v>
      </c>
      <c r="C42" s="20" t="str">
        <f>"Line "&amp;A15&amp; " minus "&amp;A26</f>
        <v>Line 7 minus 18</v>
      </c>
      <c r="D42" s="21">
        <f>D15-D26</f>
        <v>0</v>
      </c>
      <c r="E42" s="64"/>
      <c r="F42" s="82"/>
      <c r="G42" s="26">
        <f>G15-G26</f>
        <v>0</v>
      </c>
    </row>
    <row r="43" spans="1:7">
      <c r="A43" s="75">
        <f t="shared" si="0"/>
        <v>35</v>
      </c>
      <c r="B43" s="123" t="s">
        <v>919</v>
      </c>
      <c r="C43" s="20" t="str">
        <f>"Line "&amp;A16&amp; " minus "&amp;A27</f>
        <v>Line 8 minus 19</v>
      </c>
      <c r="D43" s="62">
        <f>D16-D27</f>
        <v>0</v>
      </c>
      <c r="E43" s="64"/>
      <c r="F43" s="82"/>
      <c r="G43" s="84">
        <f>G16-G27</f>
        <v>0</v>
      </c>
    </row>
    <row r="44" spans="1:7">
      <c r="A44" s="75">
        <f t="shared" si="0"/>
        <v>36</v>
      </c>
      <c r="B44" s="29" t="s">
        <v>787</v>
      </c>
      <c r="C44" s="5" t="str">
        <f>"Sum Lines "&amp;A37&amp;" through "&amp;A43</f>
        <v>Sum Lines 29 through 35</v>
      </c>
      <c r="D44" s="26">
        <f>SUM(D37:D43)</f>
        <v>0</v>
      </c>
      <c r="G44" s="26">
        <f>SUM(G37:G43)</f>
        <v>0</v>
      </c>
    </row>
    <row r="45" spans="1:7">
      <c r="A45" s="75">
        <f t="shared" si="0"/>
        <v>37</v>
      </c>
      <c r="B45" s="29"/>
      <c r="C45" s="25" t="s">
        <v>1301</v>
      </c>
      <c r="D45" s="26"/>
      <c r="E45" s="42" t="s">
        <v>814</v>
      </c>
      <c r="F45" s="89">
        <f>IF(D44=0,0,G44/D44)</f>
        <v>0</v>
      </c>
      <c r="G45" s="26"/>
    </row>
    <row r="46" spans="1:7">
      <c r="A46" s="75">
        <f t="shared" si="0"/>
        <v>38</v>
      </c>
      <c r="B46" s="5"/>
      <c r="C46" s="20"/>
      <c r="D46" s="26"/>
      <c r="E46" s="76"/>
      <c r="F46" s="82"/>
      <c r="G46" s="26"/>
    </row>
    <row r="47" spans="1:7">
      <c r="A47" s="75">
        <f t="shared" si="0"/>
        <v>39</v>
      </c>
      <c r="B47" s="5" t="s">
        <v>516</v>
      </c>
      <c r="C47" s="48" t="s">
        <v>1081</v>
      </c>
      <c r="D47" s="26"/>
      <c r="E47" s="64"/>
      <c r="F47" s="82"/>
      <c r="G47" s="26"/>
    </row>
    <row r="48" spans="1:7">
      <c r="A48" s="75">
        <f t="shared" si="0"/>
        <v>40</v>
      </c>
      <c r="B48" s="29" t="s">
        <v>543</v>
      </c>
      <c r="C48" s="20" t="str">
        <f>'WP_B-2'!G2&amp;" Col. (c) &amp; (e), Line "&amp;'WP_B-2'!A119</f>
        <v>WP_B-2 Col. (c) &amp; (e), Line 4</v>
      </c>
      <c r="D48" s="21" t="e">
        <f>'WP_B-2'!E119</f>
        <v>#DIV/0!</v>
      </c>
      <c r="E48" s="48" t="s">
        <v>808</v>
      </c>
      <c r="F48" s="86">
        <v>0</v>
      </c>
      <c r="G48" s="21" t="e">
        <f>'WP_B-2'!G119</f>
        <v>#DIV/0!</v>
      </c>
    </row>
    <row r="49" spans="1:7">
      <c r="A49" s="75">
        <f t="shared" ref="A49:A76" si="3">A48+1</f>
        <v>41</v>
      </c>
      <c r="B49" s="29" t="s">
        <v>544</v>
      </c>
      <c r="C49" s="20" t="str">
        <f>'WP_B-2'!G2&amp;" Col. (c) &amp; (e), Line "&amp;'WP_B-2'!A148</f>
        <v>WP_B-2 Col. (c) &amp; (e), Line 33</v>
      </c>
      <c r="D49" s="21" t="e">
        <f>'WP_B-2'!E148</f>
        <v>#DIV/0!</v>
      </c>
      <c r="E49" s="48" t="s">
        <v>808</v>
      </c>
      <c r="F49" s="86"/>
      <c r="G49" s="21" t="e">
        <f>'WP_B-2'!G148</f>
        <v>#DIV/0!</v>
      </c>
    </row>
    <row r="50" spans="1:7">
      <c r="A50" s="75">
        <f t="shared" si="3"/>
        <v>42</v>
      </c>
      <c r="B50" s="29" t="s">
        <v>545</v>
      </c>
      <c r="C50" s="20" t="str">
        <f>'WP_B-2'!G2&amp;" Col. (c) &amp; (e), Line "&amp;'WP_B-2'!A204</f>
        <v>WP_B-2 Col. (c) &amp; (e), Line 89</v>
      </c>
      <c r="D50" s="31" t="e">
        <f>'WP_B-2'!E204</f>
        <v>#DIV/0!</v>
      </c>
      <c r="E50" s="48" t="s">
        <v>808</v>
      </c>
      <c r="F50" s="86"/>
      <c r="G50" s="21" t="e">
        <f>'WP_B-2'!G204</f>
        <v>#DIV/0!</v>
      </c>
    </row>
    <row r="51" spans="1:7">
      <c r="A51" s="75">
        <f t="shared" si="3"/>
        <v>43</v>
      </c>
      <c r="B51" s="29" t="s">
        <v>816</v>
      </c>
      <c r="C51" s="20" t="str">
        <f>'WP_B-3'!G2&amp;" Col. (c) &amp; (e), Line "&amp;'WP_B-3'!A200</f>
        <v>WP_B-3 Col. (c) &amp; (e), Line 91</v>
      </c>
      <c r="D51" s="31" t="e">
        <f>'WP_B-3'!E200</f>
        <v>#DIV/0!</v>
      </c>
      <c r="E51" s="48" t="s">
        <v>808</v>
      </c>
      <c r="F51" s="86"/>
      <c r="G51" s="21" t="e">
        <f>'WP_B-3'!G200</f>
        <v>#DIV/0!</v>
      </c>
    </row>
    <row r="52" spans="1:7">
      <c r="A52" s="75">
        <f t="shared" si="3"/>
        <v>44</v>
      </c>
      <c r="B52" s="57" t="s">
        <v>590</v>
      </c>
      <c r="C52" s="20" t="str">
        <f ca="1">'WP_B-7'!F2&amp;" Line "&amp;'WP_B-7'!A25</f>
        <v>WP_B-7 Line 14</v>
      </c>
      <c r="D52" s="31">
        <f>-'WP_B-7'!F49</f>
        <v>0</v>
      </c>
      <c r="E52" s="48" t="s">
        <v>812</v>
      </c>
      <c r="F52" s="86">
        <f>WSA</f>
        <v>0</v>
      </c>
      <c r="G52" s="21">
        <f>D52*F52</f>
        <v>0</v>
      </c>
    </row>
    <row r="53" spans="1:7">
      <c r="A53" s="75">
        <f t="shared" si="3"/>
        <v>45</v>
      </c>
      <c r="B53" s="32" t="s">
        <v>546</v>
      </c>
      <c r="C53" s="33" t="s">
        <v>782</v>
      </c>
      <c r="D53" s="238">
        <v>24921243</v>
      </c>
      <c r="E53" s="64" t="s">
        <v>808</v>
      </c>
      <c r="F53" s="82">
        <v>1</v>
      </c>
      <c r="G53" s="21">
        <v>0</v>
      </c>
    </row>
    <row r="54" spans="1:7">
      <c r="A54" s="75">
        <f t="shared" si="3"/>
        <v>46</v>
      </c>
      <c r="B54" s="34" t="s">
        <v>578</v>
      </c>
      <c r="C54" s="20" t="str">
        <f ca="1">'WP_B-8'!L2&amp;" Col. (a), Line "&amp;'WP_B-8'!A55</f>
        <v>WP_B-8 Col. (a), Line 16</v>
      </c>
      <c r="D54" s="31">
        <f>'WP_B-8'!F55</f>
        <v>0</v>
      </c>
      <c r="E54" s="48" t="s">
        <v>808</v>
      </c>
      <c r="F54" s="88">
        <v>1</v>
      </c>
      <c r="G54" s="21">
        <f>D54*F54</f>
        <v>0</v>
      </c>
    </row>
    <row r="55" spans="1:7">
      <c r="A55" s="75">
        <f t="shared" si="3"/>
        <v>47</v>
      </c>
      <c r="B55" s="557" t="s">
        <v>579</v>
      </c>
      <c r="C55" s="325" t="str">
        <f ca="1">'WP_B-8'!L2&amp;" Col. (d), Line "&amp;'WP_B-8'!A55</f>
        <v>WP_B-8 Col. (d), Line 16</v>
      </c>
      <c r="D55" s="35">
        <f>'WP_B-8'!J55</f>
        <v>0</v>
      </c>
      <c r="E55" s="90" t="s">
        <v>808</v>
      </c>
      <c r="F55" s="88">
        <v>1</v>
      </c>
      <c r="G55" s="21">
        <f>D55*F55</f>
        <v>0</v>
      </c>
    </row>
    <row r="56" spans="1:7">
      <c r="A56" s="75">
        <f t="shared" si="3"/>
        <v>48</v>
      </c>
      <c r="B56" s="19" t="s">
        <v>580</v>
      </c>
      <c r="C56" s="58" t="str">
        <f>'WP_B-Inputs Act.'!L2&amp;" Line "&amp;'WP_B-Inputs Act.'!A154</f>
        <v>WP_B-Inputs Act. Line 144</v>
      </c>
      <c r="D56" s="31">
        <f>'WP_B-Inputs Act.'!E154</f>
        <v>0</v>
      </c>
      <c r="E56" s="64" t="s">
        <v>808</v>
      </c>
      <c r="F56" s="88">
        <v>1</v>
      </c>
      <c r="G56" s="21">
        <f>D56*F56</f>
        <v>0</v>
      </c>
    </row>
    <row r="57" spans="1:7">
      <c r="A57" s="75">
        <f t="shared" si="3"/>
        <v>49</v>
      </c>
      <c r="B57" s="19" t="s">
        <v>581</v>
      </c>
      <c r="C57" s="20" t="str">
        <f>'WP_B-Inputs Act.'!L2&amp;" Line "&amp;'WP_B-Inputs Act.'!A154</f>
        <v>WP_B-Inputs Act. Line 144</v>
      </c>
      <c r="D57" s="62">
        <f>'WP_B-Inputs Act.'!I154</f>
        <v>0</v>
      </c>
      <c r="E57" s="64" t="s">
        <v>808</v>
      </c>
      <c r="F57" s="88">
        <v>1</v>
      </c>
      <c r="G57" s="62">
        <f>D57*F57</f>
        <v>0</v>
      </c>
    </row>
    <row r="58" spans="1:7">
      <c r="A58" s="75">
        <f t="shared" si="3"/>
        <v>50</v>
      </c>
      <c r="B58" s="29" t="s">
        <v>517</v>
      </c>
      <c r="C58" s="19" t="str">
        <f>"Sum Lines "&amp;A48&amp;" through "&amp;A57</f>
        <v>Sum Lines 40 through 49</v>
      </c>
      <c r="D58" s="26" t="e">
        <f>SUM(D48:D57)</f>
        <v>#DIV/0!</v>
      </c>
      <c r="E58" s="64"/>
      <c r="F58" s="82"/>
      <c r="G58" s="26" t="e">
        <f>SUM(G48:G57)</f>
        <v>#DIV/0!</v>
      </c>
    </row>
    <row r="59" spans="1:7">
      <c r="A59" s="75">
        <f t="shared" si="3"/>
        <v>51</v>
      </c>
      <c r="B59" s="27"/>
      <c r="C59" s="20"/>
      <c r="D59" s="26"/>
      <c r="E59" s="64"/>
      <c r="F59" s="82"/>
      <c r="G59" s="26"/>
    </row>
    <row r="60" spans="1:7">
      <c r="A60" s="75">
        <f t="shared" si="3"/>
        <v>52</v>
      </c>
      <c r="B60" s="29" t="s">
        <v>582</v>
      </c>
      <c r="C60" s="20" t="str">
        <f>'WP_B-Inputs Act.'!L2&amp;" Line "&amp;'WP_B-Inputs Act.'!A154</f>
        <v>WP_B-Inputs Act. Line 144</v>
      </c>
      <c r="D60" s="31">
        <f>'WP_B-Inputs Act.'!K154</f>
        <v>0</v>
      </c>
      <c r="E60" s="64" t="s">
        <v>796</v>
      </c>
      <c r="F60" s="88">
        <f>TPA</f>
        <v>0</v>
      </c>
      <c r="G60" s="26">
        <f>D60*F60</f>
        <v>0</v>
      </c>
    </row>
    <row r="61" spans="1:7">
      <c r="A61" s="75">
        <f t="shared" si="3"/>
        <v>53</v>
      </c>
      <c r="B61" s="29"/>
      <c r="C61" s="20"/>
      <c r="D61" s="21"/>
      <c r="E61" s="64"/>
      <c r="F61" s="88"/>
      <c r="G61" s="26"/>
    </row>
    <row r="62" spans="1:7">
      <c r="A62" s="75">
        <f t="shared" si="3"/>
        <v>54</v>
      </c>
      <c r="B62" s="29" t="s">
        <v>865</v>
      </c>
      <c r="C62" s="20"/>
      <c r="D62" s="26"/>
      <c r="E62" s="64"/>
      <c r="F62" s="82"/>
      <c r="G62" s="26"/>
    </row>
    <row r="63" spans="1:7">
      <c r="A63" s="75">
        <f t="shared" si="3"/>
        <v>55</v>
      </c>
      <c r="B63" s="29" t="s">
        <v>547</v>
      </c>
      <c r="C63" s="340" t="s">
        <v>583</v>
      </c>
      <c r="D63" s="21">
        <v>0</v>
      </c>
      <c r="E63" s="48"/>
      <c r="F63" s="86"/>
      <c r="G63" s="21">
        <v>0</v>
      </c>
    </row>
    <row r="64" spans="1:7">
      <c r="A64" s="75">
        <f t="shared" si="3"/>
        <v>56</v>
      </c>
      <c r="B64" s="29" t="s">
        <v>850</v>
      </c>
      <c r="C64" s="20" t="str">
        <f ca="1">'WP_B-6'!E2&amp;" Line "&amp;'WP_B-6'!A81</f>
        <v>WP_B-6 Line 29</v>
      </c>
      <c r="D64" s="21">
        <f>'WP_B-6'!E81</f>
        <v>0</v>
      </c>
      <c r="E64" s="48" t="s">
        <v>796</v>
      </c>
      <c r="F64" s="88">
        <f>TPA</f>
        <v>0</v>
      </c>
      <c r="G64" s="21">
        <f t="shared" ref="G64:G69" si="4">D64*F64</f>
        <v>0</v>
      </c>
    </row>
    <row r="65" spans="1:7">
      <c r="A65" s="75">
        <f t="shared" si="3"/>
        <v>57</v>
      </c>
      <c r="B65" s="29" t="s">
        <v>851</v>
      </c>
      <c r="C65" s="20" t="str">
        <f ca="1">'WP_B-6'!E2&amp;" Line "&amp;'WP_B-6'!A83</f>
        <v>WP_B-6 Line 31</v>
      </c>
      <c r="D65" s="21">
        <f>'WP_B-6'!E83</f>
        <v>0</v>
      </c>
      <c r="E65" s="48" t="s">
        <v>815</v>
      </c>
      <c r="F65" s="86">
        <f>NPA</f>
        <v>0</v>
      </c>
      <c r="G65" s="21">
        <f t="shared" si="4"/>
        <v>0</v>
      </c>
    </row>
    <row r="66" spans="1:7">
      <c r="A66" s="75">
        <f t="shared" si="3"/>
        <v>58</v>
      </c>
      <c r="B66" s="29" t="s">
        <v>762</v>
      </c>
      <c r="C66" s="20" t="str">
        <f ca="1">'WP_B-5'!R2&amp;" Line "&amp;'WP_B-5'!A19</f>
        <v>WP_B-5 Line 8</v>
      </c>
      <c r="D66" s="31">
        <f>'WP_B-5'!R81</f>
        <v>0</v>
      </c>
      <c r="E66" s="48" t="s">
        <v>815</v>
      </c>
      <c r="F66" s="86">
        <f>NPA</f>
        <v>0</v>
      </c>
      <c r="G66" s="21">
        <f t="shared" si="4"/>
        <v>0</v>
      </c>
    </row>
    <row r="67" spans="1:7">
      <c r="A67" s="75">
        <f t="shared" si="3"/>
        <v>59</v>
      </c>
      <c r="B67" s="29" t="s">
        <v>763</v>
      </c>
      <c r="C67" s="20" t="str">
        <f ca="1">'WP_B-5'!R2&amp;" Line "&amp;'WP_B-5'!A89</f>
        <v>WP_B-5 Line 16</v>
      </c>
      <c r="D67" s="31" t="e">
        <f>'WP_B-5'!R89</f>
        <v>#DIV/0!</v>
      </c>
      <c r="E67" s="48" t="s">
        <v>812</v>
      </c>
      <c r="F67" s="86">
        <f>WSA</f>
        <v>0</v>
      </c>
      <c r="G67" s="21" t="e">
        <f t="shared" si="4"/>
        <v>#DIV/0!</v>
      </c>
    </row>
    <row r="68" spans="1:7">
      <c r="A68" s="75">
        <f t="shared" si="3"/>
        <v>60</v>
      </c>
      <c r="B68" s="29" t="s">
        <v>764</v>
      </c>
      <c r="C68" s="20" t="str">
        <f ca="1">'WP_B-5'!R2&amp;" Line "&amp;'WP_B-5'!A93</f>
        <v>WP_B-5 Line 20</v>
      </c>
      <c r="D68" s="31" t="e">
        <f>'WP_B-5'!R93</f>
        <v>#DIV/0!</v>
      </c>
      <c r="E68" s="48" t="s">
        <v>796</v>
      </c>
      <c r="F68" s="88">
        <f>TPA</f>
        <v>0</v>
      </c>
      <c r="G68" s="21" t="e">
        <f t="shared" si="4"/>
        <v>#DIV/0!</v>
      </c>
    </row>
    <row r="69" spans="1:7">
      <c r="A69" s="75">
        <f t="shared" si="3"/>
        <v>61</v>
      </c>
      <c r="B69" s="29" t="s">
        <v>790</v>
      </c>
      <c r="C69" s="20" t="str">
        <f ca="1">'WP_B-5'!R2&amp;" Line "&amp;'WP_B-5'!A114</f>
        <v>WP_B-5 Line 41</v>
      </c>
      <c r="D69" s="62" t="e">
        <f>'WP_B-5'!R114</f>
        <v>#DIV/0!</v>
      </c>
      <c r="E69" s="48" t="s">
        <v>806</v>
      </c>
      <c r="F69" s="86">
        <v>0</v>
      </c>
      <c r="G69" s="62" t="e">
        <f t="shared" si="4"/>
        <v>#DIV/0!</v>
      </c>
    </row>
    <row r="70" spans="1:7">
      <c r="A70" s="75">
        <f t="shared" si="3"/>
        <v>62</v>
      </c>
      <c r="B70" s="29" t="s">
        <v>786</v>
      </c>
      <c r="C70" s="19" t="str">
        <f>"Sum Lines "&amp;A63&amp;" through "&amp;A69</f>
        <v>Sum Lines 55 through 61</v>
      </c>
      <c r="D70" s="26" t="e">
        <f>SUM(D63:D69)</f>
        <v>#DIV/0!</v>
      </c>
      <c r="E70" s="17"/>
      <c r="F70" s="82"/>
      <c r="G70" s="26" t="e">
        <f>SUM(G63:G69)</f>
        <v>#DIV/0!</v>
      </c>
    </row>
    <row r="71" spans="1:7">
      <c r="A71" s="75">
        <f t="shared" si="3"/>
        <v>63</v>
      </c>
      <c r="B71" s="29"/>
      <c r="C71" s="8"/>
      <c r="D71" s="26"/>
      <c r="E71" s="17"/>
      <c r="F71" s="82"/>
      <c r="G71" s="26"/>
    </row>
    <row r="72" spans="1:7">
      <c r="A72" s="75">
        <f t="shared" si="3"/>
        <v>64</v>
      </c>
      <c r="B72" s="5" t="s">
        <v>1392</v>
      </c>
      <c r="C72" s="20" t="str">
        <f>"Line "&amp;A44&amp;" plus "&amp;A58&amp;" plus "&amp;A60&amp;" plus "&amp;A70</f>
        <v>Line 36 plus 50 plus 52 plus 62</v>
      </c>
      <c r="D72" s="84" t="e">
        <f>D44+D58+D60+D70</f>
        <v>#DIV/0!</v>
      </c>
      <c r="E72" s="12"/>
      <c r="F72" s="28"/>
      <c r="G72" s="84" t="e">
        <f>G44+G58+G60+G70</f>
        <v>#DIV/0!</v>
      </c>
    </row>
    <row r="73" spans="1:7">
      <c r="A73" s="75">
        <f t="shared" si="3"/>
        <v>65</v>
      </c>
      <c r="B73" s="5"/>
      <c r="C73" s="20"/>
      <c r="D73" s="36"/>
      <c r="E73" s="12"/>
      <c r="F73" s="28"/>
      <c r="G73" s="36"/>
    </row>
    <row r="74" spans="1:7">
      <c r="A74" s="75">
        <f t="shared" si="3"/>
        <v>66</v>
      </c>
      <c r="B74" s="5" t="s">
        <v>88</v>
      </c>
      <c r="C74" s="20" t="str">
        <f>"Line "&amp;A180</f>
        <v>Line 159</v>
      </c>
      <c r="D74" s="305">
        <f>G180</f>
        <v>0</v>
      </c>
      <c r="E74" s="12"/>
      <c r="F74" s="28"/>
      <c r="G74" s="305">
        <f>D74</f>
        <v>0</v>
      </c>
    </row>
    <row r="75" spans="1:7">
      <c r="A75" s="75">
        <f t="shared" si="3"/>
        <v>67</v>
      </c>
      <c r="B75" s="5"/>
      <c r="C75" s="12"/>
      <c r="D75" s="36"/>
      <c r="E75" s="12"/>
      <c r="F75" s="28"/>
      <c r="G75" s="36"/>
    </row>
    <row r="76" spans="1:7" ht="13.5" thickBot="1">
      <c r="A76" s="75">
        <f t="shared" si="3"/>
        <v>68</v>
      </c>
      <c r="B76" s="39" t="s">
        <v>780</v>
      </c>
      <c r="C76" s="39" t="str">
        <f>"Line "&amp;A72&amp;" times Line "&amp;A74</f>
        <v>Line 64 times Line 66</v>
      </c>
      <c r="D76" s="38" t="e">
        <f>D72*D74</f>
        <v>#DIV/0!</v>
      </c>
      <c r="E76" s="26"/>
      <c r="F76" s="40"/>
      <c r="G76" s="38" t="e">
        <f>IF(G72=0,0,G72*G74)</f>
        <v>#DIV/0!</v>
      </c>
    </row>
    <row r="77" spans="1:7" ht="13.5" thickTop="1">
      <c r="A77" s="17"/>
      <c r="B77" s="39"/>
      <c r="C77" s="39"/>
      <c r="D77" s="26"/>
      <c r="E77" s="26"/>
      <c r="F77" s="40"/>
      <c r="G77" s="26"/>
    </row>
    <row r="78" spans="1:7">
      <c r="A78" s="17"/>
      <c r="B78" s="14"/>
      <c r="C78" s="8"/>
      <c r="D78" s="15"/>
      <c r="E78" s="8"/>
      <c r="F78" s="8"/>
      <c r="G78" s="7"/>
    </row>
    <row r="79" spans="1:7">
      <c r="A79" s="76"/>
      <c r="B79" s="682" t="s">
        <v>548</v>
      </c>
      <c r="C79" s="459"/>
      <c r="D79" s="20"/>
      <c r="E79" s="20"/>
      <c r="F79" s="75"/>
      <c r="G79" s="459" t="s">
        <v>795</v>
      </c>
    </row>
    <row r="80" spans="1:7">
      <c r="A80" s="85" t="s">
        <v>868</v>
      </c>
      <c r="B80" s="674" t="s">
        <v>769</v>
      </c>
      <c r="C80" s="675" t="s">
        <v>875</v>
      </c>
      <c r="D80" s="678" t="s">
        <v>795</v>
      </c>
      <c r="E80" s="1207" t="s">
        <v>1316</v>
      </c>
      <c r="F80" s="1208"/>
      <c r="G80" s="678" t="s">
        <v>794</v>
      </c>
    </row>
    <row r="81" spans="1:7">
      <c r="B81" s="75" t="s">
        <v>357</v>
      </c>
      <c r="C81" s="75" t="s">
        <v>358</v>
      </c>
      <c r="D81" s="75" t="s">
        <v>359</v>
      </c>
      <c r="E81" s="1209" t="s">
        <v>360</v>
      </c>
      <c r="F81" s="1210"/>
      <c r="G81" s="676" t="s">
        <v>361</v>
      </c>
    </row>
    <row r="82" spans="1:7">
      <c r="B82" s="25"/>
      <c r="C82" s="20"/>
      <c r="D82" s="683"/>
      <c r="E82" s="682"/>
      <c r="F82" s="33"/>
      <c r="G82" s="683"/>
    </row>
    <row r="83" spans="1:7">
      <c r="A83" s="17">
        <f>A76+1</f>
        <v>69</v>
      </c>
      <c r="B83" s="5" t="s">
        <v>770</v>
      </c>
      <c r="C83" s="12"/>
      <c r="D83" s="12"/>
      <c r="E83" s="12"/>
      <c r="F83" s="12"/>
      <c r="G83" s="12"/>
    </row>
    <row r="84" spans="1:7">
      <c r="A84" s="17">
        <f t="shared" ref="A84:A117" si="5">A83+1</f>
        <v>70</v>
      </c>
      <c r="B84" s="5" t="s">
        <v>807</v>
      </c>
      <c r="C84" s="20" t="str">
        <f ca="1">'WP_C-1'!M2&amp;" Line "&amp;'WP_C-1'!A41</f>
        <v>WP_C-1 Line 31</v>
      </c>
      <c r="D84" s="21">
        <f>'WP_C-1'!M41</f>
        <v>0</v>
      </c>
      <c r="E84" s="12"/>
      <c r="F84" s="43"/>
      <c r="G84" s="26"/>
    </row>
    <row r="85" spans="1:7">
      <c r="A85" s="17">
        <f t="shared" si="5"/>
        <v>71</v>
      </c>
      <c r="B85" s="25" t="s">
        <v>849</v>
      </c>
      <c r="C85" s="20" t="str">
        <f ca="1">'WP_C-1'!M2&amp;" Line "&amp;'WP_C-1'!A46</f>
        <v>WP_C-1 Line 36</v>
      </c>
      <c r="D85" s="21">
        <f>-'WP_C-1'!M46</f>
        <v>0</v>
      </c>
      <c r="E85" s="20"/>
      <c r="F85" s="44"/>
      <c r="G85" s="21"/>
    </row>
    <row r="86" spans="1:7">
      <c r="A86" s="17">
        <f t="shared" si="5"/>
        <v>72</v>
      </c>
      <c r="B86" s="25" t="s">
        <v>539</v>
      </c>
      <c r="C86" s="20" t="str">
        <f ca="1">'WP_C-1'!M2&amp;" Line "&amp;'WP_C-1'!A15</f>
        <v>WP_C-1 Line 5</v>
      </c>
      <c r="D86" s="21">
        <f>'WP_C-1'!M15</f>
        <v>0</v>
      </c>
      <c r="E86" s="20"/>
      <c r="F86" s="44"/>
      <c r="G86" s="21"/>
    </row>
    <row r="87" spans="1:7">
      <c r="A87" s="17">
        <f t="shared" si="5"/>
        <v>73</v>
      </c>
      <c r="B87" s="25" t="s">
        <v>604</v>
      </c>
      <c r="C87" s="20" t="str">
        <f ca="1">'WP_C-1'!M2&amp;" Line "&amp;'WP_C-1'!A16</f>
        <v>WP_C-1 Line 6</v>
      </c>
      <c r="D87" s="21">
        <f>'WP_C-1'!M16</f>
        <v>0</v>
      </c>
      <c r="E87" s="20"/>
      <c r="F87" s="44"/>
      <c r="G87" s="21"/>
    </row>
    <row r="88" spans="1:7">
      <c r="A88" s="17">
        <f t="shared" si="5"/>
        <v>74</v>
      </c>
      <c r="B88" s="25" t="s">
        <v>777</v>
      </c>
      <c r="C88" s="20" t="str">
        <f ca="1">'WP_C-1'!M2&amp;" Line "&amp;'WP_C-1'!A17</f>
        <v>WP_C-1 Line 7</v>
      </c>
      <c r="D88" s="21">
        <f>'WP_C-1'!M17</f>
        <v>0</v>
      </c>
      <c r="E88" s="20"/>
      <c r="F88" s="44"/>
      <c r="G88" s="21"/>
    </row>
    <row r="89" spans="1:7">
      <c r="A89" s="17">
        <f t="shared" si="5"/>
        <v>75</v>
      </c>
      <c r="B89" s="25" t="s">
        <v>778</v>
      </c>
      <c r="C89" s="20" t="str">
        <f ca="1">'WP_C-1'!M2&amp;" Line "&amp;'WP_C-1'!A18</f>
        <v>WP_C-1 Line 8</v>
      </c>
      <c r="D89" s="21">
        <f>'WP_C-1'!M18</f>
        <v>0</v>
      </c>
      <c r="E89" s="20"/>
      <c r="F89" s="44"/>
      <c r="G89" s="21"/>
    </row>
    <row r="90" spans="1:7">
      <c r="A90" s="17">
        <f t="shared" si="5"/>
        <v>76</v>
      </c>
      <c r="B90" s="25" t="s">
        <v>605</v>
      </c>
      <c r="C90" s="20" t="str">
        <f ca="1">'WP_C-1'!M2&amp;" Line "&amp;'WP_C-1'!A19</f>
        <v>WP_C-1 Line 9</v>
      </c>
      <c r="D90" s="21">
        <f>'WP_C-1'!M19</f>
        <v>0</v>
      </c>
      <c r="E90" s="20"/>
      <c r="F90" s="44"/>
      <c r="G90" s="21"/>
    </row>
    <row r="91" spans="1:7">
      <c r="A91" s="17">
        <f t="shared" si="5"/>
        <v>77</v>
      </c>
      <c r="B91" s="25" t="s">
        <v>584</v>
      </c>
      <c r="C91" s="20" t="str">
        <f ca="1">'WP_C-1'!M2&amp;" Line "&amp;'WP_C-1'!A23</f>
        <v>WP_C-1 Line 13</v>
      </c>
      <c r="D91" s="31">
        <f>-'WP_C-1'!M23</f>
        <v>0</v>
      </c>
      <c r="E91" s="20"/>
      <c r="F91" s="22"/>
      <c r="G91" s="31"/>
    </row>
    <row r="92" spans="1:7">
      <c r="A92" s="17">
        <f t="shared" si="5"/>
        <v>78</v>
      </c>
      <c r="B92" s="123" t="s">
        <v>96</v>
      </c>
      <c r="C92" s="20" t="str">
        <f ca="1">'WP_C-1'!M2&amp;" Line "&amp;'WP_C-1'!A44</f>
        <v>WP_C-1 Line 34</v>
      </c>
      <c r="D92" s="62">
        <f>'WP_C-1'!M44</f>
        <v>0</v>
      </c>
      <c r="E92" s="20"/>
      <c r="F92" s="22"/>
      <c r="G92" s="62"/>
    </row>
    <row r="93" spans="1:7" ht="12.75" customHeight="1">
      <c r="A93" s="17">
        <f t="shared" si="5"/>
        <v>79</v>
      </c>
      <c r="B93" s="45" t="s">
        <v>771</v>
      </c>
      <c r="C93" s="19" t="str">
        <f>"Sum Lines "&amp;A84&amp;" through "&amp;A92</f>
        <v>Sum Lines 70 through 78</v>
      </c>
      <c r="D93" s="46">
        <f>SUM(D84:D92)</f>
        <v>0</v>
      </c>
      <c r="E93" s="91" t="s">
        <v>796</v>
      </c>
      <c r="F93" s="88">
        <f>TPA</f>
        <v>0</v>
      </c>
      <c r="G93" s="46">
        <f>D93*F93</f>
        <v>0</v>
      </c>
    </row>
    <row r="94" spans="1:7">
      <c r="A94" s="17">
        <f t="shared" si="5"/>
        <v>80</v>
      </c>
      <c r="B94" s="5"/>
      <c r="C94" s="25"/>
      <c r="D94" s="26"/>
      <c r="E94" s="64"/>
      <c r="F94" s="82"/>
      <c r="G94" s="26"/>
    </row>
    <row r="95" spans="1:7">
      <c r="A95" s="17">
        <f t="shared" si="5"/>
        <v>81</v>
      </c>
      <c r="B95" s="5" t="s">
        <v>585</v>
      </c>
      <c r="C95" s="20" t="str">
        <f ca="1">'WP_C-2'!G2&amp;" Line "&amp;'WP_C-2'!A25</f>
        <v>WP_C-2 Line 15</v>
      </c>
      <c r="D95" s="21">
        <f>'WP_C-2'!G58</f>
        <v>1986554.0053645067</v>
      </c>
      <c r="E95" s="64"/>
      <c r="F95" s="82"/>
      <c r="G95" s="26"/>
    </row>
    <row r="96" spans="1:7">
      <c r="A96" s="17">
        <f t="shared" si="5"/>
        <v>82</v>
      </c>
      <c r="B96" s="25" t="s">
        <v>66</v>
      </c>
      <c r="C96" s="20" t="str">
        <f ca="1">'WP_C-2'!G2&amp;" Line "&amp;'WP_C-2'!A15</f>
        <v>WP_C-2 Line 5</v>
      </c>
      <c r="D96" s="62">
        <f>-'WP_C-2'!E48</f>
        <v>0</v>
      </c>
      <c r="E96" s="64"/>
      <c r="F96" s="82"/>
      <c r="G96" s="26"/>
    </row>
    <row r="97" spans="1:7">
      <c r="A97" s="17">
        <f t="shared" si="5"/>
        <v>83</v>
      </c>
      <c r="B97" s="5" t="s">
        <v>772</v>
      </c>
      <c r="C97" s="19" t="str">
        <f>"Sum Lines "&amp;A95&amp;" through "&amp;A96</f>
        <v>Sum Lines 81 through 82</v>
      </c>
      <c r="D97" s="21">
        <f>SUM(D95:D96)</f>
        <v>1986554.0053645067</v>
      </c>
      <c r="E97" s="64" t="s">
        <v>812</v>
      </c>
      <c r="F97" s="86">
        <f>WSA</f>
        <v>0</v>
      </c>
      <c r="G97" s="46">
        <f>D97*F97</f>
        <v>0</v>
      </c>
    </row>
    <row r="98" spans="1:7">
      <c r="A98" s="17">
        <f t="shared" si="5"/>
        <v>84</v>
      </c>
      <c r="B98" s="25" t="s">
        <v>550</v>
      </c>
      <c r="C98" s="20" t="str">
        <f>"Line "&amp;A96</f>
        <v>Line 82</v>
      </c>
      <c r="D98" s="21">
        <f>-D96</f>
        <v>0</v>
      </c>
      <c r="E98" s="64" t="s">
        <v>815</v>
      </c>
      <c r="F98" s="82">
        <f>NPA</f>
        <v>0</v>
      </c>
      <c r="G98" s="26">
        <f>D98*F98</f>
        <v>0</v>
      </c>
    </row>
    <row r="99" spans="1:7">
      <c r="A99" s="17">
        <f t="shared" si="5"/>
        <v>85</v>
      </c>
      <c r="B99" s="25" t="s">
        <v>549</v>
      </c>
      <c r="C99" s="20" t="str">
        <f ca="1">'WP_C-4'!F2&amp;" Line "&amp;'WP_C-4'!A46</f>
        <v>WP_C-4 Line 21</v>
      </c>
      <c r="D99" s="62">
        <f>'WP_C-4'!D46</f>
        <v>0</v>
      </c>
      <c r="E99" s="64" t="s">
        <v>808</v>
      </c>
      <c r="F99" s="82">
        <v>1</v>
      </c>
      <c r="G99" s="84">
        <f>D99*F99</f>
        <v>0</v>
      </c>
    </row>
    <row r="100" spans="1:7">
      <c r="A100" s="17">
        <f t="shared" si="5"/>
        <v>86</v>
      </c>
      <c r="B100" s="5" t="s">
        <v>773</v>
      </c>
      <c r="C100" s="19" t="str">
        <f>"Sum Lines "&amp;A97&amp;" through "&amp;A99</f>
        <v>Sum Lines 83 through 85</v>
      </c>
      <c r="D100" s="26">
        <f>SUM(D97:D99)</f>
        <v>1986554.0053645067</v>
      </c>
      <c r="E100" s="12"/>
      <c r="F100" s="30"/>
      <c r="G100" s="26">
        <f>SUM(G97:G99)</f>
        <v>0</v>
      </c>
    </row>
    <row r="101" spans="1:7">
      <c r="A101" s="17">
        <f t="shared" si="5"/>
        <v>87</v>
      </c>
      <c r="B101" s="25"/>
      <c r="C101" s="20"/>
      <c r="D101" s="21"/>
      <c r="E101" s="12"/>
      <c r="F101" s="30"/>
      <c r="G101" s="26"/>
    </row>
    <row r="102" spans="1:7">
      <c r="A102" s="17">
        <f t="shared" si="5"/>
        <v>88</v>
      </c>
      <c r="B102" s="5" t="s">
        <v>774</v>
      </c>
      <c r="C102" s="20" t="str">
        <f>"Line "&amp;A93&amp;" plus Line "&amp;A100</f>
        <v>Line 79 plus Line 86</v>
      </c>
      <c r="D102" s="26">
        <f>D93+D100</f>
        <v>1986554.0053645067</v>
      </c>
      <c r="E102" s="12"/>
      <c r="F102" s="12"/>
      <c r="G102" s="26">
        <f>G93+G100</f>
        <v>0</v>
      </c>
    </row>
    <row r="103" spans="1:7">
      <c r="A103" s="17">
        <f t="shared" si="5"/>
        <v>89</v>
      </c>
      <c r="B103" s="32"/>
      <c r="C103" s="20"/>
      <c r="D103" s="26"/>
      <c r="E103" s="12"/>
      <c r="F103" s="12"/>
      <c r="G103" s="26"/>
    </row>
    <row r="104" spans="1:7">
      <c r="A104" s="17">
        <f t="shared" si="5"/>
        <v>90</v>
      </c>
      <c r="B104" s="7"/>
      <c r="C104" s="33"/>
      <c r="D104" s="26"/>
      <c r="E104" s="10"/>
      <c r="F104" s="27"/>
      <c r="G104" s="47"/>
    </row>
    <row r="105" spans="1:7">
      <c r="A105" s="17">
        <f t="shared" si="5"/>
        <v>91</v>
      </c>
      <c r="B105" s="29" t="s">
        <v>792</v>
      </c>
      <c r="C105" s="48"/>
      <c r="D105" s="26"/>
      <c r="E105" s="12"/>
      <c r="F105" s="12"/>
      <c r="G105" s="26"/>
    </row>
    <row r="106" spans="1:7" s="313" customFormat="1">
      <c r="A106" s="75">
        <f t="shared" si="5"/>
        <v>92</v>
      </c>
      <c r="B106" s="23" t="s">
        <v>807</v>
      </c>
      <c r="C106" s="20" t="str">
        <f ca="1">'WP_B-1'!G2&amp;" Line "&amp;'WP_B-1'!A76&amp;" "&amp;'WP_B-1'!G52</f>
        <v>WP_B-1 Line 24 Col. (d)</v>
      </c>
      <c r="D106" s="24">
        <f>'WP_B-1'!G76</f>
        <v>0</v>
      </c>
      <c r="E106" s="87" t="s">
        <v>808</v>
      </c>
      <c r="F106" s="88">
        <v>1</v>
      </c>
      <c r="G106" s="24">
        <f t="shared" ref="G106:G114" si="6">D106*F106</f>
        <v>0</v>
      </c>
    </row>
    <row r="107" spans="1:7" s="313" customFormat="1">
      <c r="A107" s="75">
        <f t="shared" si="5"/>
        <v>93</v>
      </c>
      <c r="B107" s="23" t="s">
        <v>1087</v>
      </c>
      <c r="C107" s="33" t="str">
        <f ca="1">'WP_B-8'!L2&amp;" Col (f), Line "&amp;'WP_B-8'!A57</f>
        <v>WP_B-8 Col (f), Line 18</v>
      </c>
      <c r="D107" s="24">
        <f>'WP_B-8'!L57</f>
        <v>0</v>
      </c>
      <c r="E107" s="87" t="s">
        <v>808</v>
      </c>
      <c r="F107" s="88">
        <v>1</v>
      </c>
      <c r="G107" s="24">
        <f t="shared" si="6"/>
        <v>0</v>
      </c>
    </row>
    <row r="108" spans="1:7" s="313" customFormat="1">
      <c r="A108" s="75">
        <f t="shared" si="5"/>
        <v>94</v>
      </c>
      <c r="B108" s="23" t="s">
        <v>1088</v>
      </c>
      <c r="C108" s="20" t="str">
        <f>'WP_B-Inputs Act.'!L2&amp;" Line "&amp;'WP_B-Inputs Act.'!A154</f>
        <v>WP_B-Inputs Act. Line 144</v>
      </c>
      <c r="D108" s="21">
        <f>'WP_B-Inputs Act.'!D154</f>
        <v>0</v>
      </c>
      <c r="E108" s="48" t="s">
        <v>808</v>
      </c>
      <c r="F108" s="88">
        <v>1</v>
      </c>
      <c r="G108" s="24">
        <f t="shared" si="6"/>
        <v>0</v>
      </c>
    </row>
    <row r="109" spans="1:7" s="313" customFormat="1">
      <c r="A109" s="75">
        <f t="shared" si="5"/>
        <v>95</v>
      </c>
      <c r="B109" s="23" t="s">
        <v>1089</v>
      </c>
      <c r="C109" s="20" t="str">
        <f>'WP_B-Inputs Act.'!L2&amp;" Line "&amp;'WP_B-Inputs Act.'!A154</f>
        <v>WP_B-Inputs Act. Line 144</v>
      </c>
      <c r="D109" s="21">
        <f>'WP_B-Inputs Act.'!H154</f>
        <v>0</v>
      </c>
      <c r="E109" s="48" t="s">
        <v>808</v>
      </c>
      <c r="F109" s="88">
        <v>1</v>
      </c>
      <c r="G109" s="24">
        <f t="shared" si="6"/>
        <v>0</v>
      </c>
    </row>
    <row r="110" spans="1:7" s="313" customFormat="1">
      <c r="A110" s="75">
        <f t="shared" si="5"/>
        <v>96</v>
      </c>
      <c r="B110" s="19" t="s">
        <v>817</v>
      </c>
      <c r="C110" s="20" t="str">
        <f ca="1">'WP_B-1'!G2&amp;" Line "&amp;'WP_B-1'!A35&amp;" "&amp;'WP_B-1'!G52</f>
        <v>WP_B-1 Line 26 Col. (d)</v>
      </c>
      <c r="D110" s="21">
        <f>'WP_B-1'!G78</f>
        <v>0</v>
      </c>
      <c r="E110" s="48" t="s">
        <v>812</v>
      </c>
      <c r="F110" s="86">
        <f>WSA</f>
        <v>0</v>
      </c>
      <c r="G110" s="24">
        <f t="shared" si="6"/>
        <v>0</v>
      </c>
    </row>
    <row r="111" spans="1:7" s="313" customFormat="1">
      <c r="A111" s="75">
        <f t="shared" si="5"/>
        <v>97</v>
      </c>
      <c r="B111" s="19" t="s">
        <v>818</v>
      </c>
      <c r="C111" s="20" t="str">
        <f ca="1">'WP_B-1'!G2&amp;" Line "&amp;'WP_B-1'!A36&amp;" "&amp;'WP_B-1'!G52</f>
        <v>WP_B-1 Line 27 Col. (d)</v>
      </c>
      <c r="D111" s="31">
        <f>'WP_B-1'!G79</f>
        <v>0</v>
      </c>
      <c r="E111" s="48" t="s">
        <v>812</v>
      </c>
      <c r="F111" s="86">
        <f>WSA</f>
        <v>0</v>
      </c>
      <c r="G111" s="335">
        <f t="shared" si="6"/>
        <v>0</v>
      </c>
    </row>
    <row r="112" spans="1:7" s="313" customFormat="1">
      <c r="A112" s="75">
        <f t="shared" si="5"/>
        <v>98</v>
      </c>
      <c r="B112" s="123" t="s">
        <v>920</v>
      </c>
      <c r="C112" s="20" t="str">
        <f ca="1">'WP_B-1'!G2&amp;" Line "&amp;'WP_B-1'!A37&amp;" "&amp;'WP_B-1'!G52</f>
        <v>WP_B-1 Line 28 Col. (d)</v>
      </c>
      <c r="D112" s="31">
        <f>'WP_B-1'!G80</f>
        <v>0</v>
      </c>
      <c r="E112" s="48" t="s">
        <v>921</v>
      </c>
      <c r="F112" s="86">
        <f>CEA</f>
        <v>7.9146557159999992E-2</v>
      </c>
      <c r="G112" s="335">
        <f t="shared" si="6"/>
        <v>0</v>
      </c>
    </row>
    <row r="113" spans="1:7" s="313" customFormat="1">
      <c r="A113" s="75">
        <f t="shared" si="5"/>
        <v>99</v>
      </c>
      <c r="B113" s="123" t="s">
        <v>919</v>
      </c>
      <c r="C113" s="20" t="str">
        <f ca="1">'WP_B-1'!G2&amp;" Line "&amp;'WP_B-1'!A38&amp;" "&amp;'WP_B-1'!G52</f>
        <v>WP_B-1 Line 29 Col. (d)</v>
      </c>
      <c r="D113" s="31">
        <f>'WP_B-1'!G81</f>
        <v>0</v>
      </c>
      <c r="E113" s="48" t="s">
        <v>921</v>
      </c>
      <c r="F113" s="86">
        <f>CEA</f>
        <v>7.9146557159999992E-2</v>
      </c>
      <c r="G113" s="335">
        <f t="shared" si="6"/>
        <v>0</v>
      </c>
    </row>
    <row r="114" spans="1:7">
      <c r="A114" s="17">
        <f t="shared" si="5"/>
        <v>100</v>
      </c>
      <c r="B114" s="123" t="s">
        <v>1269</v>
      </c>
      <c r="C114" s="20" t="str">
        <f ca="1">'WP_B-4'!U2&amp;" Line "&amp;'WP_B-4'!A25&amp;" Col. "&amp;'WP_B-4'!T9</f>
        <v>WP_B-4 Line 15 Col. Col. (o)</v>
      </c>
      <c r="D114" s="62">
        <f>'WP_B-4'!T58</f>
        <v>0</v>
      </c>
      <c r="E114" s="48" t="s">
        <v>808</v>
      </c>
      <c r="F114" s="88">
        <v>1</v>
      </c>
      <c r="G114" s="62">
        <f t="shared" si="6"/>
        <v>0</v>
      </c>
    </row>
    <row r="115" spans="1:7">
      <c r="A115" s="17">
        <f t="shared" si="5"/>
        <v>101</v>
      </c>
      <c r="B115" s="29" t="s">
        <v>696</v>
      </c>
      <c r="C115" s="19" t="str">
        <f>"Sum Lines "&amp;A106&amp;" through "&amp;A114</f>
        <v>Sum Lines 92 through 100</v>
      </c>
      <c r="D115" s="26">
        <f>SUM(D106:D114)</f>
        <v>0</v>
      </c>
      <c r="E115" s="12"/>
      <c r="F115" s="12"/>
      <c r="G115" s="26">
        <f>SUM(G106:G114)</f>
        <v>0</v>
      </c>
    </row>
    <row r="116" spans="1:7">
      <c r="A116" s="17">
        <f t="shared" si="5"/>
        <v>102</v>
      </c>
      <c r="B116" s="29"/>
      <c r="C116" s="20"/>
      <c r="D116" s="26"/>
      <c r="E116" s="12"/>
      <c r="F116" s="12"/>
      <c r="G116" s="26"/>
    </row>
    <row r="117" spans="1:7">
      <c r="A117" s="17">
        <f t="shared" si="5"/>
        <v>103</v>
      </c>
      <c r="B117" s="29" t="s">
        <v>692</v>
      </c>
      <c r="C117" s="340" t="s">
        <v>586</v>
      </c>
      <c r="D117" s="26"/>
      <c r="E117" s="12"/>
      <c r="F117" s="12"/>
      <c r="G117" s="26"/>
    </row>
    <row r="118" spans="1:7">
      <c r="A118" s="17">
        <f t="shared" ref="A118:A145" si="7">A117+1</f>
        <v>104</v>
      </c>
      <c r="B118" s="29" t="s">
        <v>819</v>
      </c>
      <c r="C118" s="20" t="str">
        <f ca="1">'WP_D-1'!G2&amp;" Line "&amp;'WP_D-1'!A14</f>
        <v>WP_D-1 Line 5</v>
      </c>
      <c r="D118" s="21">
        <f>'WP_D-1'!G14</f>
        <v>0</v>
      </c>
      <c r="E118" s="64" t="s">
        <v>812</v>
      </c>
      <c r="F118" s="86">
        <f>WSA</f>
        <v>0</v>
      </c>
      <c r="G118" s="26">
        <f>D118*F118</f>
        <v>0</v>
      </c>
    </row>
    <row r="119" spans="1:7">
      <c r="A119" s="17">
        <f t="shared" si="7"/>
        <v>105</v>
      </c>
      <c r="B119" s="29" t="s">
        <v>820</v>
      </c>
      <c r="C119" s="20" t="str">
        <f ca="1">'WP_D-1'!G2&amp;" Line "&amp;'WP_D-1'!A18</f>
        <v>WP_D-1 Line 9</v>
      </c>
      <c r="D119" s="21">
        <f>'WP_D-1'!G18</f>
        <v>0</v>
      </c>
      <c r="E119" s="48" t="s">
        <v>815</v>
      </c>
      <c r="F119" s="86">
        <f>NPA</f>
        <v>0</v>
      </c>
      <c r="G119" s="26">
        <f>D119*F119</f>
        <v>0</v>
      </c>
    </row>
    <row r="120" spans="1:7">
      <c r="A120" s="17">
        <f t="shared" si="7"/>
        <v>106</v>
      </c>
      <c r="B120" s="101" t="s">
        <v>85</v>
      </c>
      <c r="C120" s="20" t="str">
        <f ca="1">'WP_D-1'!G2&amp;" Line "&amp;'WP_D-1'!A21</f>
        <v>WP_D-1 Line 12</v>
      </c>
      <c r="D120" s="62">
        <f>'WP_D-1'!G21</f>
        <v>0</v>
      </c>
      <c r="E120" s="64" t="s">
        <v>806</v>
      </c>
      <c r="F120" s="82">
        <v>0</v>
      </c>
      <c r="G120" s="84">
        <f>D120*F120</f>
        <v>0</v>
      </c>
    </row>
    <row r="121" spans="1:7">
      <c r="A121" s="17">
        <f t="shared" si="7"/>
        <v>107</v>
      </c>
      <c r="B121" s="29" t="s">
        <v>693</v>
      </c>
      <c r="C121" s="19" t="str">
        <f>"Sum Lines "&amp;A118&amp;" through "&amp;A120</f>
        <v>Sum Lines 104 through 106</v>
      </c>
      <c r="D121" s="26">
        <f>SUM(D118:D120)</f>
        <v>0</v>
      </c>
      <c r="E121" s="12"/>
      <c r="F121" s="50"/>
      <c r="G121" s="26">
        <f>SUM(G118:G120)</f>
        <v>0</v>
      </c>
    </row>
    <row r="122" spans="1:7">
      <c r="A122" s="17">
        <f t="shared" si="7"/>
        <v>108</v>
      </c>
      <c r="B122" s="29"/>
      <c r="C122" s="12"/>
      <c r="D122" s="12"/>
      <c r="E122" s="12"/>
      <c r="F122" s="50"/>
      <c r="G122" s="12"/>
    </row>
    <row r="123" spans="1:7">
      <c r="A123" s="17">
        <f t="shared" si="7"/>
        <v>109</v>
      </c>
      <c r="B123" s="29" t="s">
        <v>694</v>
      </c>
      <c r="C123" s="64" t="s">
        <v>587</v>
      </c>
      <c r="D123" s="12"/>
      <c r="E123" s="27"/>
      <c r="F123" s="27"/>
      <c r="G123" s="27"/>
    </row>
    <row r="124" spans="1:7">
      <c r="A124" s="17">
        <f t="shared" si="7"/>
        <v>110</v>
      </c>
      <c r="B124" s="51" t="s">
        <v>821</v>
      </c>
      <c r="C124" s="12"/>
      <c r="D124" s="130">
        <f>ROUND(IF(D227&gt;0,1-(((1-D228)*(1-D227))/(1-D227*D228*D229)),0),4)</f>
        <v>0.38009999999999999</v>
      </c>
      <c r="E124" s="27"/>
      <c r="F124" s="27"/>
      <c r="G124" s="27"/>
    </row>
    <row r="125" spans="1:7">
      <c r="A125" s="17">
        <f t="shared" si="7"/>
        <v>111</v>
      </c>
      <c r="B125" s="32" t="s">
        <v>822</v>
      </c>
      <c r="C125" s="12"/>
      <c r="D125" s="129">
        <f>ROUND(IF(G180&gt;0,(D124/(1-D124))*(1-G177/G180),0),4)</f>
        <v>0</v>
      </c>
      <c r="E125" s="27"/>
      <c r="F125" s="27"/>
      <c r="G125" s="27"/>
    </row>
    <row r="126" spans="1:7">
      <c r="A126" s="17">
        <f t="shared" si="7"/>
        <v>112</v>
      </c>
      <c r="B126" s="19" t="s">
        <v>938</v>
      </c>
      <c r="C126" s="20"/>
      <c r="D126" s="12"/>
      <c r="E126" s="27"/>
      <c r="F126" s="52"/>
      <c r="G126" s="27"/>
    </row>
    <row r="127" spans="1:7">
      <c r="A127" s="17">
        <f t="shared" si="7"/>
        <v>113</v>
      </c>
      <c r="B127" s="19" t="s">
        <v>588</v>
      </c>
      <c r="C127" s="12"/>
      <c r="D127" s="12"/>
      <c r="E127" s="27"/>
      <c r="F127" s="52"/>
      <c r="G127" s="27"/>
    </row>
    <row r="128" spans="1:7">
      <c r="A128" s="17">
        <f t="shared" si="7"/>
        <v>114</v>
      </c>
      <c r="B128" s="39" t="s">
        <v>939</v>
      </c>
      <c r="C128" s="12"/>
      <c r="D128" s="53">
        <f>ROUND(IF(D124&gt;0,1/(1-D124),0),4)</f>
        <v>1.6132</v>
      </c>
      <c r="E128" s="26"/>
      <c r="F128" s="40"/>
      <c r="G128" s="26"/>
    </row>
    <row r="129" spans="1:7">
      <c r="A129" s="17">
        <f t="shared" si="7"/>
        <v>115</v>
      </c>
      <c r="B129" s="29" t="s">
        <v>864</v>
      </c>
      <c r="C129" s="20" t="s">
        <v>99</v>
      </c>
      <c r="D129" s="238">
        <v>-2283792</v>
      </c>
      <c r="E129" s="26"/>
      <c r="F129" s="40"/>
      <c r="G129" s="40"/>
    </row>
    <row r="130" spans="1:7">
      <c r="A130" s="17">
        <f t="shared" si="7"/>
        <v>116</v>
      </c>
      <c r="B130" s="29"/>
      <c r="C130" s="12"/>
      <c r="D130" s="26"/>
      <c r="E130" s="26"/>
      <c r="F130" s="40"/>
      <c r="G130" s="26"/>
    </row>
    <row r="131" spans="1:7">
      <c r="A131" s="17">
        <f t="shared" si="7"/>
        <v>117</v>
      </c>
      <c r="B131" s="51" t="s">
        <v>823</v>
      </c>
      <c r="C131" s="307" t="str">
        <f>"Line "&amp;A76&amp;" times Line "&amp;A125</f>
        <v>Line 68 times Line 111</v>
      </c>
      <c r="D131" s="26" t="e">
        <f>ROUND(D76*D125,0)</f>
        <v>#DIV/0!</v>
      </c>
      <c r="E131" s="26"/>
      <c r="F131" s="26"/>
      <c r="G131" s="26" t="e">
        <f>IF(G76=0,0,ROUND(G76*D125,0))</f>
        <v>#DIV/0!</v>
      </c>
    </row>
    <row r="132" spans="1:7">
      <c r="A132" s="17">
        <f t="shared" si="7"/>
        <v>118</v>
      </c>
      <c r="B132" s="32" t="s">
        <v>785</v>
      </c>
      <c r="C132" s="307" t="str">
        <f>"Line "&amp;A128&amp;" times Line "&amp;A129</f>
        <v>Line 114 times Line 115</v>
      </c>
      <c r="D132" s="84">
        <f>ROUND(D128*D129,0)</f>
        <v>-3684213</v>
      </c>
      <c r="E132" s="40" t="s">
        <v>815</v>
      </c>
      <c r="F132" s="82">
        <f>NPA</f>
        <v>0</v>
      </c>
      <c r="G132" s="84">
        <f>D132*F132</f>
        <v>0</v>
      </c>
    </row>
    <row r="133" spans="1:7">
      <c r="A133" s="17">
        <f t="shared" si="7"/>
        <v>119</v>
      </c>
      <c r="B133" s="51" t="s">
        <v>695</v>
      </c>
      <c r="C133" s="19" t="str">
        <f>"Sum Lines "&amp;A131&amp;" through "&amp;A132</f>
        <v>Sum Lines 117 through 118</v>
      </c>
      <c r="D133" s="54" t="e">
        <f>SUM(D131:D132)</f>
        <v>#DIV/0!</v>
      </c>
      <c r="E133" s="26" t="s">
        <v>793</v>
      </c>
      <c r="F133" s="26" t="s">
        <v>793</v>
      </c>
      <c r="G133" s="54" t="e">
        <f>SUM(G131:G132)</f>
        <v>#DIV/0!</v>
      </c>
    </row>
    <row r="134" spans="1:7">
      <c r="A134" s="17">
        <f t="shared" si="7"/>
        <v>120</v>
      </c>
      <c r="B134" s="32"/>
      <c r="C134" s="55"/>
      <c r="D134" s="26"/>
      <c r="E134" s="26"/>
      <c r="F134" s="26"/>
      <c r="G134" s="26"/>
    </row>
    <row r="135" spans="1:7">
      <c r="A135" s="17">
        <f t="shared" si="7"/>
        <v>121</v>
      </c>
      <c r="B135" s="51"/>
      <c r="C135" s="27"/>
      <c r="D135" s="26"/>
      <c r="E135" s="26"/>
      <c r="F135" s="40"/>
      <c r="G135" s="26"/>
    </row>
    <row r="136" spans="1:7">
      <c r="A136" s="17">
        <f t="shared" si="7"/>
        <v>122</v>
      </c>
      <c r="B136" s="72" t="s">
        <v>776</v>
      </c>
      <c r="C136" s="74" t="s">
        <v>589</v>
      </c>
    </row>
    <row r="137" spans="1:7">
      <c r="A137" s="17">
        <f t="shared" si="7"/>
        <v>123</v>
      </c>
      <c r="B137" s="313" t="s">
        <v>210</v>
      </c>
      <c r="C137" s="313" t="str">
        <f ca="1">'WP_E-1'!F2&amp;" Line "&amp;'WP_E-1'!A31</f>
        <v>WP_E-1 Line 4</v>
      </c>
      <c r="D137" s="168">
        <f>'WP_E-1'!F31</f>
        <v>0</v>
      </c>
      <c r="E137" s="74" t="s">
        <v>808</v>
      </c>
      <c r="F137" s="92">
        <v>1</v>
      </c>
      <c r="G137" s="93">
        <f>D137*F137</f>
        <v>0</v>
      </c>
    </row>
    <row r="138" spans="1:7">
      <c r="A138" s="17">
        <f>A137+1</f>
        <v>124</v>
      </c>
      <c r="B138" s="313" t="s">
        <v>518</v>
      </c>
      <c r="C138" s="313" t="str">
        <f ca="1">'WP_E-1'!F2&amp;" Line "&amp;'WP_E-1'!A41</f>
        <v>WP_E-1 Line 14</v>
      </c>
      <c r="D138" s="168">
        <f>'WP_E-1'!F41</f>
        <v>0</v>
      </c>
      <c r="E138" s="74" t="s">
        <v>657</v>
      </c>
      <c r="F138" s="287">
        <f>WSA</f>
        <v>0</v>
      </c>
      <c r="G138" s="93">
        <f>D138*F138</f>
        <v>0</v>
      </c>
    </row>
    <row r="139" spans="1:7">
      <c r="A139" s="17">
        <f>A138+1</f>
        <v>125</v>
      </c>
      <c r="B139" s="313" t="s">
        <v>1728</v>
      </c>
      <c r="C139" s="313" t="str">
        <f ca="1">'WP_E-1'!F2&amp;" Line "&amp;'WP_E-1'!A36</f>
        <v>WP_E-1 Line 9</v>
      </c>
      <c r="D139" s="168">
        <f>'WP_E-1'!F36</f>
        <v>0</v>
      </c>
      <c r="E139" s="74" t="s">
        <v>808</v>
      </c>
      <c r="F139" s="92">
        <v>1</v>
      </c>
      <c r="G139" s="93">
        <f>D139*F139</f>
        <v>0</v>
      </c>
    </row>
    <row r="140" spans="1:7">
      <c r="A140" s="17">
        <f t="shared" si="7"/>
        <v>126</v>
      </c>
      <c r="B140" s="313" t="s">
        <v>91</v>
      </c>
      <c r="C140" s="313" t="str">
        <f ca="1">'WP_F-1'!R2&amp;" Line "&amp;'WP_F-1'!A118&amp;" Col. (b)"</f>
        <v>WP_F-1 Line 46 Col. (b)</v>
      </c>
      <c r="D140" s="168">
        <f>'WP_F-1'!F118</f>
        <v>0</v>
      </c>
      <c r="E140" s="420" t="s">
        <v>808</v>
      </c>
      <c r="F140" s="679">
        <v>1</v>
      </c>
      <c r="G140" s="635">
        <f>D140*F140</f>
        <v>0</v>
      </c>
    </row>
    <row r="141" spans="1:7">
      <c r="A141" s="17">
        <f t="shared" si="7"/>
        <v>127</v>
      </c>
      <c r="B141" s="313" t="s">
        <v>91</v>
      </c>
      <c r="C141" s="313" t="str">
        <f ca="1">'WP_F-1'!R2&amp;" Line "&amp;'WP_F-1'!A118&amp;" Col. (c)"</f>
        <v>WP_F-1 Line 46 Col. (c)</v>
      </c>
      <c r="D141" s="169">
        <f>'WP_F-1'!G118</f>
        <v>0</v>
      </c>
      <c r="E141" s="420" t="s">
        <v>808</v>
      </c>
      <c r="F141" s="679">
        <v>1</v>
      </c>
      <c r="G141" s="680">
        <f>D141*F141</f>
        <v>0</v>
      </c>
    </row>
    <row r="142" spans="1:7">
      <c r="A142" s="17">
        <f t="shared" si="7"/>
        <v>128</v>
      </c>
      <c r="B142" s="684" t="s">
        <v>334</v>
      </c>
      <c r="C142" s="313" t="s">
        <v>1224</v>
      </c>
      <c r="D142" s="170">
        <v>726905</v>
      </c>
      <c r="E142" s="420" t="s">
        <v>808</v>
      </c>
      <c r="F142" s="679">
        <v>1</v>
      </c>
      <c r="G142" s="681">
        <f>IF(D137=0,0,D142*F142)</f>
        <v>0</v>
      </c>
    </row>
    <row r="143" spans="1:7">
      <c r="A143" s="17">
        <f t="shared" si="7"/>
        <v>129</v>
      </c>
      <c r="B143" s="313" t="s">
        <v>797</v>
      </c>
      <c r="C143" s="19"/>
      <c r="D143" s="635">
        <f>SUM(D137:D142)</f>
        <v>726905</v>
      </c>
      <c r="E143" s="313"/>
      <c r="F143" s="313"/>
      <c r="G143" s="635">
        <f>SUM(G137:G142)</f>
        <v>0</v>
      </c>
    </row>
    <row r="144" spans="1:7" ht="13.5" thickBot="1">
      <c r="A144" s="17">
        <f t="shared" si="7"/>
        <v>130</v>
      </c>
      <c r="B144" s="29"/>
      <c r="C144" s="27"/>
      <c r="D144" s="36"/>
      <c r="E144" s="26"/>
      <c r="F144" s="40"/>
      <c r="G144" s="36"/>
    </row>
    <row r="145" spans="1:7" ht="13.5" thickBot="1">
      <c r="A145" s="17">
        <f t="shared" si="7"/>
        <v>131</v>
      </c>
      <c r="B145" s="5" t="s">
        <v>195</v>
      </c>
      <c r="C145" s="56"/>
      <c r="D145" s="319" t="e">
        <f>D76+D102+D115+D121+D133-D143</f>
        <v>#DIV/0!</v>
      </c>
      <c r="E145" s="26"/>
      <c r="F145" s="26"/>
      <c r="G145" s="540" t="e">
        <f>G76+G102+G115+G121+G133-G143</f>
        <v>#DIV/0!</v>
      </c>
    </row>
    <row r="146" spans="1:7" ht="13.5" thickTop="1">
      <c r="A146" s="17"/>
      <c r="B146" s="5"/>
      <c r="C146" s="56"/>
      <c r="D146" s="36"/>
      <c r="E146" s="26"/>
      <c r="F146" s="26"/>
      <c r="G146" s="36"/>
    </row>
    <row r="147" spans="1:7">
      <c r="A147" s="17"/>
      <c r="B147" s="5"/>
      <c r="C147" s="56"/>
      <c r="D147" s="36"/>
      <c r="E147" s="26"/>
      <c r="F147" s="26"/>
      <c r="G147" s="36"/>
    </row>
    <row r="148" spans="1:7">
      <c r="A148" s="17"/>
      <c r="B148" s="5"/>
      <c r="C148" s="56"/>
      <c r="D148" s="36"/>
      <c r="E148" s="26"/>
      <c r="F148" s="26"/>
      <c r="G148" s="36"/>
    </row>
    <row r="149" spans="1:7">
      <c r="A149" s="17"/>
      <c r="B149" s="14"/>
      <c r="C149" s="8"/>
      <c r="D149" s="12"/>
      <c r="E149" s="12"/>
      <c r="F149" s="17"/>
      <c r="G149" s="42" t="s">
        <v>795</v>
      </c>
    </row>
    <row r="150" spans="1:7">
      <c r="A150" s="85" t="s">
        <v>868</v>
      </c>
      <c r="B150" s="674" t="s">
        <v>781</v>
      </c>
      <c r="C150" s="675" t="s">
        <v>875</v>
      </c>
      <c r="D150" s="678" t="s">
        <v>795</v>
      </c>
      <c r="E150" s="1207" t="s">
        <v>1316</v>
      </c>
      <c r="F150" s="1208"/>
      <c r="G150" s="678" t="s">
        <v>794</v>
      </c>
    </row>
    <row r="151" spans="1:7">
      <c r="B151" s="75" t="s">
        <v>357</v>
      </c>
      <c r="C151" s="75" t="s">
        <v>358</v>
      </c>
      <c r="D151" s="75" t="s">
        <v>359</v>
      </c>
      <c r="E151" s="1209" t="s">
        <v>360</v>
      </c>
      <c r="F151" s="1210"/>
      <c r="G151" s="676" t="s">
        <v>361</v>
      </c>
    </row>
    <row r="152" spans="1:7">
      <c r="B152" s="9"/>
      <c r="C152" s="8"/>
      <c r="D152" s="8"/>
      <c r="E152" s="8"/>
      <c r="F152" s="8"/>
      <c r="G152" s="8"/>
    </row>
    <row r="153" spans="1:7">
      <c r="A153" s="17">
        <f>A145+1</f>
        <v>132</v>
      </c>
      <c r="B153" s="25" t="s">
        <v>551</v>
      </c>
      <c r="C153" s="75" t="s">
        <v>1093</v>
      </c>
      <c r="D153" s="37"/>
      <c r="E153" s="37"/>
      <c r="F153" s="37"/>
      <c r="G153" s="27"/>
    </row>
    <row r="154" spans="1:7">
      <c r="A154" s="17">
        <f t="shared" ref="A154:A193" si="8">A153+1</f>
        <v>133</v>
      </c>
      <c r="B154" s="37" t="s">
        <v>552</v>
      </c>
      <c r="C154" s="57" t="str">
        <f ca="1">'WP_B-1'!G2&amp;" Col (a), Line "&amp;'WP_B-1'!A55</f>
        <v>WP_B-1 Col (a), Line 3</v>
      </c>
      <c r="D154" s="7"/>
      <c r="E154" s="58"/>
      <c r="F154" s="58"/>
      <c r="G154" s="21">
        <f>'WP_B-1'!D55</f>
        <v>0</v>
      </c>
    </row>
    <row r="155" spans="1:7">
      <c r="A155" s="17">
        <f t="shared" si="8"/>
        <v>134</v>
      </c>
      <c r="B155" s="37" t="s">
        <v>885</v>
      </c>
      <c r="C155" s="57" t="str">
        <f ca="1">'WP_B-4'!U2&amp;" Col. (c), Line "&amp;'WP_B-4'!A58</f>
        <v>WP_B-4 Col. (c), Line 15</v>
      </c>
      <c r="D155" s="7"/>
      <c r="E155" s="58"/>
      <c r="F155" s="58"/>
      <c r="G155" s="62">
        <f>'WP_B-4'!E58</f>
        <v>0</v>
      </c>
    </row>
    <row r="156" spans="1:7">
      <c r="A156" s="17">
        <f t="shared" si="8"/>
        <v>135</v>
      </c>
      <c r="B156" s="37" t="s">
        <v>553</v>
      </c>
      <c r="C156" s="19" t="str">
        <f>"Sum Lines "&amp;A153&amp;" through "&amp;A154</f>
        <v>Sum Lines 132 through 133</v>
      </c>
      <c r="D156" s="7"/>
      <c r="E156" s="58"/>
      <c r="F156" s="58"/>
      <c r="G156" s="21">
        <f>SUM(G154:G155)</f>
        <v>0</v>
      </c>
    </row>
    <row r="157" spans="1:7">
      <c r="A157" s="17">
        <f t="shared" si="8"/>
        <v>136</v>
      </c>
      <c r="B157" s="37" t="s">
        <v>554</v>
      </c>
      <c r="C157" s="20" t="str">
        <f>'WP_B-Inputs Act.'!L2&amp;" Line "&amp;'WP_B-Inputs Act.'!A129</f>
        <v>WP_B-Inputs Act. Line 119</v>
      </c>
      <c r="D157" s="59"/>
      <c r="E157" s="34"/>
      <c r="F157" s="34"/>
      <c r="G157" s="62">
        <f>-'WP_B-Inputs Act.'!C129</f>
        <v>0</v>
      </c>
    </row>
    <row r="158" spans="1:7">
      <c r="A158" s="17">
        <f t="shared" si="8"/>
        <v>137</v>
      </c>
      <c r="B158" s="37" t="s">
        <v>690</v>
      </c>
      <c r="C158" s="19" t="str">
        <f>"Sum Lines "&amp;A155&amp;" through "&amp;A156</f>
        <v>Sum Lines 134 through 135</v>
      </c>
      <c r="D158" s="7"/>
      <c r="E158" s="58"/>
      <c r="F158" s="18"/>
      <c r="G158" s="26">
        <f>SUM(G156:G157)</f>
        <v>0</v>
      </c>
    </row>
    <row r="159" spans="1:7">
      <c r="A159" s="17">
        <f t="shared" si="8"/>
        <v>138</v>
      </c>
      <c r="B159" s="37" t="s">
        <v>560</v>
      </c>
      <c r="C159" s="308" t="str">
        <f>"Line "&amp;A158&amp;" divided by Line "&amp;A156</f>
        <v>Line 137 divided by Line 135</v>
      </c>
      <c r="D159" s="7"/>
      <c r="E159" s="60"/>
      <c r="F159" s="95" t="s">
        <v>824</v>
      </c>
      <c r="G159" s="94">
        <f>IF(G158=0,0,ROUND(G158/SUM(G156),5))</f>
        <v>0</v>
      </c>
    </row>
    <row r="160" spans="1:7">
      <c r="A160" s="17">
        <f t="shared" si="8"/>
        <v>139</v>
      </c>
      <c r="B160" s="61"/>
      <c r="C160" s="37"/>
      <c r="D160" s="37"/>
      <c r="E160" s="37"/>
      <c r="F160" s="37"/>
      <c r="G160" s="8"/>
    </row>
    <row r="161" spans="1:7">
      <c r="A161" s="17">
        <f t="shared" si="8"/>
        <v>140</v>
      </c>
      <c r="B161" s="5" t="s">
        <v>783</v>
      </c>
      <c r="C161" s="306"/>
      <c r="D161" s="12"/>
      <c r="E161" s="12"/>
      <c r="F161" s="12"/>
      <c r="G161" s="12"/>
    </row>
    <row r="162" spans="1:7">
      <c r="A162" s="17">
        <f t="shared" si="8"/>
        <v>141</v>
      </c>
      <c r="B162" s="5" t="s">
        <v>805</v>
      </c>
      <c r="C162" s="20" t="s">
        <v>100</v>
      </c>
      <c r="D162" s="238">
        <v>71260423</v>
      </c>
      <c r="E162" s="64" t="s">
        <v>806</v>
      </c>
      <c r="F162" s="82">
        <v>0</v>
      </c>
      <c r="G162" s="26">
        <f>D162*F162</f>
        <v>0</v>
      </c>
    </row>
    <row r="163" spans="1:7" s="313" customFormat="1">
      <c r="A163" s="75">
        <f t="shared" si="8"/>
        <v>142</v>
      </c>
      <c r="B163" s="19" t="s">
        <v>807</v>
      </c>
      <c r="C163" s="20" t="str">
        <f ca="1">'WP_C-1'!M2&amp;" Line "&amp;'WP_C-1'!A41&amp;" Col. (b)"</f>
        <v>WP_C-1 Line 31 Col. (b)</v>
      </c>
      <c r="D163" s="290">
        <f>'WP_C-1'!L41</f>
        <v>0</v>
      </c>
      <c r="E163" s="75" t="s">
        <v>796</v>
      </c>
      <c r="F163" s="88">
        <f>TPA</f>
        <v>0</v>
      </c>
      <c r="G163" s="21">
        <f>D163*F163</f>
        <v>0</v>
      </c>
    </row>
    <row r="164" spans="1:7">
      <c r="A164" s="17">
        <f t="shared" si="8"/>
        <v>143</v>
      </c>
      <c r="B164" s="29" t="s">
        <v>866</v>
      </c>
      <c r="C164" s="20" t="s">
        <v>101</v>
      </c>
      <c r="D164" s="238">
        <v>302631</v>
      </c>
      <c r="E164" s="75" t="s">
        <v>806</v>
      </c>
      <c r="F164" s="82">
        <v>0</v>
      </c>
      <c r="G164" s="26">
        <f>D164*F164</f>
        <v>0</v>
      </c>
    </row>
    <row r="165" spans="1:7">
      <c r="A165" s="17">
        <f t="shared" si="8"/>
        <v>144</v>
      </c>
      <c r="B165" s="29" t="s">
        <v>810</v>
      </c>
      <c r="C165" s="20" t="s">
        <v>102</v>
      </c>
      <c r="D165" s="238">
        <v>41006893</v>
      </c>
      <c r="E165" s="64" t="s">
        <v>806</v>
      </c>
      <c r="F165" s="82">
        <v>0</v>
      </c>
      <c r="G165" s="26">
        <f>D165*F165</f>
        <v>0</v>
      </c>
    </row>
    <row r="166" spans="1:7">
      <c r="A166" s="17">
        <f t="shared" si="8"/>
        <v>145</v>
      </c>
      <c r="B166" s="29" t="s">
        <v>826</v>
      </c>
      <c r="C166" s="20" t="s">
        <v>103</v>
      </c>
      <c r="D166" s="289">
        <v>13865684</v>
      </c>
      <c r="E166" s="64" t="s">
        <v>806</v>
      </c>
      <c r="F166" s="82">
        <v>0</v>
      </c>
      <c r="G166" s="84">
        <f>D166*F166</f>
        <v>0</v>
      </c>
    </row>
    <row r="167" spans="1:7">
      <c r="A167" s="17">
        <f t="shared" si="8"/>
        <v>146</v>
      </c>
      <c r="B167" s="19" t="s">
        <v>795</v>
      </c>
      <c r="C167" s="19" t="str">
        <f>"Sum Lines "&amp;A162&amp;" through "&amp;A166</f>
        <v>Sum Lines 141 through 145</v>
      </c>
      <c r="D167" s="26">
        <f>SUM(D162:D166)</f>
        <v>126435631</v>
      </c>
      <c r="E167" s="12"/>
      <c r="F167" s="12"/>
      <c r="G167" s="26">
        <f>SUM(G162:G166)</f>
        <v>0</v>
      </c>
    </row>
    <row r="168" spans="1:7">
      <c r="A168" s="17">
        <f t="shared" si="8"/>
        <v>147</v>
      </c>
      <c r="B168" s="29" t="s">
        <v>793</v>
      </c>
      <c r="C168" s="12" t="s">
        <v>793</v>
      </c>
      <c r="D168" s="27"/>
      <c r="E168" s="7"/>
      <c r="F168" s="7"/>
      <c r="G168" s="7"/>
    </row>
    <row r="169" spans="1:7">
      <c r="A169" s="17">
        <f t="shared" si="8"/>
        <v>148</v>
      </c>
      <c r="B169" s="29" t="s">
        <v>791</v>
      </c>
      <c r="C169" s="12" t="str">
        <f>"Line "&amp;A167&amp;", Col. "&amp;G151&amp;" divided by Col. "&amp;D151</f>
        <v>Line 146, Col. Col. (5) divided by Col. Col. (3)</v>
      </c>
      <c r="D169" s="27"/>
      <c r="E169" s="7"/>
      <c r="F169" s="63" t="s">
        <v>784</v>
      </c>
      <c r="G169" s="96">
        <f>IF(D167=0,0,ROUND(G167/D167,5))</f>
        <v>0</v>
      </c>
    </row>
    <row r="170" spans="1:7">
      <c r="A170" s="17">
        <f t="shared" si="8"/>
        <v>149</v>
      </c>
      <c r="B170" s="29"/>
      <c r="C170" s="12"/>
      <c r="D170" s="27"/>
      <c r="E170" s="7"/>
      <c r="F170" s="63"/>
      <c r="G170" s="96"/>
    </row>
    <row r="171" spans="1:7">
      <c r="A171" s="17">
        <f t="shared" si="8"/>
        <v>150</v>
      </c>
      <c r="B171" s="12" t="s">
        <v>942</v>
      </c>
      <c r="C171" s="12" t="s">
        <v>104</v>
      </c>
      <c r="D171" s="27"/>
      <c r="E171" s="7"/>
      <c r="F171" s="63"/>
      <c r="G171" s="333">
        <v>0.71807799999999999</v>
      </c>
    </row>
    <row r="172" spans="1:7">
      <c r="A172" s="17">
        <f t="shared" si="8"/>
        <v>151</v>
      </c>
      <c r="B172" s="29"/>
      <c r="C172" s="29" t="str">
        <f>"W/S Allocator, Line "&amp;A169</f>
        <v>W/S Allocator, Line 148</v>
      </c>
      <c r="D172" s="27"/>
      <c r="E172" s="7"/>
      <c r="F172" s="63"/>
      <c r="G172" s="125">
        <f>WS</f>
        <v>0.11022</v>
      </c>
    </row>
    <row r="173" spans="1:7">
      <c r="A173" s="17">
        <f t="shared" si="8"/>
        <v>152</v>
      </c>
      <c r="B173" s="12"/>
      <c r="C173" s="72" t="str">
        <f>"Line "&amp;A171&amp;" times Line "&amp;A172</f>
        <v>Line 150 times Line 151</v>
      </c>
      <c r="D173" s="27"/>
      <c r="E173" s="7"/>
      <c r="F173" s="63" t="s">
        <v>922</v>
      </c>
      <c r="G173" s="96">
        <f>G171*G172</f>
        <v>7.9146557159999992E-2</v>
      </c>
    </row>
    <row r="174" spans="1:7">
      <c r="A174" s="17">
        <f t="shared" si="8"/>
        <v>153</v>
      </c>
      <c r="B174" s="29"/>
      <c r="C174" s="12"/>
      <c r="D174" s="12"/>
      <c r="E174" s="12"/>
      <c r="F174" s="12"/>
      <c r="G174" s="12"/>
    </row>
    <row r="175" spans="1:7">
      <c r="A175" s="17">
        <f t="shared" si="8"/>
        <v>154</v>
      </c>
      <c r="C175" s="12"/>
      <c r="D175" s="12"/>
      <c r="E175" s="12"/>
      <c r="F175" s="64"/>
      <c r="G175" s="12"/>
    </row>
    <row r="176" spans="1:7">
      <c r="A176" s="17">
        <f t="shared" si="8"/>
        <v>155</v>
      </c>
      <c r="B176" s="29" t="s">
        <v>1189</v>
      </c>
      <c r="C176" s="64" t="s">
        <v>1188</v>
      </c>
      <c r="D176" s="127" t="s">
        <v>825</v>
      </c>
      <c r="E176" s="127" t="s">
        <v>828</v>
      </c>
      <c r="F176" s="128" t="s">
        <v>827</v>
      </c>
      <c r="G176" s="127" t="s">
        <v>829</v>
      </c>
    </row>
    <row r="177" spans="1:7">
      <c r="A177" s="17">
        <f t="shared" si="8"/>
        <v>156</v>
      </c>
      <c r="B177" s="20" t="s">
        <v>686</v>
      </c>
      <c r="C177" s="20" t="str">
        <f ca="1">'WP_G-1'!Q2&amp;" Line "&amp;'WP_G-1'!A61</f>
        <v>WP_G-1 Line 6</v>
      </c>
      <c r="D177" s="21">
        <f>'WP_G-1'!Q61</f>
        <v>0</v>
      </c>
      <c r="E177" s="81">
        <f>IF(D177=0,0,ROUND(D177/$D$180,4))</f>
        <v>0</v>
      </c>
      <c r="F177" s="81">
        <f>'WP_G-1'!P82</f>
        <v>0</v>
      </c>
      <c r="G177" s="65">
        <f>ROUND(E177*F177,4)</f>
        <v>0</v>
      </c>
    </row>
    <row r="178" spans="1:7">
      <c r="A178" s="17">
        <f t="shared" si="8"/>
        <v>157</v>
      </c>
      <c r="B178" s="20" t="s">
        <v>665</v>
      </c>
      <c r="C178" s="33" t="str">
        <f ca="1">'WP_G-1'!Q2&amp;" Line "&amp;'WP_G-1'!A63</f>
        <v>WP_G-1 Line 8</v>
      </c>
      <c r="D178" s="21">
        <f>'WP_G-1'!Q63</f>
        <v>0</v>
      </c>
      <c r="E178" s="81">
        <f>IF(D178=0,0,ROUND(D178/$D$180,4))</f>
        <v>0</v>
      </c>
      <c r="F178" s="81">
        <v>0</v>
      </c>
      <c r="G178" s="65">
        <f>ROUND(E178*F178,4)</f>
        <v>0</v>
      </c>
    </row>
    <row r="179" spans="1:7">
      <c r="A179" s="17">
        <f t="shared" si="8"/>
        <v>158</v>
      </c>
      <c r="B179" s="20" t="s">
        <v>687</v>
      </c>
      <c r="C179" s="33" t="str">
        <f ca="1">'WP_G-1'!Q2&amp;" Line "&amp;'WP_G-1'!A69</f>
        <v>WP_G-1 Line 14</v>
      </c>
      <c r="D179" s="62">
        <f>'WP_G-1'!Q69</f>
        <v>0</v>
      </c>
      <c r="E179" s="81">
        <f>IF(D179=0,0,ROUND(D179/$D$180,4))</f>
        <v>0</v>
      </c>
      <c r="F179" s="81">
        <v>9.7199999999999995E-2</v>
      </c>
      <c r="G179" s="126">
        <f>ROUND(E179*F179,4)</f>
        <v>0</v>
      </c>
    </row>
    <row r="180" spans="1:7">
      <c r="A180" s="17">
        <f t="shared" si="8"/>
        <v>159</v>
      </c>
      <c r="B180" s="19" t="s">
        <v>688</v>
      </c>
      <c r="C180" s="19" t="str">
        <f>"Sum Lines "&amp;A177&amp;" through "&amp;A179</f>
        <v>Sum Lines 156 through 158</v>
      </c>
      <c r="D180" s="21">
        <f>SUM(D177:D179)</f>
        <v>0</v>
      </c>
      <c r="E180" s="20"/>
      <c r="F180" s="66" t="s">
        <v>1410</v>
      </c>
      <c r="G180" s="67">
        <f>SUM(G177:G179)</f>
        <v>0</v>
      </c>
    </row>
    <row r="181" spans="1:7">
      <c r="A181" s="17">
        <f t="shared" si="8"/>
        <v>160</v>
      </c>
      <c r="B181" s="14"/>
      <c r="C181" s="8"/>
      <c r="D181" s="15"/>
      <c r="E181" s="8"/>
      <c r="F181" s="8"/>
      <c r="G181" s="7"/>
    </row>
    <row r="182" spans="1:7">
      <c r="A182" s="17">
        <f t="shared" si="8"/>
        <v>161</v>
      </c>
      <c r="C182" s="8"/>
      <c r="D182" s="13"/>
      <c r="E182" s="8"/>
      <c r="F182" s="8"/>
      <c r="G182" s="232"/>
    </row>
    <row r="183" spans="1:7">
      <c r="A183" s="17">
        <f t="shared" si="8"/>
        <v>162</v>
      </c>
      <c r="B183" s="8" t="s">
        <v>1409</v>
      </c>
      <c r="C183" s="8"/>
      <c r="D183" s="968" t="s">
        <v>1736</v>
      </c>
      <c r="E183" s="8"/>
      <c r="G183" s="233"/>
    </row>
    <row r="184" spans="1:7">
      <c r="A184" s="17">
        <f t="shared" si="8"/>
        <v>163</v>
      </c>
      <c r="B184" s="229"/>
      <c r="C184" s="8"/>
      <c r="D184" s="15"/>
      <c r="E184" s="8"/>
      <c r="G184" s="234"/>
    </row>
    <row r="185" spans="1:7">
      <c r="A185" s="17">
        <f t="shared" si="8"/>
        <v>164</v>
      </c>
      <c r="B185" s="229" t="s">
        <v>1400</v>
      </c>
      <c r="C185" s="8" t="s">
        <v>563</v>
      </c>
      <c r="D185" s="226">
        <v>12401986380</v>
      </c>
      <c r="E185" s="8"/>
      <c r="G185" s="235"/>
    </row>
    <row r="186" spans="1:7">
      <c r="A186" s="17">
        <f t="shared" si="8"/>
        <v>165</v>
      </c>
      <c r="B186" s="229" t="s">
        <v>1401</v>
      </c>
      <c r="C186" s="586">
        <v>356</v>
      </c>
      <c r="D186" s="226">
        <v>547833465</v>
      </c>
      <c r="E186" s="8"/>
      <c r="G186" s="235"/>
    </row>
    <row r="187" spans="1:7">
      <c r="A187" s="17">
        <f t="shared" si="8"/>
        <v>166</v>
      </c>
      <c r="B187" s="229" t="s">
        <v>1402</v>
      </c>
      <c r="C187" s="8" t="s">
        <v>564</v>
      </c>
      <c r="D187" s="226">
        <v>26270332</v>
      </c>
      <c r="E187" s="8"/>
      <c r="G187" s="235"/>
    </row>
    <row r="188" spans="1:7">
      <c r="A188" s="17">
        <f t="shared" si="8"/>
        <v>167</v>
      </c>
      <c r="B188" s="229" t="s">
        <v>1403</v>
      </c>
      <c r="C188" s="8" t="s">
        <v>565</v>
      </c>
      <c r="D188" s="226">
        <v>265209821</v>
      </c>
      <c r="E188" s="8"/>
      <c r="G188" s="235"/>
    </row>
    <row r="189" spans="1:7">
      <c r="A189" s="17">
        <f t="shared" si="8"/>
        <v>168</v>
      </c>
      <c r="B189" s="229" t="s">
        <v>1405</v>
      </c>
      <c r="C189" s="586">
        <v>356</v>
      </c>
      <c r="D189" s="227">
        <v>92624754</v>
      </c>
      <c r="E189" s="8"/>
      <c r="G189" s="235"/>
    </row>
    <row r="190" spans="1:7">
      <c r="A190" s="17">
        <f t="shared" si="8"/>
        <v>169</v>
      </c>
      <c r="B190" s="229" t="s">
        <v>1406</v>
      </c>
      <c r="C190" s="19" t="str">
        <f>"Sum Lines "&amp;A185&amp;" through "&amp;A189</f>
        <v>Sum Lines 164 through 168</v>
      </c>
      <c r="D190" s="225">
        <f>SUM(D185:D189)</f>
        <v>13333924752</v>
      </c>
      <c r="E190" s="8"/>
      <c r="G190" s="235"/>
    </row>
    <row r="191" spans="1:7">
      <c r="A191" s="17">
        <f t="shared" si="8"/>
        <v>170</v>
      </c>
      <c r="B191" s="229" t="s">
        <v>1407</v>
      </c>
      <c r="C191" s="228" t="s">
        <v>566</v>
      </c>
      <c r="D191" s="967">
        <v>17650346661</v>
      </c>
      <c r="E191" s="8"/>
      <c r="G191" s="235"/>
    </row>
    <row r="192" spans="1:7">
      <c r="A192" s="17">
        <f t="shared" si="8"/>
        <v>171</v>
      </c>
      <c r="B192" s="8"/>
      <c r="C192" s="8"/>
      <c r="D192" s="225"/>
      <c r="E192" s="8"/>
      <c r="G192" s="235"/>
    </row>
    <row r="193" spans="1:7">
      <c r="A193" s="17">
        <f t="shared" si="8"/>
        <v>172</v>
      </c>
      <c r="B193" s="229" t="s">
        <v>1408</v>
      </c>
      <c r="C193" s="8" t="str">
        <f>"Line "&amp;A190&amp;" divided by Line "&amp;A191</f>
        <v>Line 169 divided by Line 170</v>
      </c>
      <c r="D193" s="230">
        <f>IF(D191=0,0,D190/D191)</f>
        <v>0.75544832110649052</v>
      </c>
      <c r="E193" s="231"/>
      <c r="G193" s="236"/>
    </row>
    <row r="194" spans="1:7">
      <c r="A194" s="17"/>
      <c r="B194" s="14"/>
      <c r="C194" s="8"/>
      <c r="D194" s="15"/>
      <c r="E194" s="8"/>
      <c r="F194" s="8"/>
      <c r="G194" s="7"/>
    </row>
    <row r="195" spans="1:7">
      <c r="A195" s="17"/>
      <c r="B195" s="14"/>
      <c r="C195" s="8"/>
      <c r="D195" s="15"/>
      <c r="E195" s="8"/>
      <c r="F195" s="8"/>
      <c r="G195" s="7"/>
    </row>
    <row r="196" spans="1:7">
      <c r="A196" s="9" t="s">
        <v>376</v>
      </c>
      <c r="B196" s="68"/>
      <c r="C196" s="69"/>
      <c r="D196" s="69"/>
      <c r="E196" s="7"/>
      <c r="F196" s="7"/>
      <c r="G196" s="70"/>
    </row>
    <row r="197" spans="1:7">
      <c r="A197" s="9"/>
      <c r="B197" s="68"/>
      <c r="C197" s="69"/>
      <c r="D197" s="69"/>
      <c r="E197" s="7"/>
      <c r="F197" s="7"/>
      <c r="G197" s="70"/>
    </row>
    <row r="198" spans="1:7">
      <c r="A198" s="77"/>
      <c r="B198" s="25"/>
      <c r="C198" s="37"/>
      <c r="D198" s="20"/>
      <c r="E198" s="20"/>
      <c r="F198" s="20"/>
      <c r="G198" s="20"/>
    </row>
    <row r="199" spans="1:7">
      <c r="A199" s="339" t="s">
        <v>89</v>
      </c>
      <c r="B199" s="25"/>
      <c r="C199" s="37"/>
      <c r="D199" s="20"/>
      <c r="E199" s="20"/>
      <c r="F199" s="20"/>
      <c r="G199" s="20"/>
    </row>
    <row r="200" spans="1:7">
      <c r="A200" s="339" t="s">
        <v>830</v>
      </c>
      <c r="B200" s="25" t="s">
        <v>1082</v>
      </c>
      <c r="C200" s="71"/>
      <c r="D200" s="37"/>
      <c r="E200" s="37"/>
      <c r="F200" s="37"/>
      <c r="G200" s="37"/>
    </row>
    <row r="201" spans="1:7">
      <c r="A201" s="339" t="s">
        <v>831</v>
      </c>
      <c r="B201" s="25" t="s">
        <v>166</v>
      </c>
      <c r="C201" s="37"/>
      <c r="D201" s="37"/>
      <c r="E201" s="37"/>
      <c r="F201" s="37"/>
      <c r="G201" s="37"/>
    </row>
    <row r="202" spans="1:7">
      <c r="A202" s="339"/>
      <c r="B202" s="25" t="s">
        <v>356</v>
      </c>
      <c r="C202" s="37"/>
      <c r="D202" s="37"/>
      <c r="E202" s="37"/>
      <c r="F202" s="37"/>
      <c r="G202" s="37"/>
    </row>
    <row r="203" spans="1:7">
      <c r="A203" s="339"/>
      <c r="B203" s="25" t="s">
        <v>562</v>
      </c>
      <c r="C203" s="37"/>
      <c r="D203" s="37"/>
      <c r="E203" s="37"/>
      <c r="F203" s="37"/>
      <c r="G203" s="37"/>
    </row>
    <row r="204" spans="1:7" ht="18.75" customHeight="1">
      <c r="A204" s="961" t="s">
        <v>832</v>
      </c>
      <c r="B204" s="1211" t="s">
        <v>1695</v>
      </c>
      <c r="C204" s="1211"/>
      <c r="D204" s="1211"/>
      <c r="E204" s="1211"/>
      <c r="F204" s="1211"/>
      <c r="G204" s="1211"/>
    </row>
    <row r="205" spans="1:7" ht="23.25" customHeight="1">
      <c r="A205" s="75"/>
      <c r="B205" s="1211"/>
      <c r="C205" s="1211"/>
      <c r="D205" s="1211"/>
      <c r="E205" s="1211"/>
      <c r="F205" s="1211"/>
      <c r="G205" s="1211"/>
    </row>
    <row r="206" spans="1:7" ht="36" customHeight="1">
      <c r="A206" s="75"/>
      <c r="B206" s="1211"/>
      <c r="C206" s="1211"/>
      <c r="D206" s="1211"/>
      <c r="E206" s="1211"/>
      <c r="F206" s="1211"/>
      <c r="G206" s="1211"/>
    </row>
    <row r="207" spans="1:7">
      <c r="A207" s="75" t="s">
        <v>833</v>
      </c>
      <c r="B207" s="25" t="s">
        <v>575</v>
      </c>
      <c r="C207" s="37"/>
      <c r="D207" s="37"/>
      <c r="E207" s="37"/>
      <c r="F207" s="37"/>
      <c r="G207" s="37"/>
    </row>
    <row r="208" spans="1:7">
      <c r="A208" s="75"/>
      <c r="B208" s="25" t="s">
        <v>567</v>
      </c>
      <c r="C208" s="37"/>
      <c r="D208" s="37"/>
      <c r="E208" s="37"/>
      <c r="F208" s="37"/>
      <c r="G208" s="37"/>
    </row>
    <row r="209" spans="1:7">
      <c r="A209" s="75" t="s">
        <v>834</v>
      </c>
      <c r="B209" s="25" t="s">
        <v>491</v>
      </c>
      <c r="C209" s="37"/>
      <c r="D209" s="37"/>
      <c r="E209" s="37"/>
      <c r="F209" s="37"/>
      <c r="G209" s="37"/>
    </row>
    <row r="210" spans="1:7">
      <c r="A210" s="75"/>
      <c r="B210" s="25" t="s">
        <v>775</v>
      </c>
      <c r="C210" s="37"/>
      <c r="D210" s="37"/>
      <c r="E210" s="37"/>
      <c r="F210" s="37"/>
      <c r="G210" s="37"/>
    </row>
    <row r="211" spans="1:7">
      <c r="A211" s="75"/>
      <c r="B211" s="25" t="s">
        <v>196</v>
      </c>
      <c r="C211" s="37"/>
      <c r="D211" s="37"/>
      <c r="E211" s="37"/>
      <c r="F211" s="37"/>
      <c r="G211" s="37"/>
    </row>
    <row r="212" spans="1:7">
      <c r="A212" s="75" t="s">
        <v>835</v>
      </c>
      <c r="B212" s="25" t="s">
        <v>691</v>
      </c>
      <c r="C212" s="37"/>
      <c r="D212" s="37"/>
      <c r="E212" s="37"/>
      <c r="F212" s="37"/>
      <c r="G212" s="37"/>
    </row>
    <row r="213" spans="1:7">
      <c r="A213" s="75" t="s">
        <v>836</v>
      </c>
      <c r="B213" s="25" t="s">
        <v>1411</v>
      </c>
      <c r="C213" s="37"/>
      <c r="D213" s="37"/>
      <c r="E213" s="37"/>
      <c r="F213" s="37"/>
      <c r="G213" s="19"/>
    </row>
    <row r="214" spans="1:7">
      <c r="A214" s="75" t="s">
        <v>837</v>
      </c>
      <c r="B214" s="25" t="s">
        <v>492</v>
      </c>
      <c r="C214" s="37"/>
      <c r="D214" s="37"/>
      <c r="E214" s="37"/>
      <c r="F214" s="37"/>
      <c r="G214" s="37"/>
    </row>
    <row r="215" spans="1:7">
      <c r="A215" s="75" t="s">
        <v>838</v>
      </c>
      <c r="B215" s="25" t="s">
        <v>1083</v>
      </c>
      <c r="C215" s="33"/>
      <c r="D215" s="33"/>
      <c r="E215" s="33"/>
      <c r="F215" s="33"/>
      <c r="G215" s="33"/>
    </row>
    <row r="216" spans="1:7">
      <c r="A216" s="75"/>
      <c r="B216" s="25" t="s">
        <v>1084</v>
      </c>
      <c r="C216" s="33"/>
      <c r="D216" s="33"/>
      <c r="E216" s="33"/>
      <c r="F216" s="33"/>
      <c r="G216" s="33"/>
    </row>
    <row r="217" spans="1:7">
      <c r="A217" s="75"/>
      <c r="B217" s="25" t="s">
        <v>197</v>
      </c>
      <c r="C217" s="33"/>
      <c r="D217" s="33"/>
      <c r="E217" s="33"/>
      <c r="F217" s="33"/>
      <c r="G217" s="33"/>
    </row>
    <row r="218" spans="1:7">
      <c r="A218" s="339"/>
      <c r="B218" s="25" t="s">
        <v>1086</v>
      </c>
      <c r="C218" s="33"/>
      <c r="D218" s="33"/>
      <c r="E218" s="33"/>
      <c r="F218" s="33"/>
      <c r="G218" s="33"/>
    </row>
    <row r="219" spans="1:7">
      <c r="A219" s="101"/>
      <c r="B219" s="25" t="s">
        <v>503</v>
      </c>
      <c r="C219" s="37"/>
      <c r="D219" s="20"/>
      <c r="E219" s="33"/>
      <c r="F219" s="33"/>
      <c r="G219" s="33"/>
    </row>
    <row r="220" spans="1:7">
      <c r="A220" s="339" t="s">
        <v>839</v>
      </c>
      <c r="B220" s="25" t="s">
        <v>506</v>
      </c>
      <c r="C220" s="33"/>
      <c r="D220" s="33"/>
      <c r="E220" s="33"/>
      <c r="F220" s="33"/>
      <c r="G220" s="33"/>
    </row>
    <row r="221" spans="1:7">
      <c r="A221" s="101"/>
      <c r="B221" s="25" t="s">
        <v>1090</v>
      </c>
      <c r="C221" s="33"/>
      <c r="D221" s="33"/>
      <c r="E221" s="33"/>
      <c r="F221" s="33"/>
      <c r="G221" s="33"/>
    </row>
    <row r="222" spans="1:7">
      <c r="A222" s="75" t="s">
        <v>840</v>
      </c>
      <c r="B222" s="25" t="s">
        <v>844</v>
      </c>
      <c r="C222" s="37"/>
      <c r="D222" s="37"/>
      <c r="E222" s="37"/>
      <c r="F222" s="37"/>
      <c r="G222" s="37"/>
    </row>
    <row r="223" spans="1:7">
      <c r="A223" s="103"/>
      <c r="B223" s="25" t="s">
        <v>753</v>
      </c>
      <c r="C223" s="37"/>
      <c r="D223" s="37"/>
      <c r="E223" s="37"/>
      <c r="F223" s="37"/>
      <c r="G223" s="37"/>
    </row>
    <row r="224" spans="1:7">
      <c r="A224" s="103"/>
      <c r="B224" s="25" t="s">
        <v>754</v>
      </c>
      <c r="C224" s="37"/>
      <c r="D224" s="37"/>
      <c r="E224" s="37"/>
      <c r="F224" s="37"/>
      <c r="G224" s="37"/>
    </row>
    <row r="225" spans="1:7">
      <c r="A225" s="103"/>
      <c r="B225" s="25" t="s">
        <v>1091</v>
      </c>
      <c r="C225" s="37"/>
      <c r="D225" s="37"/>
      <c r="E225" s="37"/>
      <c r="F225" s="37"/>
      <c r="G225" s="37"/>
    </row>
    <row r="226" spans="1:7">
      <c r="A226" s="103"/>
      <c r="B226" s="25" t="s">
        <v>1092</v>
      </c>
      <c r="C226" s="37"/>
      <c r="D226" s="37"/>
      <c r="E226" s="37"/>
      <c r="F226" s="37"/>
      <c r="G226" s="37"/>
    </row>
    <row r="227" spans="1:7">
      <c r="A227" s="103" t="s">
        <v>793</v>
      </c>
      <c r="B227" s="25" t="s">
        <v>845</v>
      </c>
      <c r="C227" s="37" t="s">
        <v>846</v>
      </c>
      <c r="D227" s="318">
        <v>0.35</v>
      </c>
      <c r="E227" s="37"/>
      <c r="F227" s="37"/>
      <c r="G227" s="37"/>
    </row>
    <row r="228" spans="1:7">
      <c r="A228" s="103"/>
      <c r="B228" s="102"/>
      <c r="C228" s="37" t="s">
        <v>514</v>
      </c>
      <c r="D228" s="318">
        <v>4.6300000000000001E-2</v>
      </c>
      <c r="E228" s="37" t="s">
        <v>847</v>
      </c>
      <c r="F228" s="37"/>
      <c r="G228" s="37"/>
    </row>
    <row r="229" spans="1:7">
      <c r="A229" s="103"/>
      <c r="B229" s="102"/>
      <c r="C229" s="37" t="s">
        <v>848</v>
      </c>
      <c r="D229" s="318">
        <v>0</v>
      </c>
      <c r="E229" s="37" t="s">
        <v>867</v>
      </c>
      <c r="F229" s="37"/>
      <c r="G229" s="37"/>
    </row>
    <row r="230" spans="1:7" ht="41.25" customHeight="1">
      <c r="A230" s="103"/>
      <c r="B230" s="1211" t="s">
        <v>519</v>
      </c>
      <c r="C230" s="1211"/>
      <c r="D230" s="1211"/>
      <c r="E230" s="1211"/>
      <c r="F230" s="1211"/>
      <c r="G230" s="1211"/>
    </row>
    <row r="231" spans="1:7">
      <c r="A231" s="75" t="s">
        <v>841</v>
      </c>
      <c r="B231" s="25" t="s">
        <v>1187</v>
      </c>
      <c r="C231" s="33"/>
      <c r="D231" s="33"/>
      <c r="E231" s="33"/>
      <c r="F231" s="33"/>
      <c r="G231" s="33"/>
    </row>
    <row r="232" spans="1:7">
      <c r="A232" s="75"/>
      <c r="B232" s="25" t="s">
        <v>340</v>
      </c>
      <c r="C232" s="33"/>
      <c r="D232" s="33"/>
      <c r="E232" s="33"/>
      <c r="F232" s="33"/>
      <c r="G232" s="33"/>
    </row>
    <row r="233" spans="1:7">
      <c r="A233" s="75"/>
      <c r="B233" s="25" t="s">
        <v>1192</v>
      </c>
      <c r="C233" s="33"/>
      <c r="D233" s="33"/>
      <c r="E233" s="33"/>
      <c r="F233" s="33"/>
      <c r="G233" s="33"/>
    </row>
    <row r="234" spans="1:7">
      <c r="A234" s="75" t="s">
        <v>843</v>
      </c>
      <c r="B234" s="25" t="s">
        <v>761</v>
      </c>
      <c r="C234" s="37"/>
      <c r="D234" s="37"/>
      <c r="E234" s="37"/>
      <c r="F234" s="37"/>
      <c r="G234" s="37"/>
    </row>
    <row r="235" spans="1:7">
      <c r="A235" s="7"/>
      <c r="B235" s="25" t="s">
        <v>760</v>
      </c>
    </row>
    <row r="236" spans="1:7">
      <c r="A236" s="7"/>
      <c r="B236" s="25" t="s">
        <v>689</v>
      </c>
    </row>
    <row r="237" spans="1:7">
      <c r="A237" s="75" t="s">
        <v>842</v>
      </c>
      <c r="B237" s="25" t="s">
        <v>1190</v>
      </c>
    </row>
    <row r="238" spans="1:7">
      <c r="A238" s="75"/>
      <c r="B238" s="25" t="s">
        <v>1191</v>
      </c>
      <c r="C238" s="313"/>
      <c r="D238" s="313"/>
      <c r="E238" s="313"/>
      <c r="F238" s="313"/>
      <c r="G238" s="313"/>
    </row>
    <row r="239" spans="1:7">
      <c r="A239" s="75" t="s">
        <v>1315</v>
      </c>
      <c r="B239" s="25" t="s">
        <v>386</v>
      </c>
      <c r="C239" s="313"/>
      <c r="D239" s="313"/>
      <c r="E239" s="313"/>
      <c r="F239" s="313"/>
      <c r="G239" s="313"/>
    </row>
    <row r="240" spans="1:7">
      <c r="A240" s="313"/>
      <c r="B240" s="25" t="s">
        <v>387</v>
      </c>
      <c r="C240" s="313"/>
      <c r="D240" s="313"/>
      <c r="E240" s="313"/>
      <c r="F240" s="313"/>
      <c r="G240" s="313"/>
    </row>
    <row r="241" spans="1:7">
      <c r="A241" s="313"/>
      <c r="B241" s="25" t="s">
        <v>1382</v>
      </c>
      <c r="C241" s="313"/>
      <c r="D241" s="313"/>
      <c r="E241" s="313"/>
      <c r="F241" s="313"/>
      <c r="G241" s="313"/>
    </row>
    <row r="242" spans="1:7">
      <c r="A242" s="313"/>
      <c r="B242" s="25" t="s">
        <v>1225</v>
      </c>
      <c r="C242" s="313"/>
      <c r="D242" s="313"/>
      <c r="E242" s="313"/>
      <c r="F242" s="313"/>
      <c r="G242" s="313"/>
    </row>
    <row r="243" spans="1:7">
      <c r="A243" s="313"/>
      <c r="B243" s="25" t="s">
        <v>1033</v>
      </c>
      <c r="C243" s="313"/>
      <c r="D243" s="313"/>
      <c r="E243" s="313"/>
      <c r="F243" s="313"/>
      <c r="G243" s="313"/>
    </row>
    <row r="244" spans="1:7">
      <c r="A244" s="420" t="s">
        <v>1226</v>
      </c>
      <c r="B244" s="25" t="s">
        <v>1404</v>
      </c>
      <c r="C244" s="313"/>
      <c r="D244" s="313"/>
      <c r="E244" s="313"/>
      <c r="F244" s="313"/>
      <c r="G244" s="313"/>
    </row>
    <row r="245" spans="1:7">
      <c r="A245" s="313"/>
      <c r="B245" s="25" t="s">
        <v>617</v>
      </c>
      <c r="C245" s="313"/>
      <c r="D245" s="313"/>
      <c r="E245" s="313"/>
      <c r="F245" s="313"/>
      <c r="G245" s="313"/>
    </row>
    <row r="246" spans="1:7">
      <c r="A246" s="313"/>
      <c r="B246" s="313"/>
      <c r="C246" s="313"/>
      <c r="D246" s="313"/>
      <c r="E246" s="313"/>
      <c r="F246" s="313"/>
      <c r="G246" s="313"/>
    </row>
    <row r="247" spans="1:7">
      <c r="A247" s="313"/>
      <c r="B247" s="313"/>
      <c r="C247" s="313"/>
      <c r="D247" s="313"/>
      <c r="E247" s="313"/>
      <c r="F247" s="313"/>
      <c r="G247" s="313"/>
    </row>
    <row r="248" spans="1:7">
      <c r="A248" s="313"/>
      <c r="B248" s="313"/>
      <c r="C248" s="313"/>
      <c r="D248" s="313"/>
      <c r="E248" s="313"/>
      <c r="F248" s="313"/>
      <c r="G248" s="313"/>
    </row>
    <row r="249" spans="1:7">
      <c r="A249" s="313"/>
      <c r="B249" s="313"/>
      <c r="C249" s="313"/>
      <c r="D249" s="313"/>
      <c r="E249" s="313"/>
      <c r="F249" s="313"/>
      <c r="G249" s="313"/>
    </row>
  </sheetData>
  <mergeCells count="8">
    <mergeCell ref="E7:F7"/>
    <mergeCell ref="E8:F8"/>
    <mergeCell ref="E150:F150"/>
    <mergeCell ref="B230:G230"/>
    <mergeCell ref="E81:F81"/>
    <mergeCell ref="E151:F151"/>
    <mergeCell ref="E80:F80"/>
    <mergeCell ref="B204:G206"/>
  </mergeCells>
  <phoneticPr fontId="2" type="noConversion"/>
  <printOptions horizontalCentered="1"/>
  <pageMargins left="0.75" right="0.75" top="1" bottom="1" header="0.5" footer="0.5"/>
  <pageSetup scale="56" fitToHeight="16" orientation="portrait" r:id="rId1"/>
  <headerFooter alignWithMargins="0">
    <oddHeader>&amp;RPage &amp;P of &amp;N</oddHeader>
  </headerFooter>
  <rowBreaks count="3" manualBreakCount="3">
    <brk id="77" max="6" man="1"/>
    <brk id="147" max="6" man="1"/>
    <brk id="194" max="6" man="1"/>
  </rowBreaks>
  <ignoredErrors>
    <ignoredError sqref="G1 A1:A3 A10:C47 E10:G14 D10:D47 D230:D259 A58:C59 A56:B56 D58:D59 A57:B57 A61:C66 A60:B60 D61:D71 A110:C137 A108:B108 D110:D123 A109:B109 A158:C203 A157:B157 E158:G170 E157:F157 A52:C55 A48:B48 D52 E52:G52 E48:F48 A49:B49 E49:F49 A50:B50 E50:F50 A51:B51 E51:F51 D167:D182 D163 E172:F172 E171:F171 D190 D192:D203 D130 D125:D128 E180:G185 E179 G179 A70:C99 A67:B67 A68:B68 A69:B69 A101:C106 A100:B100 A107:B107 A146:C156 B140 B141 D144:D161 E144:G144 E143:F143 E146:G156 E145:F145 E140:G142 E133:F133 E132:G132 E131:F131 E77:G101 E73:G73 E72:F72 E45:G47 E44:F44 E43:G43 E42:F42 E16:G37 E15:F15 E174:G178 E173:F173 A207:C259 A204 A205 A206 D207:D226 E207:G259 D184 D140:D142 E103:G130 E102:F102 D73:D107 D132:D138 E134:G138 B142:C145 D54:D55 E54:G57 E53 E187:G203 F186:G186 E59:G69 E58:F58 E71:F71 E70:F70 E39:G41 E38:F38 E75:G75 E74:F74" unlocked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207"/>
  <sheetViews>
    <sheetView topLeftCell="A16" workbookViewId="0">
      <selection activeCell="G61" sqref="G61"/>
    </sheetView>
  </sheetViews>
  <sheetFormatPr defaultColWidth="11.42578125" defaultRowHeight="12.75"/>
  <cols>
    <col min="1" max="1" width="9.42578125" style="344" bestFit="1" customWidth="1"/>
    <col min="2" max="2" width="26" style="344" customWidth="1"/>
    <col min="3" max="3" width="12.7109375" style="345" customWidth="1"/>
    <col min="4" max="4" width="12.7109375" style="344" customWidth="1"/>
    <col min="5" max="5" width="12.7109375" style="345" customWidth="1"/>
    <col min="6" max="8" width="12.7109375" style="344" customWidth="1"/>
    <col min="9" max="9" width="14.42578125" style="344" bestFit="1" customWidth="1"/>
    <col min="10" max="10" width="3.28515625" style="344" bestFit="1" customWidth="1"/>
    <col min="11" max="16384" width="11.42578125" style="344"/>
  </cols>
  <sheetData>
    <row r="1" spans="1:10">
      <c r="A1" s="343" t="str">
        <f>'Cover Page'!A5</f>
        <v>Public Service Company of Colorado</v>
      </c>
      <c r="G1" s="346"/>
      <c r="I1" s="780" t="s">
        <v>139</v>
      </c>
      <c r="J1" s="347"/>
    </row>
    <row r="2" spans="1:10">
      <c r="A2" s="343" t="str">
        <f>'Cover Page'!A6</f>
        <v>Transmission Formula Rate Template</v>
      </c>
      <c r="I2" s="781" t="str">
        <f ca="1">MID(CELL("filename",$A$1),FIND("]",CELL("filename",$A$1))+1,LEN(CELL("filename",$A$1))-FIND("]",CELL("filename",$A$1)))</f>
        <v>WP_A-2</v>
      </c>
      <c r="J2" s="347"/>
    </row>
    <row r="3" spans="1:10">
      <c r="A3" s="343" t="str">
        <f>'Cover Page'!A7</f>
        <v>Twelve Months Ended December 31, 2018</v>
      </c>
      <c r="I3" s="780" t="s">
        <v>1581</v>
      </c>
    </row>
    <row r="4" spans="1:10">
      <c r="A4" s="343" t="s">
        <v>192</v>
      </c>
    </row>
    <row r="5" spans="1:10">
      <c r="A5" s="343"/>
    </row>
    <row r="6" spans="1:10">
      <c r="A6" s="343"/>
      <c r="C6" s="719"/>
    </row>
    <row r="7" spans="1:10">
      <c r="A7" s="348" t="s">
        <v>86</v>
      </c>
      <c r="B7" s="343"/>
      <c r="C7" s="344"/>
      <c r="E7" s="344"/>
      <c r="I7" s="349"/>
    </row>
    <row r="8" spans="1:10">
      <c r="A8" s="350" t="s">
        <v>87</v>
      </c>
      <c r="C8" s="344"/>
      <c r="E8" s="344"/>
      <c r="I8" s="349"/>
    </row>
    <row r="9" spans="1:10">
      <c r="A9" s="348">
        <f>1</f>
        <v>1</v>
      </c>
      <c r="B9" s="351" t="s">
        <v>1234</v>
      </c>
      <c r="C9" s="344"/>
      <c r="E9" s="344"/>
      <c r="I9" s="349"/>
    </row>
    <row r="10" spans="1:10" ht="24.75" customHeight="1">
      <c r="A10" s="348">
        <f>A9+1</f>
        <v>2</v>
      </c>
      <c r="B10" s="1212"/>
      <c r="C10" s="1213"/>
      <c r="D10" s="1213"/>
      <c r="E10" s="1213"/>
      <c r="F10" s="1213"/>
      <c r="G10" s="1213"/>
      <c r="H10" s="1214"/>
    </row>
    <row r="11" spans="1:10" ht="27.75" customHeight="1">
      <c r="A11" s="348">
        <f>A10+1</f>
        <v>3</v>
      </c>
      <c r="B11" s="1215"/>
      <c r="C11" s="1216"/>
      <c r="D11" s="1216"/>
      <c r="E11" s="1216"/>
      <c r="F11" s="1216"/>
      <c r="G11" s="1216"/>
      <c r="H11" s="1217"/>
    </row>
    <row r="12" spans="1:10">
      <c r="A12" s="350"/>
      <c r="B12" s="351"/>
      <c r="C12" s="344"/>
      <c r="E12" s="344"/>
      <c r="I12" s="349"/>
    </row>
    <row r="13" spans="1:10">
      <c r="A13" s="348">
        <f>A11+1</f>
        <v>4</v>
      </c>
      <c r="B13" s="352" t="s">
        <v>1235</v>
      </c>
      <c r="C13" s="344"/>
      <c r="E13" s="344"/>
      <c r="I13" s="477"/>
    </row>
    <row r="14" spans="1:10">
      <c r="A14" s="348">
        <f>A13+1</f>
        <v>5</v>
      </c>
      <c r="B14" s="352" t="str">
        <f>"Effective True-up Year for Rate Year Prior Period Correction (line "&amp;A13&amp;" year + 2 years)"</f>
        <v>Effective True-up Year for Rate Year Prior Period Correction (line 4 year + 2 years)</v>
      </c>
      <c r="C14" s="344"/>
      <c r="E14" s="344"/>
      <c r="I14" s="353">
        <f>IF(I13=0, ,(I13+2))</f>
        <v>0</v>
      </c>
    </row>
    <row r="15" spans="1:10">
      <c r="A15" s="348">
        <f>A14+1</f>
        <v>6</v>
      </c>
      <c r="B15" s="352" t="s">
        <v>1237</v>
      </c>
      <c r="C15" s="344"/>
      <c r="E15" s="344"/>
      <c r="I15" s="477"/>
    </row>
    <row r="16" spans="1:10">
      <c r="A16" s="348">
        <f>A15+1</f>
        <v>7</v>
      </c>
      <c r="B16" s="352" t="str">
        <f>"Rate Year Prior Period Correction will be Included in ATRR (line "&amp;A15&amp;" year + 1 year)"</f>
        <v>Rate Year Prior Period Correction will be Included in ATRR (line 6 year + 1 year)</v>
      </c>
      <c r="C16" s="344"/>
      <c r="E16" s="344"/>
      <c r="I16" s="353">
        <f>IF(I15=0, ,(I15+1))</f>
        <v>0</v>
      </c>
    </row>
    <row r="17" spans="1:10">
      <c r="A17" s="348">
        <f>A16+1</f>
        <v>8</v>
      </c>
      <c r="B17" s="352" t="str">
        <f>"Number of Months Prior Period Correction Subject to Interest ((ln "&amp;A16&amp;" year - ln "&amp;A13&amp;" year) * 12)"</f>
        <v>Number of Months Prior Period Correction Subject to Interest ((ln 7 year - ln 4 year) * 12)</v>
      </c>
      <c r="C17" s="344"/>
      <c r="E17" s="344"/>
      <c r="I17" s="353">
        <f>(I16-I13)*12</f>
        <v>0</v>
      </c>
    </row>
    <row r="18" spans="1:10">
      <c r="A18" s="348"/>
      <c r="B18" s="352"/>
      <c r="C18" s="344"/>
      <c r="E18" s="344"/>
      <c r="I18" s="353"/>
    </row>
    <row r="19" spans="1:10">
      <c r="A19" s="348">
        <f>A17+1</f>
        <v>9</v>
      </c>
      <c r="B19" s="354" t="s">
        <v>622</v>
      </c>
      <c r="C19" s="344"/>
      <c r="E19" s="344"/>
      <c r="I19" s="349"/>
    </row>
    <row r="20" spans="1:10">
      <c r="A20" s="348">
        <f>A19+1</f>
        <v>10</v>
      </c>
      <c r="B20" s="344" t="s">
        <v>1238</v>
      </c>
      <c r="C20" s="344"/>
      <c r="E20" s="344"/>
      <c r="I20" s="478"/>
    </row>
    <row r="21" spans="1:10">
      <c r="A21" s="348"/>
      <c r="C21" s="344"/>
      <c r="E21" s="344"/>
      <c r="I21" s="349"/>
    </row>
    <row r="22" spans="1:10">
      <c r="A22" s="348">
        <f>A20+1</f>
        <v>11</v>
      </c>
      <c r="B22" s="344" t="s">
        <v>1239</v>
      </c>
      <c r="C22" s="344"/>
      <c r="E22" s="344"/>
      <c r="I22" s="479"/>
    </row>
    <row r="23" spans="1:10">
      <c r="A23" s="348"/>
      <c r="C23" s="344"/>
      <c r="E23" s="344"/>
      <c r="I23" s="349"/>
    </row>
    <row r="24" spans="1:10" ht="13.5" thickBot="1">
      <c r="A24" s="348">
        <f>A22+1</f>
        <v>12</v>
      </c>
      <c r="B24" s="344" t="str">
        <f>"Revenue Requirement True-up Adjustment (Over Recovery is a Credit, Under Recovery is a Debit) (ln "&amp;A22&amp;" - ln "&amp;A20&amp;")"</f>
        <v>Revenue Requirement True-up Adjustment (Over Recovery is a Credit, Under Recovery is a Debit) (ln 11 - ln 10)</v>
      </c>
      <c r="C24" s="344"/>
      <c r="E24" s="344"/>
      <c r="I24" s="355">
        <f>I22-I20</f>
        <v>0</v>
      </c>
    </row>
    <row r="25" spans="1:10" ht="13.5" thickTop="1">
      <c r="A25" s="348"/>
      <c r="C25" s="344"/>
      <c r="E25" s="344"/>
      <c r="I25" s="349"/>
    </row>
    <row r="26" spans="1:10">
      <c r="A26" s="348">
        <f>A24+1</f>
        <v>13</v>
      </c>
      <c r="B26" s="354" t="s">
        <v>623</v>
      </c>
      <c r="C26" s="344"/>
      <c r="E26" s="344"/>
      <c r="I26" s="349"/>
    </row>
    <row r="27" spans="1:10">
      <c r="A27" s="348">
        <f>A26+1</f>
        <v>14</v>
      </c>
      <c r="B27" s="344" t="s">
        <v>1241</v>
      </c>
      <c r="C27" s="344"/>
      <c r="E27" s="344"/>
      <c r="I27" s="480">
        <v>0</v>
      </c>
      <c r="J27" s="344" t="s">
        <v>624</v>
      </c>
    </row>
    <row r="28" spans="1:10">
      <c r="A28" s="348"/>
      <c r="C28" s="344"/>
      <c r="E28" s="344"/>
      <c r="I28" s="349"/>
    </row>
    <row r="29" spans="1:10">
      <c r="A29" s="348">
        <f>A27+1</f>
        <v>15</v>
      </c>
      <c r="B29" s="344" t="s">
        <v>1242</v>
      </c>
      <c r="C29" s="344"/>
      <c r="E29" s="344"/>
      <c r="I29" s="480">
        <v>0</v>
      </c>
      <c r="J29" s="344" t="s">
        <v>624</v>
      </c>
    </row>
    <row r="30" spans="1:10">
      <c r="A30" s="348"/>
      <c r="C30" s="344"/>
      <c r="E30" s="344"/>
      <c r="I30" s="356"/>
    </row>
    <row r="31" spans="1:10">
      <c r="A31" s="348">
        <f>A29+1</f>
        <v>16</v>
      </c>
      <c r="B31" s="344" t="str">
        <f>"Volume Adjustment (line "&amp;A27&amp;" - line "&amp;A29&amp;")"</f>
        <v>Volume Adjustment (line 14 - line 15)</v>
      </c>
      <c r="C31" s="344"/>
      <c r="E31" s="344"/>
      <c r="I31" s="357">
        <f>I27-I29</f>
        <v>0</v>
      </c>
      <c r="J31" s="344" t="s">
        <v>624</v>
      </c>
    </row>
    <row r="32" spans="1:10">
      <c r="A32" s="348"/>
      <c r="C32" s="344"/>
      <c r="E32" s="344"/>
      <c r="I32" s="356"/>
    </row>
    <row r="33" spans="1:9">
      <c r="A33" s="348">
        <f>A31+1</f>
        <v>17</v>
      </c>
      <c r="B33" s="358" t="str">
        <f>"Actual Rate (line "&amp;A20&amp;" / line "&amp;A27&amp;")"</f>
        <v>Actual Rate (line 10 / line 14)</v>
      </c>
      <c r="C33" s="358"/>
      <c r="D33" s="358"/>
      <c r="E33" s="358"/>
      <c r="I33" s="359">
        <f>IF(I27=0,0,(ROUND(I20/I27,8)))</f>
        <v>0</v>
      </c>
    </row>
    <row r="34" spans="1:9">
      <c r="A34" s="348"/>
      <c r="B34" s="358"/>
      <c r="C34" s="358"/>
      <c r="D34" s="358"/>
      <c r="E34" s="358"/>
      <c r="I34" s="349"/>
    </row>
    <row r="35" spans="1:9">
      <c r="A35" s="348">
        <f>A33+1</f>
        <v>18</v>
      </c>
      <c r="B35" s="358" t="str">
        <f>"Revised Rate (line "&amp;A22&amp;" / line "&amp;A29&amp;")"</f>
        <v>Revised Rate (line 11 / line 15)</v>
      </c>
      <c r="C35" s="358"/>
      <c r="D35" s="358"/>
      <c r="E35" s="358"/>
      <c r="I35" s="359">
        <f>IF(I29=0,0,(ROUND(I22/I29,8)))</f>
        <v>0</v>
      </c>
    </row>
    <row r="36" spans="1:9">
      <c r="A36" s="348"/>
      <c r="C36" s="344"/>
      <c r="E36" s="344"/>
      <c r="I36" s="349"/>
    </row>
    <row r="37" spans="1:9" ht="13.5" thickBot="1">
      <c r="A37" s="348">
        <f>A35+1</f>
        <v>19</v>
      </c>
      <c r="B37" s="344" t="str">
        <f>"Volume Revenue Adjustment (Over Recovery is a Credit, Under Recovery is a Debit) (line "&amp;A31&amp;" x line "&amp;A33&amp;")"</f>
        <v>Volume Revenue Adjustment (Over Recovery is a Credit, Under Recovery is a Debit) (line 16 x line 17)</v>
      </c>
      <c r="C37" s="344"/>
      <c r="E37" s="344"/>
      <c r="I37" s="355">
        <f>ROUND(I31*I33,0)</f>
        <v>0</v>
      </c>
    </row>
    <row r="38" spans="1:9" ht="14.25" thickTop="1" thickBot="1">
      <c r="A38" s="348"/>
      <c r="C38" s="344"/>
      <c r="E38" s="344"/>
      <c r="I38" s="349"/>
    </row>
    <row r="39" spans="1:9" ht="13.5" thickBot="1">
      <c r="A39" s="360">
        <f>A37+1</f>
        <v>20</v>
      </c>
      <c r="B39" s="352" t="str">
        <f>"Net Prior Period Correction True-up Adjustment (Over Recovery is a Credit, Under Recovery is a Debit) (line "&amp;A24&amp;" + line "&amp;A37&amp;")"</f>
        <v>Net Prior Period Correction True-up Adjustment (Over Recovery is a Credit, Under Recovery is a Debit) (line 12 + line 19)</v>
      </c>
      <c r="C39" s="352"/>
      <c r="D39" s="352"/>
      <c r="E39" s="352"/>
      <c r="F39" s="352"/>
      <c r="G39" s="352"/>
      <c r="H39" s="352"/>
      <c r="I39" s="361">
        <f>I24+I37</f>
        <v>0</v>
      </c>
    </row>
    <row r="40" spans="1:9">
      <c r="C40" s="344"/>
      <c r="E40" s="344"/>
      <c r="I40" s="349"/>
    </row>
    <row r="41" spans="1:9">
      <c r="A41" s="348">
        <f>A39+1</f>
        <v>21</v>
      </c>
      <c r="B41" s="351" t="s">
        <v>625</v>
      </c>
      <c r="C41" s="344"/>
      <c r="E41" s="344"/>
      <c r="I41" s="349"/>
    </row>
    <row r="42" spans="1:9">
      <c r="A42" s="348">
        <f t="shared" ref="A42:A93" si="0">A41+1</f>
        <v>22</v>
      </c>
      <c r="C42" s="362" t="s">
        <v>897</v>
      </c>
      <c r="D42" s="362" t="s">
        <v>1243</v>
      </c>
      <c r="E42" s="348" t="s">
        <v>898</v>
      </c>
      <c r="F42" s="363"/>
      <c r="G42" s="364"/>
      <c r="H42" s="363"/>
      <c r="I42" s="364"/>
    </row>
    <row r="43" spans="1:9">
      <c r="A43" s="348">
        <f t="shared" si="0"/>
        <v>23</v>
      </c>
      <c r="C43" s="362" t="s">
        <v>899</v>
      </c>
      <c r="D43" s="362" t="s">
        <v>1244</v>
      </c>
      <c r="E43" s="348" t="s">
        <v>900</v>
      </c>
      <c r="F43" s="363"/>
      <c r="G43" s="364"/>
      <c r="H43" s="363"/>
      <c r="I43" s="364"/>
    </row>
    <row r="44" spans="1:9">
      <c r="A44" s="348">
        <f t="shared" si="0"/>
        <v>24</v>
      </c>
      <c r="B44" s="351" t="s">
        <v>1245</v>
      </c>
      <c r="C44" s="365" t="s">
        <v>902</v>
      </c>
      <c r="D44" s="365" t="s">
        <v>1246</v>
      </c>
      <c r="E44" s="350" t="s">
        <v>903</v>
      </c>
      <c r="F44" s="366"/>
      <c r="G44" s="367"/>
      <c r="H44" s="366"/>
      <c r="I44" s="367"/>
    </row>
    <row r="45" spans="1:9">
      <c r="A45" s="348">
        <f>A44+1</f>
        <v>25</v>
      </c>
      <c r="B45" s="481"/>
      <c r="C45" s="482"/>
      <c r="D45" s="483"/>
      <c r="E45" s="368">
        <f t="shared" ref="E45:E89" si="1">ROUND(C45/365*D45,4)</f>
        <v>0</v>
      </c>
      <c r="F45" s="369"/>
      <c r="G45" s="370"/>
      <c r="H45" s="369"/>
      <c r="I45" s="370"/>
    </row>
    <row r="46" spans="1:9">
      <c r="A46" s="348">
        <f t="shared" si="0"/>
        <v>26</v>
      </c>
      <c r="B46" s="481"/>
      <c r="C46" s="482"/>
      <c r="D46" s="483"/>
      <c r="E46" s="368">
        <f t="shared" si="1"/>
        <v>0</v>
      </c>
      <c r="F46" s="369"/>
      <c r="G46" s="370"/>
      <c r="H46" s="369"/>
      <c r="I46" s="370"/>
    </row>
    <row r="47" spans="1:9">
      <c r="A47" s="348">
        <f t="shared" si="0"/>
        <v>27</v>
      </c>
      <c r="B47" s="481"/>
      <c r="C47" s="482"/>
      <c r="D47" s="483"/>
      <c r="E47" s="368">
        <f t="shared" si="1"/>
        <v>0</v>
      </c>
      <c r="F47" s="369"/>
      <c r="G47" s="370"/>
      <c r="H47" s="369"/>
      <c r="I47" s="370"/>
    </row>
    <row r="48" spans="1:9">
      <c r="A48" s="348">
        <f t="shared" si="0"/>
        <v>28</v>
      </c>
      <c r="B48" s="481"/>
      <c r="C48" s="482"/>
      <c r="D48" s="483"/>
      <c r="E48" s="368">
        <f t="shared" si="1"/>
        <v>0</v>
      </c>
      <c r="F48" s="369"/>
      <c r="G48" s="370"/>
      <c r="H48" s="369"/>
      <c r="I48" s="370"/>
    </row>
    <row r="49" spans="1:9">
      <c r="A49" s="348">
        <f t="shared" si="0"/>
        <v>29</v>
      </c>
      <c r="B49" s="481"/>
      <c r="C49" s="482"/>
      <c r="D49" s="483"/>
      <c r="E49" s="368">
        <f t="shared" si="1"/>
        <v>0</v>
      </c>
      <c r="F49" s="369"/>
      <c r="G49" s="370"/>
      <c r="H49" s="369"/>
      <c r="I49" s="370"/>
    </row>
    <row r="50" spans="1:9">
      <c r="A50" s="348">
        <f t="shared" si="0"/>
        <v>30</v>
      </c>
      <c r="B50" s="481"/>
      <c r="C50" s="482"/>
      <c r="D50" s="483"/>
      <c r="E50" s="368">
        <f t="shared" si="1"/>
        <v>0</v>
      </c>
      <c r="F50" s="369"/>
      <c r="G50" s="370"/>
      <c r="H50" s="369"/>
      <c r="I50" s="370"/>
    </row>
    <row r="51" spans="1:9">
      <c r="A51" s="348">
        <f t="shared" si="0"/>
        <v>31</v>
      </c>
      <c r="B51" s="481"/>
      <c r="C51" s="482"/>
      <c r="D51" s="483"/>
      <c r="E51" s="368">
        <f t="shared" si="1"/>
        <v>0</v>
      </c>
      <c r="F51" s="369"/>
      <c r="G51" s="370"/>
      <c r="H51" s="369"/>
      <c r="I51" s="370"/>
    </row>
    <row r="52" spans="1:9">
      <c r="A52" s="348">
        <f t="shared" si="0"/>
        <v>32</v>
      </c>
      <c r="B52" s="481"/>
      <c r="C52" s="482"/>
      <c r="D52" s="483"/>
      <c r="E52" s="368">
        <f t="shared" si="1"/>
        <v>0</v>
      </c>
      <c r="F52" s="369"/>
      <c r="G52" s="370"/>
      <c r="H52" s="369"/>
      <c r="I52" s="370"/>
    </row>
    <row r="53" spans="1:9">
      <c r="A53" s="348">
        <f t="shared" si="0"/>
        <v>33</v>
      </c>
      <c r="B53" s="481"/>
      <c r="C53" s="482"/>
      <c r="D53" s="483"/>
      <c r="E53" s="368">
        <f t="shared" si="1"/>
        <v>0</v>
      </c>
      <c r="F53" s="369"/>
      <c r="G53" s="370"/>
      <c r="H53" s="369"/>
      <c r="I53" s="370"/>
    </row>
    <row r="54" spans="1:9">
      <c r="A54" s="348">
        <f t="shared" si="0"/>
        <v>34</v>
      </c>
      <c r="B54" s="481"/>
      <c r="C54" s="482"/>
      <c r="D54" s="483"/>
      <c r="E54" s="368">
        <f t="shared" si="1"/>
        <v>0</v>
      </c>
      <c r="F54" s="369"/>
      <c r="G54" s="370"/>
      <c r="H54" s="369"/>
      <c r="I54" s="370"/>
    </row>
    <row r="55" spans="1:9">
      <c r="A55" s="348">
        <f t="shared" si="0"/>
        <v>35</v>
      </c>
      <c r="B55" s="481"/>
      <c r="C55" s="482"/>
      <c r="D55" s="483"/>
      <c r="E55" s="368">
        <f t="shared" si="1"/>
        <v>0</v>
      </c>
      <c r="F55" s="369"/>
      <c r="G55" s="370"/>
      <c r="H55" s="369"/>
      <c r="I55" s="370"/>
    </row>
    <row r="56" spans="1:9">
      <c r="A56" s="348">
        <f t="shared" si="0"/>
        <v>36</v>
      </c>
      <c r="B56" s="481"/>
      <c r="C56" s="482"/>
      <c r="D56" s="483"/>
      <c r="E56" s="368">
        <f t="shared" si="1"/>
        <v>0</v>
      </c>
      <c r="F56" s="369"/>
      <c r="G56" s="370"/>
      <c r="H56" s="369"/>
      <c r="I56" s="370"/>
    </row>
    <row r="57" spans="1:9">
      <c r="A57" s="348">
        <f t="shared" si="0"/>
        <v>37</v>
      </c>
      <c r="B57" s="481"/>
      <c r="C57" s="482"/>
      <c r="D57" s="483"/>
      <c r="E57" s="368">
        <f t="shared" si="1"/>
        <v>0</v>
      </c>
      <c r="F57" s="369"/>
      <c r="G57" s="370"/>
      <c r="H57" s="369"/>
      <c r="I57" s="370"/>
    </row>
    <row r="58" spans="1:9">
      <c r="A58" s="348">
        <f t="shared" si="0"/>
        <v>38</v>
      </c>
      <c r="B58" s="481"/>
      <c r="C58" s="482"/>
      <c r="D58" s="483"/>
      <c r="E58" s="368">
        <f t="shared" si="1"/>
        <v>0</v>
      </c>
      <c r="F58" s="369"/>
      <c r="G58" s="370"/>
      <c r="H58" s="369"/>
      <c r="I58" s="370"/>
    </row>
    <row r="59" spans="1:9">
      <c r="A59" s="348">
        <f t="shared" si="0"/>
        <v>39</v>
      </c>
      <c r="B59" s="481"/>
      <c r="C59" s="482"/>
      <c r="D59" s="483"/>
      <c r="E59" s="368">
        <f t="shared" si="1"/>
        <v>0</v>
      </c>
      <c r="F59" s="369"/>
      <c r="G59" s="370"/>
      <c r="H59" s="369"/>
      <c r="I59" s="370"/>
    </row>
    <row r="60" spans="1:9">
      <c r="A60" s="348">
        <f t="shared" si="0"/>
        <v>40</v>
      </c>
      <c r="B60" s="481"/>
      <c r="C60" s="482"/>
      <c r="D60" s="483"/>
      <c r="E60" s="368">
        <f t="shared" si="1"/>
        <v>0</v>
      </c>
      <c r="F60" s="369"/>
      <c r="G60" s="370"/>
      <c r="H60" s="369"/>
      <c r="I60" s="370"/>
    </row>
    <row r="61" spans="1:9">
      <c r="A61" s="348">
        <f t="shared" si="0"/>
        <v>41</v>
      </c>
      <c r="B61" s="481"/>
      <c r="C61" s="482"/>
      <c r="D61" s="483"/>
      <c r="E61" s="368">
        <f t="shared" si="1"/>
        <v>0</v>
      </c>
      <c r="F61" s="369"/>
      <c r="G61" s="370"/>
      <c r="H61" s="369"/>
      <c r="I61" s="370"/>
    </row>
    <row r="62" spans="1:9">
      <c r="A62" s="348">
        <f t="shared" si="0"/>
        <v>42</v>
      </c>
      <c r="B62" s="481"/>
      <c r="C62" s="482"/>
      <c r="D62" s="483"/>
      <c r="E62" s="368">
        <f t="shared" si="1"/>
        <v>0</v>
      </c>
      <c r="F62" s="369"/>
      <c r="G62" s="370"/>
      <c r="H62" s="369"/>
      <c r="I62" s="370"/>
    </row>
    <row r="63" spans="1:9">
      <c r="A63" s="348">
        <f t="shared" si="0"/>
        <v>43</v>
      </c>
      <c r="B63" s="481"/>
      <c r="C63" s="482"/>
      <c r="D63" s="483"/>
      <c r="E63" s="368">
        <f t="shared" si="1"/>
        <v>0</v>
      </c>
      <c r="F63" s="369"/>
      <c r="G63" s="370"/>
      <c r="H63" s="369"/>
      <c r="I63" s="370"/>
    </row>
    <row r="64" spans="1:9">
      <c r="A64" s="348">
        <f t="shared" si="0"/>
        <v>44</v>
      </c>
      <c r="B64" s="481"/>
      <c r="C64" s="482"/>
      <c r="D64" s="483"/>
      <c r="E64" s="368">
        <f t="shared" si="1"/>
        <v>0</v>
      </c>
      <c r="F64" s="369"/>
      <c r="G64" s="370"/>
      <c r="H64" s="369"/>
      <c r="I64" s="370"/>
    </row>
    <row r="65" spans="1:9">
      <c r="A65" s="348">
        <f t="shared" si="0"/>
        <v>45</v>
      </c>
      <c r="B65" s="481"/>
      <c r="C65" s="482"/>
      <c r="D65" s="483"/>
      <c r="E65" s="368">
        <f t="shared" si="1"/>
        <v>0</v>
      </c>
      <c r="F65" s="369"/>
      <c r="G65" s="370"/>
      <c r="H65" s="369"/>
      <c r="I65" s="370"/>
    </row>
    <row r="66" spans="1:9">
      <c r="A66" s="348">
        <f t="shared" si="0"/>
        <v>46</v>
      </c>
      <c r="B66" s="481"/>
      <c r="C66" s="482"/>
      <c r="D66" s="483"/>
      <c r="E66" s="368">
        <f t="shared" si="1"/>
        <v>0</v>
      </c>
      <c r="F66" s="369"/>
      <c r="G66" s="370"/>
      <c r="H66" s="369"/>
      <c r="I66" s="370"/>
    </row>
    <row r="67" spans="1:9">
      <c r="A67" s="348">
        <f t="shared" si="0"/>
        <v>47</v>
      </c>
      <c r="B67" s="481"/>
      <c r="C67" s="482"/>
      <c r="D67" s="483"/>
      <c r="E67" s="368">
        <f t="shared" si="1"/>
        <v>0</v>
      </c>
      <c r="F67" s="369"/>
      <c r="G67" s="370"/>
      <c r="H67" s="369"/>
      <c r="I67" s="370"/>
    </row>
    <row r="68" spans="1:9">
      <c r="A68" s="348">
        <f t="shared" si="0"/>
        <v>48</v>
      </c>
      <c r="B68" s="481"/>
      <c r="C68" s="482"/>
      <c r="D68" s="483"/>
      <c r="E68" s="368">
        <f t="shared" si="1"/>
        <v>0</v>
      </c>
      <c r="F68" s="369"/>
      <c r="G68" s="370"/>
      <c r="H68" s="369"/>
      <c r="I68" s="370"/>
    </row>
    <row r="69" spans="1:9">
      <c r="A69" s="348">
        <f t="shared" si="0"/>
        <v>49</v>
      </c>
      <c r="B69" s="481"/>
      <c r="C69" s="482"/>
      <c r="D69" s="483"/>
      <c r="E69" s="368">
        <f t="shared" si="1"/>
        <v>0</v>
      </c>
      <c r="F69" s="369"/>
      <c r="G69" s="370"/>
      <c r="H69" s="369"/>
      <c r="I69" s="370"/>
    </row>
    <row r="70" spans="1:9">
      <c r="A70" s="348">
        <f t="shared" si="0"/>
        <v>50</v>
      </c>
      <c r="B70" s="481"/>
      <c r="C70" s="482"/>
      <c r="D70" s="483"/>
      <c r="E70" s="368">
        <f t="shared" si="1"/>
        <v>0</v>
      </c>
      <c r="F70" s="369"/>
      <c r="G70" s="370"/>
      <c r="H70" s="369"/>
      <c r="I70" s="370"/>
    </row>
    <row r="71" spans="1:9">
      <c r="A71" s="348">
        <f t="shared" si="0"/>
        <v>51</v>
      </c>
      <c r="B71" s="481"/>
      <c r="C71" s="482"/>
      <c r="D71" s="483"/>
      <c r="E71" s="368">
        <f t="shared" si="1"/>
        <v>0</v>
      </c>
      <c r="F71" s="369"/>
      <c r="G71" s="370"/>
      <c r="H71" s="369"/>
      <c r="I71" s="370"/>
    </row>
    <row r="72" spans="1:9">
      <c r="A72" s="348">
        <f t="shared" si="0"/>
        <v>52</v>
      </c>
      <c r="B72" s="481"/>
      <c r="C72" s="482"/>
      <c r="D72" s="483"/>
      <c r="E72" s="368">
        <f t="shared" si="1"/>
        <v>0</v>
      </c>
      <c r="F72" s="369"/>
      <c r="G72" s="370"/>
      <c r="H72" s="369"/>
      <c r="I72" s="370"/>
    </row>
    <row r="73" spans="1:9">
      <c r="A73" s="348">
        <f t="shared" si="0"/>
        <v>53</v>
      </c>
      <c r="B73" s="481"/>
      <c r="C73" s="482"/>
      <c r="D73" s="483"/>
      <c r="E73" s="368">
        <f t="shared" si="1"/>
        <v>0</v>
      </c>
      <c r="F73" s="369"/>
      <c r="G73" s="370"/>
      <c r="H73" s="369"/>
      <c r="I73" s="370"/>
    </row>
    <row r="74" spans="1:9">
      <c r="A74" s="348">
        <f t="shared" si="0"/>
        <v>54</v>
      </c>
      <c r="B74" s="481"/>
      <c r="C74" s="482"/>
      <c r="D74" s="483"/>
      <c r="E74" s="368">
        <f t="shared" si="1"/>
        <v>0</v>
      </c>
      <c r="F74" s="369"/>
      <c r="G74" s="370"/>
      <c r="H74" s="369"/>
      <c r="I74" s="370"/>
    </row>
    <row r="75" spans="1:9">
      <c r="A75" s="348">
        <f t="shared" si="0"/>
        <v>55</v>
      </c>
      <c r="B75" s="481"/>
      <c r="C75" s="482"/>
      <c r="D75" s="483"/>
      <c r="E75" s="368">
        <f t="shared" si="1"/>
        <v>0</v>
      </c>
      <c r="F75" s="369"/>
      <c r="G75" s="370"/>
      <c r="H75" s="369"/>
      <c r="I75" s="370"/>
    </row>
    <row r="76" spans="1:9">
      <c r="A76" s="348">
        <f t="shared" si="0"/>
        <v>56</v>
      </c>
      <c r="B76" s="481"/>
      <c r="C76" s="482"/>
      <c r="D76" s="483"/>
      <c r="E76" s="368">
        <f t="shared" si="1"/>
        <v>0</v>
      </c>
      <c r="F76" s="369"/>
      <c r="G76" s="370"/>
      <c r="H76" s="369"/>
      <c r="I76" s="370"/>
    </row>
    <row r="77" spans="1:9">
      <c r="A77" s="348">
        <f t="shared" si="0"/>
        <v>57</v>
      </c>
      <c r="B77" s="481"/>
      <c r="C77" s="482"/>
      <c r="D77" s="483"/>
      <c r="E77" s="368">
        <f t="shared" si="1"/>
        <v>0</v>
      </c>
      <c r="F77" s="369"/>
      <c r="G77" s="370"/>
      <c r="H77" s="369"/>
      <c r="I77" s="370"/>
    </row>
    <row r="78" spans="1:9">
      <c r="A78" s="348">
        <f t="shared" si="0"/>
        <v>58</v>
      </c>
      <c r="B78" s="481"/>
      <c r="C78" s="482"/>
      <c r="D78" s="483"/>
      <c r="E78" s="368">
        <f t="shared" si="1"/>
        <v>0</v>
      </c>
      <c r="F78" s="369"/>
      <c r="G78" s="370"/>
      <c r="H78" s="369"/>
      <c r="I78" s="370"/>
    </row>
    <row r="79" spans="1:9">
      <c r="A79" s="348">
        <f t="shared" si="0"/>
        <v>59</v>
      </c>
      <c r="B79" s="481"/>
      <c r="C79" s="482"/>
      <c r="D79" s="483"/>
      <c r="E79" s="368">
        <f t="shared" si="1"/>
        <v>0</v>
      </c>
      <c r="F79" s="369"/>
      <c r="G79" s="370"/>
      <c r="H79" s="369"/>
      <c r="I79" s="370"/>
    </row>
    <row r="80" spans="1:9">
      <c r="A80" s="348">
        <f t="shared" si="0"/>
        <v>60</v>
      </c>
      <c r="B80" s="481"/>
      <c r="C80" s="482"/>
      <c r="D80" s="483"/>
      <c r="E80" s="368">
        <f t="shared" si="1"/>
        <v>0</v>
      </c>
      <c r="F80" s="369"/>
      <c r="G80" s="370"/>
      <c r="H80" s="369"/>
      <c r="I80" s="370"/>
    </row>
    <row r="81" spans="1:9">
      <c r="A81" s="348">
        <f t="shared" si="0"/>
        <v>61</v>
      </c>
      <c r="B81" s="481"/>
      <c r="C81" s="482"/>
      <c r="D81" s="483"/>
      <c r="E81" s="368">
        <f>ROUND(C81/365*D81,4)</f>
        <v>0</v>
      </c>
      <c r="F81" s="369"/>
      <c r="G81" s="370"/>
      <c r="H81" s="369"/>
      <c r="I81" s="370"/>
    </row>
    <row r="82" spans="1:9">
      <c r="A82" s="348">
        <f t="shared" si="0"/>
        <v>62</v>
      </c>
      <c r="B82" s="481"/>
      <c r="C82" s="482"/>
      <c r="D82" s="483"/>
      <c r="E82" s="368">
        <f t="shared" si="1"/>
        <v>0</v>
      </c>
      <c r="F82" s="369"/>
      <c r="G82" s="370"/>
      <c r="H82" s="369"/>
      <c r="I82" s="370"/>
    </row>
    <row r="83" spans="1:9">
      <c r="A83" s="348">
        <f t="shared" si="0"/>
        <v>63</v>
      </c>
      <c r="B83" s="481"/>
      <c r="C83" s="482"/>
      <c r="D83" s="483"/>
      <c r="E83" s="368">
        <f t="shared" si="1"/>
        <v>0</v>
      </c>
      <c r="F83" s="369"/>
      <c r="G83" s="370"/>
      <c r="H83" s="369"/>
      <c r="I83" s="370"/>
    </row>
    <row r="84" spans="1:9">
      <c r="A84" s="348">
        <f t="shared" si="0"/>
        <v>64</v>
      </c>
      <c r="B84" s="481"/>
      <c r="C84" s="482"/>
      <c r="D84" s="483"/>
      <c r="E84" s="368">
        <f t="shared" si="1"/>
        <v>0</v>
      </c>
      <c r="F84" s="369"/>
      <c r="G84" s="370"/>
      <c r="H84" s="369"/>
      <c r="I84" s="370"/>
    </row>
    <row r="85" spans="1:9">
      <c r="A85" s="348">
        <f t="shared" si="0"/>
        <v>65</v>
      </c>
      <c r="B85" s="481"/>
      <c r="C85" s="482"/>
      <c r="D85" s="483"/>
      <c r="E85" s="368">
        <f t="shared" si="1"/>
        <v>0</v>
      </c>
      <c r="F85" s="369"/>
      <c r="G85" s="370"/>
      <c r="H85" s="369"/>
      <c r="I85" s="370"/>
    </row>
    <row r="86" spans="1:9">
      <c r="A86" s="348">
        <f t="shared" si="0"/>
        <v>66</v>
      </c>
      <c r="B86" s="481"/>
      <c r="C86" s="482"/>
      <c r="D86" s="483"/>
      <c r="E86" s="368">
        <f t="shared" si="1"/>
        <v>0</v>
      </c>
      <c r="F86" s="369"/>
      <c r="G86" s="370"/>
      <c r="H86" s="369"/>
      <c r="I86" s="370"/>
    </row>
    <row r="87" spans="1:9">
      <c r="A87" s="348">
        <f t="shared" si="0"/>
        <v>67</v>
      </c>
      <c r="B87" s="481"/>
      <c r="C87" s="482"/>
      <c r="D87" s="483"/>
      <c r="E87" s="368">
        <f t="shared" si="1"/>
        <v>0</v>
      </c>
      <c r="F87" s="369"/>
      <c r="G87" s="370"/>
      <c r="H87" s="369"/>
      <c r="I87" s="370"/>
    </row>
    <row r="88" spans="1:9">
      <c r="A88" s="348">
        <f t="shared" si="0"/>
        <v>68</v>
      </c>
      <c r="B88" s="481"/>
      <c r="C88" s="482"/>
      <c r="D88" s="483"/>
      <c r="E88" s="368">
        <f t="shared" si="1"/>
        <v>0</v>
      </c>
      <c r="F88" s="369"/>
      <c r="G88" s="370"/>
      <c r="H88" s="369"/>
      <c r="I88" s="370"/>
    </row>
    <row r="89" spans="1:9">
      <c r="A89" s="348">
        <f t="shared" si="0"/>
        <v>69</v>
      </c>
      <c r="B89" s="481"/>
      <c r="C89" s="482"/>
      <c r="D89" s="483"/>
      <c r="E89" s="368">
        <f t="shared" si="1"/>
        <v>0</v>
      </c>
      <c r="F89" s="369"/>
      <c r="G89" s="370"/>
      <c r="H89" s="369"/>
      <c r="I89" s="370"/>
    </row>
    <row r="90" spans="1:9">
      <c r="A90" s="348">
        <f t="shared" si="0"/>
        <v>70</v>
      </c>
      <c r="B90" s="344" t="s">
        <v>915</v>
      </c>
      <c r="D90" s="728"/>
      <c r="E90" s="368">
        <f>ROUND(AVERAGE(E45:E89),4)</f>
        <v>0</v>
      </c>
      <c r="F90" s="369"/>
      <c r="G90" s="370"/>
      <c r="H90" s="369"/>
      <c r="I90" s="370"/>
    </row>
    <row r="91" spans="1:9">
      <c r="A91" s="348">
        <f t="shared" si="0"/>
        <v>71</v>
      </c>
      <c r="D91" s="728"/>
    </row>
    <row r="92" spans="1:9">
      <c r="A92" s="348">
        <f t="shared" si="0"/>
        <v>72</v>
      </c>
      <c r="B92" s="344" t="str">
        <f>"Over/Under Recovery Amount (ln "&amp;A39&amp;" amount)"</f>
        <v>Over/Under Recovery Amount (ln 20 amount)</v>
      </c>
      <c r="D92" s="728"/>
      <c r="I92" s="349">
        <f>I39</f>
        <v>0</v>
      </c>
    </row>
    <row r="93" spans="1:9" ht="13.5" thickBot="1">
      <c r="A93" s="348">
        <f t="shared" si="0"/>
        <v>73</v>
      </c>
      <c r="B93" s="344" t="str">
        <f>"Average Monthly Interest Rate (ln "&amp;A90&amp;")"</f>
        <v>Average Monthly Interest Rate (ln 70)</v>
      </c>
      <c r="I93" s="371">
        <f>E90</f>
        <v>0</v>
      </c>
    </row>
    <row r="94" spans="1:9">
      <c r="A94" s="348">
        <f>A93+1</f>
        <v>74</v>
      </c>
      <c r="B94" s="344" t="str">
        <f>"Monthly Interest Recovery Amount (ln "&amp;A92&amp;" x ln "&amp;A93&amp;")"</f>
        <v>Monthly Interest Recovery Amount (ln 72 x ln 73)</v>
      </c>
      <c r="I94" s="349">
        <f>ROUND(I93*I92,0)</f>
        <v>0</v>
      </c>
    </row>
    <row r="95" spans="1:9">
      <c r="A95" s="348">
        <f t="shared" ref="A95:A101" si="2">A94+1</f>
        <v>75</v>
      </c>
      <c r="I95" s="349"/>
    </row>
    <row r="96" spans="1:9">
      <c r="A96" s="348">
        <f t="shared" si="2"/>
        <v>76</v>
      </c>
      <c r="B96" s="344" t="str">
        <f>"Number of Months for Interest Recovery Amount (from line "&amp;A17&amp;")"</f>
        <v>Number of Months for Interest Recovery Amount (from line 8)</v>
      </c>
      <c r="I96" s="356">
        <f>I17</f>
        <v>0</v>
      </c>
    </row>
    <row r="97" spans="1:9">
      <c r="A97" s="348">
        <f t="shared" si="2"/>
        <v>77</v>
      </c>
      <c r="I97" s="349"/>
    </row>
    <row r="98" spans="1:9">
      <c r="A98" s="348">
        <f t="shared" si="2"/>
        <v>78</v>
      </c>
      <c r="B98" s="344" t="str">
        <f>"Interest Recovery Amount (ln "&amp;A96&amp;" times ln "&amp;A94&amp;")"</f>
        <v>Interest Recovery Amount (ln 76 times ln 74)</v>
      </c>
      <c r="I98" s="349">
        <f>ROUND(I96*I94,0)</f>
        <v>0</v>
      </c>
    </row>
    <row r="99" spans="1:9" ht="13.5" thickBot="1">
      <c r="A99" s="348">
        <f t="shared" si="2"/>
        <v>79</v>
      </c>
    </row>
    <row r="100" spans="1:9">
      <c r="A100" s="348">
        <f t="shared" si="2"/>
        <v>80</v>
      </c>
      <c r="B100" s="344" t="str">
        <f>"Prior Period Correction Adjustment (ln "&amp;A39&amp;")"</f>
        <v>Prior Period Correction Adjustment (ln 20)</v>
      </c>
      <c r="D100" s="349"/>
      <c r="E100" s="29"/>
      <c r="F100" s="774">
        <f>I39</f>
        <v>0</v>
      </c>
      <c r="G100" s="775" t="str">
        <f>"(Input to Annual Update)"</f>
        <v>(Input to Annual Update)</v>
      </c>
      <c r="H100" s="776"/>
    </row>
    <row r="101" spans="1:9" ht="13.5" thickBot="1">
      <c r="A101" s="348">
        <f t="shared" si="2"/>
        <v>81</v>
      </c>
      <c r="B101" s="344" t="str">
        <f>"Interest on Prior Period Correction Adjustment (ln "&amp;A98&amp;")"</f>
        <v>Interest on Prior Period Correction Adjustment (ln 78)</v>
      </c>
      <c r="E101" s="29"/>
      <c r="F101" s="777">
        <f>I98</f>
        <v>0</v>
      </c>
      <c r="G101" s="778" t="str">
        <f>"(Input to Annual Update)"</f>
        <v>(Input to Annual Update)</v>
      </c>
      <c r="H101" s="779"/>
    </row>
    <row r="102" spans="1:9">
      <c r="D102" s="372"/>
    </row>
    <row r="103" spans="1:9">
      <c r="B103" s="344" t="s">
        <v>876</v>
      </c>
    </row>
    <row r="104" spans="1:9">
      <c r="B104" t="s">
        <v>595</v>
      </c>
    </row>
    <row r="105" spans="1:9">
      <c r="B105" s="344" t="s">
        <v>916</v>
      </c>
    </row>
    <row r="106" spans="1:9">
      <c r="B106" s="972" t="s">
        <v>1700</v>
      </c>
      <c r="C106" s="973"/>
      <c r="D106" s="358"/>
      <c r="E106" s="973"/>
    </row>
    <row r="207" spans="1:2">
      <c r="A207" s="358"/>
      <c r="B207" s="358"/>
    </row>
  </sheetData>
  <mergeCells count="1">
    <mergeCell ref="B10:H11"/>
  </mergeCells>
  <phoneticPr fontId="28" type="noConversion"/>
  <hyperlinks>
    <hyperlink ref="B106" r:id="rId1"/>
  </hyperlinks>
  <pageMargins left="0.75" right="0.75" top="1" bottom="1" header="0.5" footer="0.5"/>
  <pageSetup scale="70" fitToHeight="3" orientation="portrait" r:id="rId2"/>
  <headerFooter alignWithMargins="0">
    <oddHeader>&amp;RPage &amp;P of &amp;N</oddHead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dimension ref="A1:I90"/>
  <sheetViews>
    <sheetView workbookViewId="0">
      <selection activeCell="G13" sqref="G13"/>
    </sheetView>
  </sheetViews>
  <sheetFormatPr defaultColWidth="11.42578125" defaultRowHeight="12.75"/>
  <cols>
    <col min="1" max="1" width="8.5703125" style="152" bestFit="1" customWidth="1"/>
    <col min="2" max="2" width="41" style="152" customWidth="1"/>
    <col min="3" max="3" width="23" style="152" bestFit="1" customWidth="1"/>
    <col min="4" max="4" width="15" style="155" bestFit="1" customWidth="1"/>
    <col min="5" max="6" width="17.28515625" style="155" bestFit="1" customWidth="1"/>
    <col min="7" max="7" width="17" style="155" bestFit="1" customWidth="1"/>
    <col min="8" max="16384" width="11.42578125" style="152"/>
  </cols>
  <sheetData>
    <row r="1" spans="1:9">
      <c r="A1" s="151" t="str">
        <f>'Cover Page'!A5</f>
        <v>Public Service Company of Colorado</v>
      </c>
      <c r="B1" s="151"/>
      <c r="D1" s="153"/>
      <c r="E1" s="153"/>
      <c r="F1" s="154"/>
      <c r="G1" s="374" t="str">
        <f>'Table of Contents'!A15</f>
        <v>Table 7</v>
      </c>
      <c r="H1" s="155"/>
      <c r="I1" s="154"/>
    </row>
    <row r="2" spans="1:9">
      <c r="A2" s="151" t="str">
        <f>'Cover Page'!A6</f>
        <v>Transmission Formula Rate Template</v>
      </c>
      <c r="B2" s="156"/>
      <c r="D2" s="153"/>
      <c r="E2" s="153"/>
      <c r="F2" s="154"/>
      <c r="G2" s="133" t="str">
        <f ca="1">MID(CELL("filename",$A$1),FIND("]",CELL("filename",$A$1))+1,LEN(CELL("filename",$A$1))-FIND("]",CELL("filename",$A$1)))</f>
        <v>WP_B-1</v>
      </c>
      <c r="H2" s="155"/>
      <c r="I2" s="154"/>
    </row>
    <row r="3" spans="1:9">
      <c r="A3" s="151" t="str">
        <f>'Cover Page'!A7</f>
        <v>Twelve Months Ended December 31, 2018</v>
      </c>
      <c r="B3" s="157"/>
      <c r="D3" s="158"/>
      <c r="E3" s="158"/>
      <c r="F3" s="159"/>
      <c r="G3" s="161"/>
      <c r="H3" s="155"/>
      <c r="I3" s="154"/>
    </row>
    <row r="4" spans="1:9">
      <c r="A4" s="157" t="s">
        <v>656</v>
      </c>
      <c r="B4" s="157"/>
      <c r="H4" s="155"/>
      <c r="I4" s="154"/>
    </row>
    <row r="5" spans="1:9">
      <c r="C5" s="163"/>
      <c r="D5" s="158"/>
      <c r="E5" s="158"/>
      <c r="F5" s="162"/>
      <c r="G5" s="161"/>
    </row>
    <row r="6" spans="1:9">
      <c r="A6" s="334" t="s">
        <v>990</v>
      </c>
      <c r="C6" s="163"/>
      <c r="D6" s="158"/>
      <c r="E6" s="158"/>
      <c r="F6" s="162"/>
      <c r="G6" s="161"/>
    </row>
    <row r="7" spans="1:9">
      <c r="A7" s="164"/>
      <c r="B7" s="165"/>
      <c r="D7" s="160" t="s">
        <v>984</v>
      </c>
      <c r="E7" s="160" t="s">
        <v>217</v>
      </c>
      <c r="F7" s="160" t="s">
        <v>978</v>
      </c>
      <c r="G7" s="160" t="s">
        <v>983</v>
      </c>
    </row>
    <row r="8" spans="1:9">
      <c r="A8" s="171" t="s">
        <v>868</v>
      </c>
      <c r="B8" s="172" t="s">
        <v>979</v>
      </c>
      <c r="C8" s="172" t="s">
        <v>870</v>
      </c>
      <c r="D8" s="173" t="s">
        <v>957</v>
      </c>
      <c r="E8" s="173" t="s">
        <v>515</v>
      </c>
      <c r="F8" s="173" t="s">
        <v>219</v>
      </c>
      <c r="G8" s="173" t="s">
        <v>957</v>
      </c>
    </row>
    <row r="9" spans="1:9">
      <c r="A9" s="174"/>
      <c r="B9" s="175"/>
      <c r="C9" s="175"/>
      <c r="D9" s="685" t="s">
        <v>363</v>
      </c>
      <c r="E9" s="685" t="s">
        <v>362</v>
      </c>
      <c r="F9" s="685" t="s">
        <v>364</v>
      </c>
      <c r="G9" s="686" t="s">
        <v>365</v>
      </c>
    </row>
    <row r="10" spans="1:9" ht="13.5" thickBot="1">
      <c r="A10" s="165">
        <f>1</f>
        <v>1</v>
      </c>
      <c r="B10" s="166" t="s">
        <v>980</v>
      </c>
    </row>
    <row r="11" spans="1:9" ht="13.5" thickBot="1">
      <c r="A11" s="165">
        <f t="shared" ref="A11:A39" si="0">A10+1</f>
        <v>2</v>
      </c>
      <c r="B11" s="152" t="s">
        <v>632</v>
      </c>
      <c r="C11" s="321" t="str">
        <f>'WP_B-Inputs Est.'!L2&amp;" Line "&amp;'WP_B-Inputs Est.'!A27</f>
        <v>WP_B-Inputs Est. Line 17</v>
      </c>
      <c r="D11" s="168">
        <f>SUM('WP_B-Inputs Est.'!D27:F27)</f>
        <v>5330748579.2853861</v>
      </c>
      <c r="E11" s="168">
        <f>SUM('WP_B-Inputs Est.'!C129:E129)</f>
        <v>102890747.53615388</v>
      </c>
      <c r="F11" s="168">
        <v>0</v>
      </c>
      <c r="G11" s="611">
        <f>SUM(D11:F11)</f>
        <v>5433639326.8215399</v>
      </c>
    </row>
    <row r="12" spans="1:9" ht="13.5" thickBot="1">
      <c r="A12" s="165">
        <f t="shared" si="0"/>
        <v>3</v>
      </c>
      <c r="B12" s="152" t="s">
        <v>794</v>
      </c>
      <c r="C12" s="165" t="str">
        <f>'WP_B-Inputs Est.'!L2&amp;" Line "&amp;'WP_B-Inputs Est.'!A27</f>
        <v>WP_B-Inputs Est. Line 17</v>
      </c>
      <c r="D12" s="168">
        <f>'WP_B-Inputs Est.'!G27</f>
        <v>2295830431.4976931</v>
      </c>
      <c r="E12" s="168">
        <f>-'WP_B-Inputs Est.'!C129</f>
        <v>-102646084.35615388</v>
      </c>
      <c r="F12" s="168">
        <v>0</v>
      </c>
      <c r="G12" s="611">
        <f t="shared" ref="G12:G17" si="1">SUM(D12:F12)</f>
        <v>2193184347.1415391</v>
      </c>
    </row>
    <row r="13" spans="1:9" ht="13.5" thickBot="1">
      <c r="A13" s="165">
        <f t="shared" si="0"/>
        <v>4</v>
      </c>
      <c r="B13" s="152" t="s">
        <v>633</v>
      </c>
      <c r="C13" s="165" t="str">
        <f>'WP_B-Inputs Est.'!L2&amp;" Line "&amp;'WP_B-Inputs Est.'!A27</f>
        <v>WP_B-Inputs Est. Line 17</v>
      </c>
      <c r="D13" s="168">
        <f>'WP_B-Inputs Est.'!H27</f>
        <v>4950840234.8000011</v>
      </c>
      <c r="E13" s="168">
        <f>-'WP_B-Inputs Est.'!D129</f>
        <v>-189173.99999999959</v>
      </c>
      <c r="F13" s="168">
        <f>-'WP_B-Inputs Est.'!I77</f>
        <v>-19097407.320769228</v>
      </c>
      <c r="G13" s="611">
        <f t="shared" si="1"/>
        <v>4931553653.4792318</v>
      </c>
    </row>
    <row r="14" spans="1:9" ht="13.5" thickBot="1">
      <c r="A14" s="165">
        <f t="shared" si="0"/>
        <v>5</v>
      </c>
      <c r="B14" s="589" t="s">
        <v>634</v>
      </c>
      <c r="C14" s="590" t="str">
        <f>'WP_B-Inputs Est.'!L2&amp;" Line "&amp;'WP_B-Inputs Est.'!A27</f>
        <v>WP_B-Inputs Est. Line 17</v>
      </c>
      <c r="D14" s="168">
        <f>'WP_B-Inputs Est.'!I27</f>
        <v>297369568.40307689</v>
      </c>
      <c r="E14" s="168">
        <f>-'WP_B-Inputs Est.'!E129</f>
        <v>-55489.180000000015</v>
      </c>
      <c r="F14" s="168">
        <f>-'WP_B-Inputs Est.'!L77</f>
        <v>-18713897.746153846</v>
      </c>
      <c r="G14" s="611">
        <f t="shared" si="1"/>
        <v>278600181.47692305</v>
      </c>
    </row>
    <row r="15" spans="1:9" ht="13.5" thickBot="1">
      <c r="A15" s="165">
        <f t="shared" ref="A15:A20" si="2">A14+1</f>
        <v>6</v>
      </c>
      <c r="B15" s="152" t="s">
        <v>220</v>
      </c>
      <c r="C15" s="165" t="str">
        <f>'WP_B-Inputs Est.'!L2&amp;" Line "&amp;'WP_B-Inputs Est.'!A27</f>
        <v>WP_B-Inputs Est. Line 17</v>
      </c>
      <c r="D15" s="169">
        <f>'WP_B-Inputs Est.'!C27</f>
        <v>108908450.09646606</v>
      </c>
      <c r="E15" s="169"/>
      <c r="F15" s="169">
        <f>-'WP_B-Inputs Est.'!F77</f>
        <v>-28554962.539710447</v>
      </c>
      <c r="G15" s="611">
        <f t="shared" si="1"/>
        <v>80353487.556755617</v>
      </c>
    </row>
    <row r="16" spans="1:9" ht="13.5" thickBot="1">
      <c r="A16" s="165">
        <f t="shared" si="2"/>
        <v>7</v>
      </c>
      <c r="B16" s="152" t="s">
        <v>883</v>
      </c>
      <c r="C16" s="165" t="str">
        <f>'WP_B-Inputs Est.'!L2&amp;" Line "&amp;'WP_B-Inputs Est.'!A27</f>
        <v>WP_B-Inputs Est. Line 17</v>
      </c>
      <c r="D16" s="169">
        <f>'WP_B-Inputs Est.'!J27</f>
        <v>459426121.94461542</v>
      </c>
      <c r="E16" s="169"/>
      <c r="F16" s="169">
        <f>-'WP_B-Inputs Est.'!P77</f>
        <v>-82272160.75</v>
      </c>
      <c r="G16" s="611">
        <f t="shared" si="1"/>
        <v>377153961.19461542</v>
      </c>
    </row>
    <row r="17" spans="1:7" ht="13.5" thickBot="1">
      <c r="A17" s="165">
        <f t="shared" si="2"/>
        <v>8</v>
      </c>
      <c r="B17" s="152" t="s">
        <v>884</v>
      </c>
      <c r="C17" s="165" t="str">
        <f>'WP_B-Inputs Est.'!L2&amp;" Line "&amp;'WP_B-Inputs Est.'!A27</f>
        <v>WP_B-Inputs Est. Line 17</v>
      </c>
      <c r="D17" s="170">
        <f>'WP_B-Inputs Est.'!K27</f>
        <v>447819199.71230751</v>
      </c>
      <c r="E17" s="170"/>
      <c r="F17" s="170">
        <f>-'WP_B-Inputs Est.'!S77</f>
        <v>-28331918.28846154</v>
      </c>
      <c r="G17" s="611">
        <f t="shared" si="1"/>
        <v>419487281.42384595</v>
      </c>
    </row>
    <row r="18" spans="1:7">
      <c r="A18" s="165">
        <f t="shared" si="2"/>
        <v>9</v>
      </c>
      <c r="B18" s="152" t="s">
        <v>981</v>
      </c>
      <c r="C18" s="165" t="str">
        <f>"Sum Lines "&amp;A11&amp;" through "&amp;A17</f>
        <v>Sum Lines 2 through 8</v>
      </c>
      <c r="D18" s="168">
        <f>SUM(D11:D17)</f>
        <v>13890942585.739546</v>
      </c>
      <c r="E18" s="168">
        <f>SUM(E11:E17)</f>
        <v>7.5451680459082127E-9</v>
      </c>
      <c r="F18" s="168">
        <f>SUM(F11:F17)</f>
        <v>-176970346.64509505</v>
      </c>
      <c r="G18" s="168">
        <f>SUM(G11:G17)</f>
        <v>13713972239.09445</v>
      </c>
    </row>
    <row r="19" spans="1:7">
      <c r="A19" s="165">
        <f t="shared" si="2"/>
        <v>10</v>
      </c>
      <c r="C19" s="165"/>
      <c r="D19" s="168"/>
      <c r="E19" s="168"/>
      <c r="F19" s="168"/>
      <c r="G19" s="168"/>
    </row>
    <row r="20" spans="1:7" ht="13.5" thickBot="1">
      <c r="A20" s="165">
        <f t="shared" si="2"/>
        <v>11</v>
      </c>
      <c r="B20" s="687" t="s">
        <v>1318</v>
      </c>
      <c r="C20" s="165"/>
      <c r="D20" s="168"/>
      <c r="E20" s="168"/>
      <c r="F20" s="168"/>
      <c r="G20" s="168"/>
    </row>
    <row r="21" spans="1:7" ht="13.5" thickBot="1">
      <c r="A21" s="165">
        <f t="shared" si="0"/>
        <v>12</v>
      </c>
      <c r="B21" s="589" t="s">
        <v>632</v>
      </c>
      <c r="C21" s="165" t="str">
        <f>'WP_B-Inputs Est.'!L2&amp;" Line "&amp;'WP_B-Inputs Est.'!A50</f>
        <v>WP_B-Inputs Est. Line 40</v>
      </c>
      <c r="D21" s="168">
        <f>SUM('WP_B-Inputs Est.'!D50:F50)</f>
        <v>1596550657.6892304</v>
      </c>
      <c r="E21" s="168">
        <f>SUM('WP_B-Inputs Est.'!F129:H129)</f>
        <v>23391716.719230764</v>
      </c>
      <c r="F21" s="168">
        <v>0</v>
      </c>
      <c r="G21" s="611">
        <f>SUM(D21:F21)</f>
        <v>1619942374.4084611</v>
      </c>
    </row>
    <row r="22" spans="1:7" ht="13.5" thickBot="1">
      <c r="A22" s="165">
        <f t="shared" si="0"/>
        <v>13</v>
      </c>
      <c r="B22" s="589" t="s">
        <v>794</v>
      </c>
      <c r="C22" s="165" t="str">
        <f>'WP_B-Inputs Est.'!L2&amp;" Line "&amp;'WP_B-Inputs Est.'!A50</f>
        <v>WP_B-Inputs Est. Line 40</v>
      </c>
      <c r="D22" s="168">
        <f>'WP_B-Inputs Est.'!G50</f>
        <v>505331490.13923085</v>
      </c>
      <c r="E22" s="168">
        <f>-'WP_B-Inputs Est.'!F129</f>
        <v>-23199287.49692307</v>
      </c>
      <c r="F22" s="168">
        <v>0</v>
      </c>
      <c r="G22" s="611">
        <f t="shared" ref="G22:G27" si="3">SUM(D22:F22)</f>
        <v>482132202.64230776</v>
      </c>
    </row>
    <row r="23" spans="1:7" ht="13.5" thickBot="1">
      <c r="A23" s="165">
        <f t="shared" si="0"/>
        <v>14</v>
      </c>
      <c r="B23" s="589" t="s">
        <v>633</v>
      </c>
      <c r="C23" s="165" t="str">
        <f>'WP_B-Inputs Est.'!L2&amp;" Line "&amp;'WP_B-Inputs Est.'!A50</f>
        <v>WP_B-Inputs Est. Line 40</v>
      </c>
      <c r="D23" s="168">
        <f>'WP_B-Inputs Est.'!H50</f>
        <v>1430256018.7807693</v>
      </c>
      <c r="E23" s="168">
        <f>-'WP_B-Inputs Est.'!G129</f>
        <v>-136940.04230769232</v>
      </c>
      <c r="F23" s="168">
        <f>-'WP_B-Inputs Est.'!I96</f>
        <v>-201545.88221820022</v>
      </c>
      <c r="G23" s="611">
        <f t="shared" si="3"/>
        <v>1429917532.8562436</v>
      </c>
    </row>
    <row r="24" spans="1:7" ht="13.5" thickBot="1">
      <c r="A24" s="165">
        <f t="shared" si="0"/>
        <v>15</v>
      </c>
      <c r="B24" s="589" t="s">
        <v>634</v>
      </c>
      <c r="C24" s="165" t="str">
        <f>'WP_B-Inputs Est.'!L2&amp;" Line "&amp;'WP_B-Inputs Est.'!A50</f>
        <v>WP_B-Inputs Est. Line 40</v>
      </c>
      <c r="D24" s="169">
        <f>'WP_B-Inputs Est.'!I50</f>
        <v>118816883.79923074</v>
      </c>
      <c r="E24" s="169">
        <f>-'WP_B-Inputs Est.'!H129</f>
        <v>-55489.180000000015</v>
      </c>
      <c r="F24" s="168">
        <f>-'WP_B-Inputs Est.'!L96</f>
        <v>-9703567.4266128279</v>
      </c>
      <c r="G24" s="611">
        <f t="shared" si="3"/>
        <v>109057827.19261791</v>
      </c>
    </row>
    <row r="25" spans="1:7" ht="13.5" thickBot="1">
      <c r="A25" s="165">
        <f t="shared" si="0"/>
        <v>16</v>
      </c>
      <c r="B25" s="589" t="s">
        <v>220</v>
      </c>
      <c r="C25" s="165" t="str">
        <f>'WP_B-Inputs Est.'!L2&amp;" Line "&amp;'WP_B-Inputs Est.'!A50</f>
        <v>WP_B-Inputs Est. Line 40</v>
      </c>
      <c r="D25" s="168">
        <f>'WP_B-Inputs Est.'!C50</f>
        <v>65116666.613846146</v>
      </c>
      <c r="E25" s="168"/>
      <c r="F25" s="169">
        <f>-'WP_B-Inputs Est.'!F96</f>
        <v>-14794544.691538457</v>
      </c>
      <c r="G25" s="611">
        <f t="shared" si="3"/>
        <v>50322121.922307685</v>
      </c>
    </row>
    <row r="26" spans="1:7" ht="13.5" thickBot="1">
      <c r="A26" s="165">
        <f t="shared" si="0"/>
        <v>17</v>
      </c>
      <c r="B26" s="589" t="s">
        <v>883</v>
      </c>
      <c r="C26" s="165" t="str">
        <f>'WP_B-Inputs Est.'!L2&amp;" Line "&amp;'WP_B-Inputs Est.'!A50</f>
        <v>WP_B-Inputs Est. Line 40</v>
      </c>
      <c r="D26" s="168">
        <f>'WP_B-Inputs Est.'!J50</f>
        <v>253214749.84</v>
      </c>
      <c r="E26" s="168"/>
      <c r="F26" s="169">
        <f>-'WP_B-Inputs Est.'!P96</f>
        <v>-80815390.475384623</v>
      </c>
      <c r="G26" s="611">
        <f t="shared" si="3"/>
        <v>172399359.36461538</v>
      </c>
    </row>
    <row r="27" spans="1:7" ht="13.5" thickBot="1">
      <c r="A27" s="165">
        <f t="shared" si="0"/>
        <v>18</v>
      </c>
      <c r="B27" s="589" t="s">
        <v>884</v>
      </c>
      <c r="C27" s="165" t="str">
        <f>'WP_B-Inputs Est.'!L2&amp;" Line "&amp;'WP_B-Inputs Est.'!A50</f>
        <v>WP_B-Inputs Est. Line 40</v>
      </c>
      <c r="D27" s="170">
        <f>'WP_B-Inputs Est.'!K50</f>
        <v>205000094.10000002</v>
      </c>
      <c r="E27" s="170"/>
      <c r="F27" s="170">
        <f>-'WP_B-Inputs Est.'!S96</f>
        <v>-423487.42438192584</v>
      </c>
      <c r="G27" s="611">
        <f t="shared" si="3"/>
        <v>204576606.67561811</v>
      </c>
    </row>
    <row r="28" spans="1:7" ht="25.5">
      <c r="A28" s="626">
        <f t="shared" si="0"/>
        <v>19</v>
      </c>
      <c r="B28" s="688" t="s">
        <v>940</v>
      </c>
      <c r="C28" s="165" t="str">
        <f>"Sum Lines "&amp;A21&amp;" through "&amp;A27</f>
        <v>Sum Lines 12 through 18</v>
      </c>
      <c r="D28" s="168">
        <f>SUM(D21:D27)</f>
        <v>4174286560.9623075</v>
      </c>
      <c r="E28" s="168">
        <f>SUM(E21:E27)</f>
        <v>8.8039087131619453E-10</v>
      </c>
      <c r="F28" s="168">
        <f>SUM(F21:F27)</f>
        <v>-105938535.90013604</v>
      </c>
      <c r="G28" s="168">
        <f>SUM(G21:G27)</f>
        <v>4068348025.0621715</v>
      </c>
    </row>
    <row r="29" spans="1:7">
      <c r="A29" s="165">
        <f t="shared" si="0"/>
        <v>20</v>
      </c>
      <c r="B29" s="589"/>
      <c r="C29" s="165"/>
      <c r="D29" s="168"/>
      <c r="E29" s="168"/>
      <c r="F29" s="168"/>
      <c r="G29" s="168"/>
    </row>
    <row r="30" spans="1:7">
      <c r="A30" s="165">
        <f t="shared" si="0"/>
        <v>21</v>
      </c>
      <c r="B30" s="589"/>
      <c r="C30" s="165"/>
      <c r="D30" s="160" t="s">
        <v>984</v>
      </c>
      <c r="E30" s="160" t="s">
        <v>217</v>
      </c>
      <c r="F30" s="160" t="s">
        <v>978</v>
      </c>
      <c r="G30" s="160" t="s">
        <v>983</v>
      </c>
    </row>
    <row r="31" spans="1:7">
      <c r="A31" s="165">
        <f t="shared" si="0"/>
        <v>22</v>
      </c>
      <c r="B31" s="687" t="s">
        <v>1319</v>
      </c>
      <c r="C31" s="165"/>
      <c r="D31" s="173" t="s">
        <v>70</v>
      </c>
      <c r="E31" s="173" t="s">
        <v>221</v>
      </c>
      <c r="F31" s="173" t="s">
        <v>635</v>
      </c>
      <c r="G31" s="173" t="s">
        <v>70</v>
      </c>
    </row>
    <row r="32" spans="1:7" ht="13.5" thickBot="1">
      <c r="A32" s="165">
        <f t="shared" si="0"/>
        <v>23</v>
      </c>
      <c r="B32" s="589" t="s">
        <v>632</v>
      </c>
      <c r="C32" s="165" t="str">
        <f>'WP_B-Inputs Est.'!L2&amp;" Line "&amp;'WP_B-Inputs Est.'!A56</f>
        <v>WP_B-Inputs Est. Line 46</v>
      </c>
      <c r="D32" s="168">
        <f>'WP_B-Inputs Est.'!D56+'WP_B-Inputs Est.'!E56+'WP_B-Inputs Est.'!F56</f>
        <v>136716972.61564237</v>
      </c>
      <c r="E32" s="168">
        <f>SUM('WP_B-Inputs Est.'!F134:H134)</f>
        <v>1908244.6699999997</v>
      </c>
      <c r="F32" s="168">
        <v>0</v>
      </c>
      <c r="G32" s="169">
        <f>SUM(D32:F32)</f>
        <v>138625217.28564236</v>
      </c>
    </row>
    <row r="33" spans="1:7" ht="13.5" thickBot="1">
      <c r="A33" s="165">
        <f t="shared" si="0"/>
        <v>24</v>
      </c>
      <c r="B33" s="589" t="s">
        <v>794</v>
      </c>
      <c r="C33" s="165" t="str">
        <f>'WP_B-Inputs Est.'!L2&amp;" Line "&amp;'WP_B-Inputs Est.'!A56</f>
        <v>WP_B-Inputs Est. Line 46</v>
      </c>
      <c r="D33" s="168">
        <f>'WP_B-Inputs Est.'!G56</f>
        <v>41361421.520000003</v>
      </c>
      <c r="E33" s="168">
        <f>-'WP_B-Inputs Est.'!F134</f>
        <v>-1904609.3099999996</v>
      </c>
      <c r="F33" s="168">
        <v>0</v>
      </c>
      <c r="G33" s="611">
        <f t="shared" ref="G33:G38" si="4">SUM(D33:F33)</f>
        <v>39456812.210000001</v>
      </c>
    </row>
    <row r="34" spans="1:7" ht="13.5" thickBot="1">
      <c r="A34" s="165">
        <f t="shared" si="0"/>
        <v>25</v>
      </c>
      <c r="B34" s="152" t="s">
        <v>633</v>
      </c>
      <c r="C34" s="165" t="str">
        <f>'WP_B-Inputs Est.'!L2&amp;" Line "&amp;'WP_B-Inputs Est.'!A56</f>
        <v>WP_B-Inputs Est. Line 46</v>
      </c>
      <c r="D34" s="168">
        <f>'WP_B-Inputs Est.'!H56</f>
        <v>112949835.29000002</v>
      </c>
      <c r="E34" s="168">
        <f>-'WP_B-Inputs Est.'!G134</f>
        <v>-3635.3599999999997</v>
      </c>
      <c r="F34" s="168">
        <f>-'WP_B-Inputs Est.'!I102</f>
        <v>1163061.8719079113</v>
      </c>
      <c r="G34" s="169">
        <f t="shared" si="4"/>
        <v>114109261.80190793</v>
      </c>
    </row>
    <row r="35" spans="1:7" ht="13.5" thickBot="1">
      <c r="A35" s="165">
        <f t="shared" si="0"/>
        <v>26</v>
      </c>
      <c r="B35" s="589" t="s">
        <v>634</v>
      </c>
      <c r="C35" s="165" t="str">
        <f>'WP_B-Inputs Est.'!L2&amp;" Line "&amp;'WP_B-Inputs Est.'!A56</f>
        <v>WP_B-Inputs Est. Line 46</v>
      </c>
      <c r="D35" s="168">
        <f>'WP_B-Inputs Est.'!I56</f>
        <v>12542803.550000001</v>
      </c>
      <c r="E35" s="168">
        <f>-'WP_B-Inputs Est.'!H134</f>
        <v>0</v>
      </c>
      <c r="F35" s="168">
        <f>-'WP_B-Inputs Est.'!L102</f>
        <v>-1268992.0822046697</v>
      </c>
      <c r="G35" s="611">
        <f t="shared" si="4"/>
        <v>11273811.467795331</v>
      </c>
    </row>
    <row r="36" spans="1:7" ht="13.5" thickBot="1">
      <c r="A36" s="165">
        <f t="shared" si="0"/>
        <v>27</v>
      </c>
      <c r="B36" s="152" t="s">
        <v>220</v>
      </c>
      <c r="C36" s="165" t="str">
        <f>'WP_B-Inputs Est.'!L2&amp;" Line "&amp;'WP_B-Inputs Est.'!A56</f>
        <v>WP_B-Inputs Est. Line 46</v>
      </c>
      <c r="D36" s="168">
        <f>'WP_B-Inputs Est.'!C56</f>
        <v>8469537.4899999984</v>
      </c>
      <c r="E36" s="168"/>
      <c r="F36" s="168">
        <f>-'WP_B-Inputs Est.'!F102</f>
        <v>-527389.16000000387</v>
      </c>
      <c r="G36" s="611">
        <f t="shared" si="4"/>
        <v>7942148.3299999945</v>
      </c>
    </row>
    <row r="37" spans="1:7" ht="13.5" thickBot="1">
      <c r="A37" s="165">
        <f t="shared" si="0"/>
        <v>28</v>
      </c>
      <c r="B37" s="152" t="s">
        <v>883</v>
      </c>
      <c r="C37" s="321" t="str">
        <f>'WP_B-Inputs Est.'!L2&amp;" Line "&amp;'WP_B-Inputs Est.'!A56</f>
        <v>WP_B-Inputs Est. Line 46</v>
      </c>
      <c r="D37" s="169">
        <f>'WP_B-Inputs Est.'!J56</f>
        <v>33533441.550000001</v>
      </c>
      <c r="E37" s="169"/>
      <c r="F37" s="169">
        <f>-'WP_B-Inputs Est.'!P102</f>
        <v>-122954.20000000298</v>
      </c>
      <c r="G37" s="611">
        <f t="shared" si="4"/>
        <v>33410487.349999998</v>
      </c>
    </row>
    <row r="38" spans="1:7" ht="13.5" thickBot="1">
      <c r="A38" s="165">
        <f t="shared" si="0"/>
        <v>29</v>
      </c>
      <c r="B38" s="152" t="s">
        <v>884</v>
      </c>
      <c r="C38" s="165" t="str">
        <f>'WP_B-Inputs Est.'!L2&amp;" Line "&amp;'WP_B-Inputs Est.'!A56</f>
        <v>WP_B-Inputs Est. Line 46</v>
      </c>
      <c r="D38" s="170">
        <f>'WP_B-Inputs Est.'!K56</f>
        <v>30029039.199999992</v>
      </c>
      <c r="E38" s="170"/>
      <c r="F38" s="1179">
        <f>-'WP_B-Inputs Est.'!S102</f>
        <v>-14575.091631722113</v>
      </c>
      <c r="G38" s="611">
        <f t="shared" si="4"/>
        <v>30014464.10836827</v>
      </c>
    </row>
    <row r="39" spans="1:7">
      <c r="A39" s="165">
        <f t="shared" si="0"/>
        <v>30</v>
      </c>
      <c r="B39" s="152" t="s">
        <v>71</v>
      </c>
      <c r="C39" s="165" t="str">
        <f>"Sum Lines "&amp;A32&amp;" through "&amp;A38</f>
        <v>Sum Lines 23 through 29</v>
      </c>
      <c r="D39" s="168">
        <f>SUM(D32:D38)</f>
        <v>375603051.21564239</v>
      </c>
      <c r="E39" s="168">
        <f>SUM(E32:E38)</f>
        <v>1.0277290130034089E-10</v>
      </c>
      <c r="F39" s="168">
        <f>SUM(F32:F38)</f>
        <v>-770848.66192848748</v>
      </c>
      <c r="G39" s="168">
        <f>SUM(G32:G38)</f>
        <v>374832202.55371392</v>
      </c>
    </row>
    <row r="41" spans="1:7">
      <c r="B41" s="241" t="s">
        <v>89</v>
      </c>
    </row>
    <row r="42" spans="1:7">
      <c r="B42" s="152" t="s">
        <v>222</v>
      </c>
    </row>
    <row r="43" spans="1:7">
      <c r="B43" s="152" t="str">
        <f>"2. Adjustments are shown on WP_B-Inputs Est. Lines "&amp;'WP_B-Inputs Est.'!A77&amp;", "&amp;'WP_B-Inputs Est.'!A96&amp;", "&amp;'WP_B-Inputs Est.'!A102</f>
        <v>2. Adjustments are shown on WP_B-Inputs Est. Lines 67, 86, 92</v>
      </c>
    </row>
    <row r="44" spans="1:7">
      <c r="B44" s="314" t="s">
        <v>1792</v>
      </c>
    </row>
    <row r="45" spans="1:7">
      <c r="B45" s="241" t="s">
        <v>606</v>
      </c>
    </row>
    <row r="46" spans="1:7">
      <c r="A46" s="589"/>
      <c r="B46" s="314" t="s">
        <v>607</v>
      </c>
      <c r="C46" s="589"/>
      <c r="D46" s="689"/>
      <c r="E46" s="689"/>
      <c r="F46" s="689"/>
      <c r="G46" s="689"/>
    </row>
    <row r="47" spans="1:7">
      <c r="A47" s="589"/>
      <c r="B47" s="314" t="s">
        <v>1317</v>
      </c>
      <c r="C47" s="589"/>
      <c r="D47" s="689"/>
      <c r="E47" s="689"/>
      <c r="F47" s="689"/>
      <c r="G47" s="689"/>
    </row>
    <row r="48" spans="1:7">
      <c r="A48" s="589"/>
      <c r="B48" s="589"/>
      <c r="C48" s="589"/>
      <c r="D48" s="689"/>
      <c r="E48" s="689"/>
      <c r="F48" s="689"/>
      <c r="G48" s="689"/>
    </row>
    <row r="49" spans="1:7">
      <c r="A49" s="334" t="s">
        <v>1071</v>
      </c>
    </row>
    <row r="50" spans="1:7">
      <c r="A50" s="164"/>
      <c r="B50" s="165"/>
      <c r="D50" s="160" t="s">
        <v>984</v>
      </c>
      <c r="E50" s="160" t="s">
        <v>217</v>
      </c>
      <c r="F50" s="160" t="s">
        <v>978</v>
      </c>
      <c r="G50" s="160" t="s">
        <v>983</v>
      </c>
    </row>
    <row r="51" spans="1:7">
      <c r="A51" s="171" t="s">
        <v>868</v>
      </c>
      <c r="B51" s="172" t="s">
        <v>979</v>
      </c>
      <c r="C51" s="172" t="s">
        <v>870</v>
      </c>
      <c r="D51" s="173" t="s">
        <v>957</v>
      </c>
      <c r="E51" s="173" t="s">
        <v>515</v>
      </c>
      <c r="F51" s="173" t="s">
        <v>219</v>
      </c>
      <c r="G51" s="173" t="s">
        <v>957</v>
      </c>
    </row>
    <row r="52" spans="1:7">
      <c r="A52" s="174"/>
      <c r="B52" s="175"/>
      <c r="C52" s="175"/>
      <c r="D52" s="685" t="s">
        <v>363</v>
      </c>
      <c r="E52" s="685" t="s">
        <v>362</v>
      </c>
      <c r="F52" s="685" t="s">
        <v>364</v>
      </c>
      <c r="G52" s="686" t="s">
        <v>365</v>
      </c>
    </row>
    <row r="53" spans="1:7" ht="13.5" thickBot="1">
      <c r="A53" s="165">
        <f>1</f>
        <v>1</v>
      </c>
      <c r="B53" s="166" t="s">
        <v>980</v>
      </c>
    </row>
    <row r="54" spans="1:7" ht="13.5" thickBot="1">
      <c r="A54" s="165">
        <f>A53+1</f>
        <v>2</v>
      </c>
      <c r="B54" s="152" t="s">
        <v>632</v>
      </c>
      <c r="C54" s="321" t="str">
        <f>'WP_B-Inputs Act.'!L2&amp;" Line "&amp;'WP_B-Inputs Act.'!A27</f>
        <v>WP_B-Inputs Act. Line 17</v>
      </c>
      <c r="D54" s="168">
        <f>SUM('WP_B-Inputs Act.'!D27:F27)</f>
        <v>0</v>
      </c>
      <c r="E54" s="168">
        <f>SUM('WP_B-Inputs Act.'!C129:E129)</f>
        <v>0</v>
      </c>
      <c r="F54" s="168">
        <v>0</v>
      </c>
      <c r="G54" s="611">
        <f t="shared" ref="G54:G60" si="5">SUM(D54:F54)</f>
        <v>0</v>
      </c>
    </row>
    <row r="55" spans="1:7" ht="13.5" thickBot="1">
      <c r="A55" s="165">
        <f>A54+1</f>
        <v>3</v>
      </c>
      <c r="B55" s="152" t="s">
        <v>794</v>
      </c>
      <c r="C55" s="165" t="str">
        <f>'WP_B-Inputs Act.'!L2&amp;" Line "&amp;'WP_B-Inputs Act.'!A27</f>
        <v>WP_B-Inputs Act. Line 17</v>
      </c>
      <c r="D55" s="168">
        <f>'WP_B-Inputs Act.'!G27</f>
        <v>0</v>
      </c>
      <c r="E55" s="168">
        <f>-'WP_B-Inputs Act.'!C129</f>
        <v>0</v>
      </c>
      <c r="F55" s="168">
        <v>0</v>
      </c>
      <c r="G55" s="611">
        <f t="shared" si="5"/>
        <v>0</v>
      </c>
    </row>
    <row r="56" spans="1:7" ht="13.5" thickBot="1">
      <c r="A56" s="165">
        <f>A55+1</f>
        <v>4</v>
      </c>
      <c r="B56" s="152" t="s">
        <v>633</v>
      </c>
      <c r="C56" s="165" t="str">
        <f>'WP_B-Inputs Act.'!L2&amp;" Line "&amp;'WP_B-Inputs Act.'!A27</f>
        <v>WP_B-Inputs Act. Line 17</v>
      </c>
      <c r="D56" s="168">
        <f>'WP_B-Inputs Act.'!H27</f>
        <v>0</v>
      </c>
      <c r="E56" s="168">
        <f>-'WP_B-Inputs Act.'!D129</f>
        <v>0</v>
      </c>
      <c r="F56" s="168">
        <f>-'WP_B-Inputs Act.'!I77</f>
        <v>0</v>
      </c>
      <c r="G56" s="611">
        <f t="shared" si="5"/>
        <v>0</v>
      </c>
    </row>
    <row r="57" spans="1:7" ht="13.5" thickBot="1">
      <c r="A57" s="165">
        <f>A56+1</f>
        <v>5</v>
      </c>
      <c r="B57" s="589" t="s">
        <v>634</v>
      </c>
      <c r="C57" s="165" t="str">
        <f>'WP_B-Inputs Act.'!L2&amp;" Line "&amp;'WP_B-Inputs Act.'!A27</f>
        <v>WP_B-Inputs Act. Line 17</v>
      </c>
      <c r="D57" s="168">
        <f>'WP_B-Inputs Act.'!I27</f>
        <v>0</v>
      </c>
      <c r="E57" s="168">
        <f>-'WP_B-Inputs Act.'!E129</f>
        <v>0</v>
      </c>
      <c r="F57" s="168">
        <f>-'WP_B-Inputs Act.'!J77</f>
        <v>0</v>
      </c>
      <c r="G57" s="611">
        <f t="shared" si="5"/>
        <v>0</v>
      </c>
    </row>
    <row r="58" spans="1:7" ht="13.5" thickBot="1">
      <c r="A58" s="165">
        <f>A57+1</f>
        <v>6</v>
      </c>
      <c r="B58" s="152" t="s">
        <v>220</v>
      </c>
      <c r="C58" s="165" t="str">
        <f>'WP_B-Inputs Act.'!L2&amp;" Line "&amp;'WP_B-Inputs Act.'!A27</f>
        <v>WP_B-Inputs Act. Line 17</v>
      </c>
      <c r="D58" s="169">
        <f>'WP_B-Inputs Act.'!C27</f>
        <v>0</v>
      </c>
      <c r="E58" s="169"/>
      <c r="F58" s="169">
        <f>-'WP_B-Inputs Act.'!F77</f>
        <v>0</v>
      </c>
      <c r="G58" s="611">
        <f t="shared" si="5"/>
        <v>0</v>
      </c>
    </row>
    <row r="59" spans="1:7" ht="13.5" thickBot="1">
      <c r="A59" s="165">
        <f t="shared" ref="A59:A82" si="6">A58+1</f>
        <v>7</v>
      </c>
      <c r="B59" s="152" t="s">
        <v>883</v>
      </c>
      <c r="C59" s="165" t="str">
        <f>'WP_B-Inputs Act.'!L2&amp;" Line "&amp;'WP_B-Inputs Act.'!A27</f>
        <v>WP_B-Inputs Act. Line 17</v>
      </c>
      <c r="D59" s="169">
        <f>'WP_B-Inputs Act.'!J27</f>
        <v>0</v>
      </c>
      <c r="E59" s="169"/>
      <c r="F59" s="169">
        <f>-'WP_B-Inputs Act.'!P77</f>
        <v>0</v>
      </c>
      <c r="G59" s="611">
        <f t="shared" si="5"/>
        <v>0</v>
      </c>
    </row>
    <row r="60" spans="1:7" ht="13.5" thickBot="1">
      <c r="A60" s="165">
        <f t="shared" si="6"/>
        <v>8</v>
      </c>
      <c r="B60" s="152" t="s">
        <v>884</v>
      </c>
      <c r="C60" s="165" t="str">
        <f>'WP_B-Inputs Act.'!L2&amp;" Line "&amp;'WP_B-Inputs Act.'!A27</f>
        <v>WP_B-Inputs Act. Line 17</v>
      </c>
      <c r="D60" s="170">
        <f>'WP_B-Inputs Act.'!K27</f>
        <v>0</v>
      </c>
      <c r="E60" s="170"/>
      <c r="F60" s="170">
        <f>-'WP_B-Inputs Act.'!Q77</f>
        <v>0</v>
      </c>
      <c r="G60" s="611">
        <f t="shared" si="5"/>
        <v>0</v>
      </c>
    </row>
    <row r="61" spans="1:7">
      <c r="A61" s="165">
        <f t="shared" si="6"/>
        <v>9</v>
      </c>
      <c r="B61" s="152" t="s">
        <v>981</v>
      </c>
      <c r="C61" s="165" t="str">
        <f>"Sum Lines "&amp;A54&amp;" through "&amp;A60</f>
        <v>Sum Lines 2 through 8</v>
      </c>
      <c r="D61" s="168">
        <f>SUM(D54:D60)</f>
        <v>0</v>
      </c>
      <c r="E61" s="168">
        <f>SUM(E54:E60)</f>
        <v>0</v>
      </c>
      <c r="F61" s="168">
        <f>SUM(F54:F60)</f>
        <v>0</v>
      </c>
      <c r="G61" s="168">
        <f>SUM(G54:G60)</f>
        <v>0</v>
      </c>
    </row>
    <row r="62" spans="1:7">
      <c r="A62" s="165">
        <f t="shared" si="6"/>
        <v>10</v>
      </c>
      <c r="B62" s="589"/>
      <c r="C62" s="165"/>
      <c r="D62" s="168"/>
      <c r="E62" s="168"/>
      <c r="F62" s="168"/>
      <c r="G62" s="168"/>
    </row>
    <row r="63" spans="1:7" ht="13.5" thickBot="1">
      <c r="A63" s="165">
        <f t="shared" si="6"/>
        <v>11</v>
      </c>
      <c r="B63" s="687" t="s">
        <v>1318</v>
      </c>
      <c r="C63" s="165"/>
      <c r="D63" s="168"/>
      <c r="E63" s="168"/>
      <c r="F63" s="168"/>
      <c r="G63" s="168"/>
    </row>
    <row r="64" spans="1:7" ht="13.5" thickBot="1">
      <c r="A64" s="165">
        <f t="shared" si="6"/>
        <v>12</v>
      </c>
      <c r="B64" s="589" t="s">
        <v>632</v>
      </c>
      <c r="C64" s="165" t="str">
        <f>'WP_B-Inputs Act.'!L2&amp;" Line "&amp;'WP_B-Inputs Act.'!A50</f>
        <v>WP_B-Inputs Act. Line 40</v>
      </c>
      <c r="D64" s="168">
        <f>SUM('WP_B-Inputs Act.'!D50:F50)</f>
        <v>0</v>
      </c>
      <c r="E64" s="168">
        <f>SUM('WP_B-Inputs Act.'!F129:H129)</f>
        <v>0</v>
      </c>
      <c r="F64" s="168">
        <v>0</v>
      </c>
      <c r="G64" s="611">
        <f>SUM(D64:F64)</f>
        <v>0</v>
      </c>
    </row>
    <row r="65" spans="1:7" ht="13.5" thickBot="1">
      <c r="A65" s="165">
        <f t="shared" si="6"/>
        <v>13</v>
      </c>
      <c r="B65" s="589" t="s">
        <v>794</v>
      </c>
      <c r="C65" s="165" t="str">
        <f>'WP_B-Inputs Act.'!L2&amp;" Line "&amp;'WP_B-Inputs Act.'!A50</f>
        <v>WP_B-Inputs Act. Line 40</v>
      </c>
      <c r="D65" s="168">
        <f>'WP_B-Inputs Act.'!G50</f>
        <v>0</v>
      </c>
      <c r="E65" s="168">
        <f>-'WP_B-Inputs Act.'!F129</f>
        <v>0</v>
      </c>
      <c r="F65" s="168">
        <v>0</v>
      </c>
      <c r="G65" s="611">
        <f t="shared" ref="G65:G70" si="7">SUM(D65:F65)</f>
        <v>0</v>
      </c>
    </row>
    <row r="66" spans="1:7" ht="13.5" thickBot="1">
      <c r="A66" s="165">
        <f t="shared" si="6"/>
        <v>14</v>
      </c>
      <c r="B66" s="589" t="s">
        <v>633</v>
      </c>
      <c r="C66" s="165" t="str">
        <f>'WP_B-Inputs Act.'!L2&amp;" Line "&amp;'WP_B-Inputs Act.'!A50</f>
        <v>WP_B-Inputs Act. Line 40</v>
      </c>
      <c r="D66" s="168">
        <f>'WP_B-Inputs Act.'!H50</f>
        <v>0</v>
      </c>
      <c r="E66" s="168">
        <f>-'WP_B-Inputs Act.'!G129</f>
        <v>0</v>
      </c>
      <c r="F66" s="168">
        <f>-'WP_B-Inputs Act.'!G96</f>
        <v>0</v>
      </c>
      <c r="G66" s="611">
        <f t="shared" si="7"/>
        <v>0</v>
      </c>
    </row>
    <row r="67" spans="1:7" ht="13.5" thickBot="1">
      <c r="A67" s="165">
        <f t="shared" si="6"/>
        <v>15</v>
      </c>
      <c r="B67" s="589" t="s">
        <v>634</v>
      </c>
      <c r="C67" s="165" t="str">
        <f>'WP_B-Inputs Act.'!L2&amp;" Line "&amp;'WP_B-Inputs Act.'!A50</f>
        <v>WP_B-Inputs Act. Line 40</v>
      </c>
      <c r="D67" s="169">
        <f>'WP_B-Inputs Act.'!I50</f>
        <v>0</v>
      </c>
      <c r="E67" s="169">
        <f>-'WP_B-Inputs Act.'!H129</f>
        <v>0</v>
      </c>
      <c r="F67" s="168">
        <f>-'WP_B-Inputs Act.'!J96</f>
        <v>0</v>
      </c>
      <c r="G67" s="611">
        <f t="shared" si="7"/>
        <v>0</v>
      </c>
    </row>
    <row r="68" spans="1:7" ht="13.5" thickBot="1">
      <c r="A68" s="165">
        <f t="shared" si="6"/>
        <v>16</v>
      </c>
      <c r="B68" s="589" t="s">
        <v>220</v>
      </c>
      <c r="C68" s="165" t="str">
        <f>'WP_B-Inputs Act.'!L2&amp;" Line "&amp;'WP_B-Inputs Act.'!A50</f>
        <v>WP_B-Inputs Act. Line 40</v>
      </c>
      <c r="D68" s="168">
        <f>'WP_B-Inputs Act.'!C50</f>
        <v>0</v>
      </c>
      <c r="E68" s="168"/>
      <c r="F68" s="169">
        <f>-'WP_B-Inputs Act.'!F96</f>
        <v>0</v>
      </c>
      <c r="G68" s="611">
        <f t="shared" si="7"/>
        <v>0</v>
      </c>
    </row>
    <row r="69" spans="1:7" ht="13.5" thickBot="1">
      <c r="A69" s="165">
        <f t="shared" si="6"/>
        <v>17</v>
      </c>
      <c r="B69" s="589" t="s">
        <v>883</v>
      </c>
      <c r="C69" s="165" t="str">
        <f>'WP_B-Inputs Act.'!L2&amp;" Line "&amp;'WP_B-Inputs Act.'!A50</f>
        <v>WP_B-Inputs Act. Line 40</v>
      </c>
      <c r="D69" s="168">
        <f>'WP_B-Inputs Act.'!J50</f>
        <v>0</v>
      </c>
      <c r="E69" s="168"/>
      <c r="F69" s="169">
        <f>-'WP_B-Inputs Act.'!P96</f>
        <v>0</v>
      </c>
      <c r="G69" s="611">
        <f t="shared" si="7"/>
        <v>0</v>
      </c>
    </row>
    <row r="70" spans="1:7" ht="13.5" thickBot="1">
      <c r="A70" s="165">
        <f t="shared" si="6"/>
        <v>18</v>
      </c>
      <c r="B70" s="589" t="s">
        <v>884</v>
      </c>
      <c r="C70" s="165" t="str">
        <f>'WP_B-Inputs Act.'!L2&amp;" Line "&amp;'WP_B-Inputs Act.'!A50</f>
        <v>WP_B-Inputs Act. Line 40</v>
      </c>
      <c r="D70" s="170">
        <f>'WP_B-Inputs Act.'!K50</f>
        <v>0</v>
      </c>
      <c r="E70" s="170"/>
      <c r="F70" s="170">
        <f>-'WP_B-Inputs Act.'!Q96</f>
        <v>0</v>
      </c>
      <c r="G70" s="611">
        <f t="shared" si="7"/>
        <v>0</v>
      </c>
    </row>
    <row r="71" spans="1:7" ht="25.5">
      <c r="A71" s="626">
        <f t="shared" si="6"/>
        <v>19</v>
      </c>
      <c r="B71" s="688" t="s">
        <v>940</v>
      </c>
      <c r="C71" s="165" t="str">
        <f>"Sum Lines "&amp;A64&amp;" through "&amp;A70</f>
        <v>Sum Lines 12 through 18</v>
      </c>
      <c r="D71" s="168">
        <f>SUM(D64:D70)</f>
        <v>0</v>
      </c>
      <c r="E71" s="168">
        <f>SUM(E64:E70)</f>
        <v>0</v>
      </c>
      <c r="F71" s="168">
        <f>SUM(F64:F70)</f>
        <v>0</v>
      </c>
      <c r="G71" s="168">
        <f>SUM(G64:G70)</f>
        <v>0</v>
      </c>
    </row>
    <row r="72" spans="1:7">
      <c r="A72" s="165">
        <f t="shared" si="6"/>
        <v>20</v>
      </c>
      <c r="B72" s="589"/>
      <c r="C72" s="165"/>
      <c r="D72" s="168"/>
      <c r="E72" s="168"/>
      <c r="F72" s="168"/>
      <c r="G72" s="168"/>
    </row>
    <row r="73" spans="1:7">
      <c r="A73" s="165">
        <f t="shared" si="6"/>
        <v>21</v>
      </c>
      <c r="B73" s="589"/>
      <c r="C73" s="165"/>
      <c r="D73" s="160" t="s">
        <v>984</v>
      </c>
      <c r="E73" s="160" t="s">
        <v>217</v>
      </c>
      <c r="F73" s="160" t="s">
        <v>978</v>
      </c>
      <c r="G73" s="160" t="s">
        <v>983</v>
      </c>
    </row>
    <row r="74" spans="1:7">
      <c r="A74" s="165">
        <f t="shared" si="6"/>
        <v>22</v>
      </c>
      <c r="B74" s="687" t="s">
        <v>1319</v>
      </c>
      <c r="C74" s="165"/>
      <c r="D74" s="173" t="s">
        <v>70</v>
      </c>
      <c r="E74" s="173" t="s">
        <v>221</v>
      </c>
      <c r="F74" s="173" t="s">
        <v>635</v>
      </c>
      <c r="G74" s="173" t="s">
        <v>70</v>
      </c>
    </row>
    <row r="75" spans="1:7" ht="13.5" thickBot="1">
      <c r="A75" s="165">
        <f t="shared" si="6"/>
        <v>23</v>
      </c>
      <c r="B75" s="589" t="s">
        <v>632</v>
      </c>
      <c r="C75" s="165" t="str">
        <f>'WP_B-Inputs Act.'!L2&amp;" Line "&amp;'WP_B-Inputs Act.'!A56</f>
        <v>WP_B-Inputs Act. Line 46</v>
      </c>
      <c r="D75" s="168">
        <f>'WP_B-Inputs Act.'!D56+'WP_B-Inputs Act.'!E56+'WP_B-Inputs Act.'!F56</f>
        <v>0</v>
      </c>
      <c r="E75" s="168">
        <f>SUM('WP_B-Inputs Act.'!F134:H134)</f>
        <v>0</v>
      </c>
      <c r="F75" s="168">
        <v>0</v>
      </c>
      <c r="G75" s="169">
        <f>SUM(D75:F75)</f>
        <v>0</v>
      </c>
    </row>
    <row r="76" spans="1:7" ht="13.5" thickBot="1">
      <c r="A76" s="165">
        <f t="shared" si="6"/>
        <v>24</v>
      </c>
      <c r="B76" s="152" t="s">
        <v>794</v>
      </c>
      <c r="C76" s="165" t="str">
        <f>'WP_B-Inputs Act.'!L2&amp;" Line "&amp;'WP_B-Inputs Act.'!A56</f>
        <v>WP_B-Inputs Act. Line 46</v>
      </c>
      <c r="D76" s="168">
        <f>'WP_B-Inputs Act.'!G56</f>
        <v>0</v>
      </c>
      <c r="E76" s="168">
        <f>-'WP_B-Inputs Act.'!F134</f>
        <v>0</v>
      </c>
      <c r="F76" s="168">
        <v>0</v>
      </c>
      <c r="G76" s="611">
        <f t="shared" ref="G76:G81" si="8">SUM(D76:F76)</f>
        <v>0</v>
      </c>
    </row>
    <row r="77" spans="1:7" ht="13.5" thickBot="1">
      <c r="A77" s="165">
        <f t="shared" si="6"/>
        <v>25</v>
      </c>
      <c r="B77" s="152" t="s">
        <v>633</v>
      </c>
      <c r="C77" s="165" t="str">
        <f>'WP_B-Inputs Act.'!L2&amp;" Line "&amp;'WP_B-Inputs Act.'!A56</f>
        <v>WP_B-Inputs Act. Line 46</v>
      </c>
      <c r="D77" s="168">
        <f>'WP_B-Inputs Act.'!H56</f>
        <v>0</v>
      </c>
      <c r="E77" s="168">
        <f>-'WP_B-Inputs Act.'!G134</f>
        <v>0</v>
      </c>
      <c r="F77" s="168">
        <f>-'WP_B-Inputs Act.'!G102</f>
        <v>0</v>
      </c>
      <c r="G77" s="169">
        <f t="shared" si="8"/>
        <v>0</v>
      </c>
    </row>
    <row r="78" spans="1:7" ht="13.5" thickBot="1">
      <c r="A78" s="165">
        <f t="shared" si="6"/>
        <v>26</v>
      </c>
      <c r="B78" s="589" t="s">
        <v>634</v>
      </c>
      <c r="C78" s="165" t="str">
        <f>'WP_B-Inputs Act.'!L2&amp;" Line "&amp;'WP_B-Inputs Act.'!A56</f>
        <v>WP_B-Inputs Act. Line 46</v>
      </c>
      <c r="D78" s="168">
        <f>'WP_B-Inputs Act.'!I56</f>
        <v>0</v>
      </c>
      <c r="E78" s="168">
        <f>-'WP_B-Inputs Act.'!H134</f>
        <v>0</v>
      </c>
      <c r="F78" s="168">
        <f>-'WP_B-Inputs Act.'!J102</f>
        <v>0</v>
      </c>
      <c r="G78" s="611">
        <f t="shared" si="8"/>
        <v>0</v>
      </c>
    </row>
    <row r="79" spans="1:7" ht="13.5" thickBot="1">
      <c r="A79" s="165">
        <f t="shared" si="6"/>
        <v>27</v>
      </c>
      <c r="B79" s="152" t="s">
        <v>220</v>
      </c>
      <c r="C79" s="165" t="str">
        <f>'WP_B-Inputs Act.'!L2&amp;" Line "&amp;'WP_B-Inputs Act.'!A56</f>
        <v>WP_B-Inputs Act. Line 46</v>
      </c>
      <c r="D79" s="168">
        <f>'WP_B-Inputs Act.'!C56</f>
        <v>0</v>
      </c>
      <c r="E79" s="168"/>
      <c r="F79" s="168">
        <f>-'WP_B-Inputs Act.'!F102</f>
        <v>0</v>
      </c>
      <c r="G79" s="611">
        <f t="shared" si="8"/>
        <v>0</v>
      </c>
    </row>
    <row r="80" spans="1:7" ht="13.5" thickBot="1">
      <c r="A80" s="165">
        <f t="shared" si="6"/>
        <v>28</v>
      </c>
      <c r="B80" s="152" t="s">
        <v>883</v>
      </c>
      <c r="C80" s="321" t="str">
        <f>'WP_B-Inputs Act.'!L2&amp;" Line "&amp;'WP_B-Inputs Act.'!A56</f>
        <v>WP_B-Inputs Act. Line 46</v>
      </c>
      <c r="D80" s="169">
        <f>'WP_B-Inputs Act.'!J56</f>
        <v>0</v>
      </c>
      <c r="E80" s="169"/>
      <c r="F80" s="169">
        <f>-'WP_B-Inputs Act.'!P102</f>
        <v>0</v>
      </c>
      <c r="G80" s="611">
        <f t="shared" si="8"/>
        <v>0</v>
      </c>
    </row>
    <row r="81" spans="1:7" ht="13.5" thickBot="1">
      <c r="A81" s="165">
        <f t="shared" si="6"/>
        <v>29</v>
      </c>
      <c r="B81" s="152" t="s">
        <v>884</v>
      </c>
      <c r="C81" s="165" t="str">
        <f>'WP_B-Inputs Act.'!L2&amp;" Line "&amp;'WP_B-Inputs Act.'!A56</f>
        <v>WP_B-Inputs Act. Line 46</v>
      </c>
      <c r="D81" s="170">
        <f>'WP_B-Inputs Act.'!K56</f>
        <v>0</v>
      </c>
      <c r="E81" s="170"/>
      <c r="F81" s="336">
        <f>-'WP_B-Inputs Act.'!Q102</f>
        <v>0</v>
      </c>
      <c r="G81" s="611">
        <f t="shared" si="8"/>
        <v>0</v>
      </c>
    </row>
    <row r="82" spans="1:7">
      <c r="A82" s="165">
        <f t="shared" si="6"/>
        <v>30</v>
      </c>
      <c r="B82" s="152" t="s">
        <v>71</v>
      </c>
      <c r="C82" s="165" t="str">
        <f>"Sum Lines "&amp;A75&amp;" through "&amp;A81</f>
        <v>Sum Lines 23 through 29</v>
      </c>
      <c r="D82" s="168">
        <f>SUM(D75:D81)</f>
        <v>0</v>
      </c>
      <c r="E82" s="168">
        <f>SUM(E75:E81)</f>
        <v>0</v>
      </c>
      <c r="F82" s="168">
        <f>SUM(F75:F81)</f>
        <v>0</v>
      </c>
      <c r="G82" s="168">
        <f>SUM(G75:G81)</f>
        <v>0</v>
      </c>
    </row>
    <row r="84" spans="1:7">
      <c r="B84" s="241" t="s">
        <v>89</v>
      </c>
    </row>
    <row r="85" spans="1:7">
      <c r="B85" s="152" t="s">
        <v>218</v>
      </c>
    </row>
    <row r="86" spans="1:7">
      <c r="B86" s="152" t="str">
        <f>"2. Adjustments are shown on WP_B-Inputs Est. Lines "&amp;'WP_B-Inputs Est.'!A120&amp;", "&amp;'WP_B-Inputs Est.'!A139&amp;", "&amp;'WP_B-Inputs Est.'!A145</f>
        <v>2. Adjustments are shown on WP_B-Inputs Est. Lines 110, 129, 135</v>
      </c>
    </row>
    <row r="87" spans="1:7">
      <c r="B87" s="314" t="s">
        <v>1792</v>
      </c>
    </row>
    <row r="88" spans="1:7">
      <c r="B88" s="241" t="s">
        <v>606</v>
      </c>
    </row>
    <row r="89" spans="1:7">
      <c r="B89" s="241" t="s">
        <v>607</v>
      </c>
    </row>
    <row r="90" spans="1:7">
      <c r="B90" s="314" t="s">
        <v>1317</v>
      </c>
      <c r="C90" s="589"/>
      <c r="D90" s="689"/>
      <c r="E90" s="689"/>
      <c r="F90" s="689"/>
    </row>
  </sheetData>
  <phoneticPr fontId="15" type="noConversion"/>
  <printOptions horizontalCentered="1"/>
  <pageMargins left="0.75" right="0.75" top="1" bottom="1" header="0.5" footer="0.5"/>
  <pageSetup scale="59" fitToHeight="2" orientation="portrait" r:id="rId1"/>
  <headerFooter alignWithMargins="0">
    <oddHeader>&amp;RPage &amp;P of &amp;N</oddHeader>
  </headerFooter>
  <rowBreaks count="1" manualBreakCount="1">
    <brk id="4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58</vt:i4>
      </vt:variant>
    </vt:vector>
  </HeadingPairs>
  <TitlesOfParts>
    <vt:vector size="99" baseType="lpstr">
      <vt:lpstr>Revisions</vt:lpstr>
      <vt:lpstr>Cover Page</vt:lpstr>
      <vt:lpstr>Table of Contents</vt:lpstr>
      <vt:lpstr>Est. Rates</vt:lpstr>
      <vt:lpstr>Actual Rates</vt:lpstr>
      <vt:lpstr>ATRR Est.</vt:lpstr>
      <vt:lpstr>ATRR Act</vt:lpstr>
      <vt:lpstr>WP_A-2</vt:lpstr>
      <vt:lpstr>WP_B-1</vt:lpstr>
      <vt:lpstr>WP_B-2</vt:lpstr>
      <vt:lpstr>WP_B-3</vt:lpstr>
      <vt:lpstr>WP_B-4</vt:lpstr>
      <vt:lpstr>WP_B-5</vt:lpstr>
      <vt:lpstr>WP_B-6</vt:lpstr>
      <vt:lpstr>WP_B-7</vt:lpstr>
      <vt:lpstr>WP_B-8</vt:lpstr>
      <vt:lpstr>WP_B-Inputs Est.</vt:lpstr>
      <vt:lpstr>WP_B-Inputs Act.</vt:lpstr>
      <vt:lpstr>WP_C-1</vt:lpstr>
      <vt:lpstr>WP_C-2</vt:lpstr>
      <vt:lpstr>WP_C-3</vt:lpstr>
      <vt:lpstr>WP_C-4</vt:lpstr>
      <vt:lpstr>WP_D-1</vt:lpstr>
      <vt:lpstr>WP_E-1</vt:lpstr>
      <vt:lpstr>WP_F-1</vt:lpstr>
      <vt:lpstr>WP_G-1</vt:lpstr>
      <vt:lpstr>WP_H-1 </vt:lpstr>
      <vt:lpstr>WP_I-1</vt:lpstr>
      <vt:lpstr>Schedule 1</vt:lpstr>
      <vt:lpstr>Schedule 2</vt:lpstr>
      <vt:lpstr>Schedule 3 and 3A</vt:lpstr>
      <vt:lpstr>Schedule 5</vt:lpstr>
      <vt:lpstr>Schedule 6</vt:lpstr>
      <vt:lpstr>WP_FCR</vt:lpstr>
      <vt:lpstr>WP_Cost per Unit</vt:lpstr>
      <vt:lpstr>WP_Load Factor</vt:lpstr>
      <vt:lpstr>Schedule 16</vt:lpstr>
      <vt:lpstr>WP_Installed Cost</vt:lpstr>
      <vt:lpstr>WP_O&amp;M Cost</vt:lpstr>
      <vt:lpstr>WP_Reactive Cost</vt:lpstr>
      <vt:lpstr>WP_ADIT Prorate</vt:lpstr>
      <vt:lpstr>CE</vt:lpstr>
      <vt:lpstr>CEA</vt:lpstr>
      <vt:lpstr>GP</vt:lpstr>
      <vt:lpstr>GPA</vt:lpstr>
      <vt:lpstr>NP</vt:lpstr>
      <vt:lpstr>NPA</vt:lpstr>
      <vt:lpstr>'Actual Rates'!Print_Area</vt:lpstr>
      <vt:lpstr>'ATRR Act'!Print_Area</vt:lpstr>
      <vt:lpstr>'ATRR Est.'!Print_Area</vt:lpstr>
      <vt:lpstr>'Cover Page'!Print_Area</vt:lpstr>
      <vt:lpstr>'Est. Rates'!Print_Area</vt:lpstr>
      <vt:lpstr>'Schedule 1'!Print_Area</vt:lpstr>
      <vt:lpstr>'Schedule 16'!Print_Area</vt:lpstr>
      <vt:lpstr>'Schedule 2'!Print_Area</vt:lpstr>
      <vt:lpstr>'Schedule 3 and 3A'!Print_Area</vt:lpstr>
      <vt:lpstr>'Schedule 5'!Print_Area</vt:lpstr>
      <vt:lpstr>'Schedule 6'!Print_Area</vt:lpstr>
      <vt:lpstr>'Table of Contents'!Print_Area</vt:lpstr>
      <vt:lpstr>'WP_B-1'!Print_Area</vt:lpstr>
      <vt:lpstr>'WP_B-4'!Print_Area</vt:lpstr>
      <vt:lpstr>'WP_B-5'!Print_Area</vt:lpstr>
      <vt:lpstr>'WP_B-6'!Print_Area</vt:lpstr>
      <vt:lpstr>'WP_B-7'!Print_Area</vt:lpstr>
      <vt:lpstr>'WP_B-8'!Print_Area</vt:lpstr>
      <vt:lpstr>'WP_C-1'!Print_Area</vt:lpstr>
      <vt:lpstr>'WP_C-2'!Print_Area</vt:lpstr>
      <vt:lpstr>'WP_C-3'!Print_Area</vt:lpstr>
      <vt:lpstr>'WP_C-4'!Print_Area</vt:lpstr>
      <vt:lpstr>'WP_Cost per Unit'!Print_Area</vt:lpstr>
      <vt:lpstr>'WP_D-1'!Print_Area</vt:lpstr>
      <vt:lpstr>'WP_E-1'!Print_Area</vt:lpstr>
      <vt:lpstr>'WP_F-1'!Print_Area</vt:lpstr>
      <vt:lpstr>WP_FCR!Print_Area</vt:lpstr>
      <vt:lpstr>'WP_G-1'!Print_Area</vt:lpstr>
      <vt:lpstr>'WP_H-1 '!Print_Area</vt:lpstr>
      <vt:lpstr>'WP_I-1'!Print_Area</vt:lpstr>
      <vt:lpstr>'WP_Installed Cost'!Print_Area</vt:lpstr>
      <vt:lpstr>'WP_O&amp;M Cost'!Print_Area</vt:lpstr>
      <vt:lpstr>'WP_Reactive Cost'!Print_Area</vt:lpstr>
      <vt:lpstr>'ATRR Act'!Print_Titles</vt:lpstr>
      <vt:lpstr>'ATRR Est.'!Print_Titles</vt:lpstr>
      <vt:lpstr>'WP_A-2'!Print_Titles</vt:lpstr>
      <vt:lpstr>'WP_B-1'!Print_Titles</vt:lpstr>
      <vt:lpstr>'WP_B-4'!Print_Titles</vt:lpstr>
      <vt:lpstr>'WP_B-5'!Print_Titles</vt:lpstr>
      <vt:lpstr>'WP_B-6'!Print_Titles</vt:lpstr>
      <vt:lpstr>'WP_C-2'!Print_Titles</vt:lpstr>
      <vt:lpstr>'WP_E-1'!Print_Titles</vt:lpstr>
      <vt:lpstr>'WP_F-1'!Print_Titles</vt:lpstr>
      <vt:lpstr>WP_FCR!Print_Titles</vt:lpstr>
      <vt:lpstr>'WP_G-1'!Print_Titles</vt:lpstr>
      <vt:lpstr>'WP_H-1 '!Print_Titles</vt:lpstr>
      <vt:lpstr>'WP_Load Factor'!Print_Titles</vt:lpstr>
      <vt:lpstr>ROR</vt:lpstr>
      <vt:lpstr>TP</vt:lpstr>
      <vt:lpstr>TPA</vt:lpstr>
      <vt:lpstr>WS</vt:lpstr>
      <vt:lpstr>WSA</vt:lpstr>
    </vt:vector>
  </TitlesOfParts>
  <Company>Xcel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Harrington</dc:creator>
  <cp:lastModifiedBy>Xcel Energy</cp:lastModifiedBy>
  <cp:lastPrinted>2016-08-29T21:24:16Z</cp:lastPrinted>
  <dcterms:created xsi:type="dcterms:W3CDTF">2011-10-05T20:37:50Z</dcterms:created>
  <dcterms:modified xsi:type="dcterms:W3CDTF">2017-10-10T21:19:01Z</dcterms:modified>
</cp:coreProperties>
</file>