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6435" yWindow="-150" windowWidth="9060" windowHeight="8295"/>
  </bookViews>
  <sheets>
    <sheet name="Index" sheetId="1" r:id="rId1"/>
    <sheet name=" Summary Page" sheetId="2" r:id="rId2"/>
    <sheet name="Worksheet A, Rate Base" sheetId="3" r:id="rId3"/>
    <sheet name="Worksheet B Expenses" sheetId="4" r:id="rId4"/>
    <sheet name="Worksheet C, Return" sheetId="5" r:id="rId5"/>
    <sheet name="Worksheet D, Load" sheetId="25" r:id="rId6"/>
    <sheet name="Worksheet E, Alloc. Factor" sheetId="7" r:id="rId7"/>
    <sheet name="Worksheet F, Inputs" sheetId="8" r:id="rId8"/>
    <sheet name="Worksheet G O&amp;M Input" sheetId="34" r:id="rId9"/>
    <sheet name="Worksheet H SPP Upgrade Project" sheetId="35" r:id="rId10"/>
  </sheets>
  <externalReferences>
    <externalReference r:id="rId11"/>
    <externalReference r:id="rId12"/>
  </externalReferences>
  <definedNames>
    <definedName name="_ADM1" localSheetId="5">#REF!</definedName>
    <definedName name="_ADM1" localSheetId="9">#REF!</definedName>
    <definedName name="_ADM1">#REF!</definedName>
    <definedName name="_ADM2" localSheetId="5">#REF!</definedName>
    <definedName name="_ADM2" localSheetId="9">#REF!</definedName>
    <definedName name="_ADM2">#REF!</definedName>
    <definedName name="_DSR1" localSheetId="9">#REF!</definedName>
    <definedName name="_DSR1">#REF!</definedName>
    <definedName name="_DSR2" localSheetId="9">#REF!</definedName>
    <definedName name="_DSR2">#REF!</definedName>
    <definedName name="_INT1" localSheetId="5">#REF!</definedName>
    <definedName name="_INT1" localSheetId="9">#REF!</definedName>
    <definedName name="_INT1">#REF!</definedName>
    <definedName name="_INT2" localSheetId="5">#REF!</definedName>
    <definedName name="_INT2" localSheetId="9">#REF!</definedName>
    <definedName name="_INT2">#REF!</definedName>
    <definedName name="_INT3" localSheetId="5">#REF!</definedName>
    <definedName name="_INT3" localSheetId="9">#REF!</definedName>
    <definedName name="_INT3">#REF!</definedName>
    <definedName name="_INT4" localSheetId="5">#REF!</definedName>
    <definedName name="_INT4" localSheetId="9">#REF!</definedName>
    <definedName name="_INT4">#REF!</definedName>
    <definedName name="_LEA1" localSheetId="5">#REF!</definedName>
    <definedName name="_LEA1" localSheetId="9">#REF!</definedName>
    <definedName name="_LEA1">#REF!</definedName>
    <definedName name="_LEA2" localSheetId="5">#REF!</definedName>
    <definedName name="_LEA2" localSheetId="9">#REF!</definedName>
    <definedName name="_LEA2">#REF!</definedName>
    <definedName name="_SPR1" localSheetId="5">#REF!</definedName>
    <definedName name="_SPR1" localSheetId="9">#REF!</definedName>
    <definedName name="_SPR1">#REF!</definedName>
    <definedName name="_SPR2" localSheetId="5">#REF!</definedName>
    <definedName name="_SPR2" localSheetId="9">#REF!</definedName>
    <definedName name="_SPR2">#REF!</definedName>
    <definedName name="A" localSheetId="5">#REF!</definedName>
    <definedName name="A" localSheetId="9">#REF!</definedName>
    <definedName name="A">#REF!</definedName>
    <definedName name="AlloFactors">'Worksheet E, Alloc. Factor'!$B$98:$F$119</definedName>
    <definedName name="Allofacts">'[1]Apx E - ATRR - Total'!$L$335:$Q$352</definedName>
    <definedName name="AvgPlant">#REF!</definedName>
    <definedName name="BalName" localSheetId="9">#REF!</definedName>
    <definedName name="BalName">#REF!</definedName>
    <definedName name="C_" localSheetId="5">#REF!</definedName>
    <definedName name="C_" localSheetId="9">#REF!</definedName>
    <definedName name="C_">#REF!</definedName>
    <definedName name="CAPSUM1" localSheetId="5">#REF!</definedName>
    <definedName name="CAPSUM1" localSheetId="9">#REF!</definedName>
    <definedName name="CAPSUM1">#REF!</definedName>
    <definedName name="CAPSUM2" localSheetId="5">#REF!</definedName>
    <definedName name="CAPSUM2" localSheetId="9">#REF!</definedName>
    <definedName name="CAPSUM2">#REF!</definedName>
    <definedName name="EIGHT" localSheetId="5">#REF!</definedName>
    <definedName name="EIGHT" localSheetId="9">#REF!</definedName>
    <definedName name="EIGHT">#REF!</definedName>
    <definedName name="Elec08185">'[2]ALLOC FAC'!$N$22</definedName>
    <definedName name="Elec08189">'[2]ALLOC FAC'!$N$23</definedName>
    <definedName name="Elec08194">'[2]ALLOC FAC'!$N$24</definedName>
    <definedName name="Elec08992">'[2]ALLOC FAC'!$N$30</definedName>
    <definedName name="ELEVEN" localSheetId="5">#REF!</definedName>
    <definedName name="ELEVEN" localSheetId="9">#REF!</definedName>
    <definedName name="ELEVEN">#REF!</definedName>
    <definedName name="ENBAL1" localSheetId="9">#REF!</definedName>
    <definedName name="ENBAL1">#REF!</definedName>
    <definedName name="ENBAL2" localSheetId="9">#REF!</definedName>
    <definedName name="ENBAL2">#REF!</definedName>
    <definedName name="FILENAME" localSheetId="5">#REF!</definedName>
    <definedName name="FILENAME" localSheetId="9">#REF!</definedName>
    <definedName name="FILENAME">#REF!</definedName>
    <definedName name="FIVE" localSheetId="5">#REF!</definedName>
    <definedName name="FIVE" localSheetId="9">#REF!</definedName>
    <definedName name="FIVE">#REF!</definedName>
    <definedName name="FOUR" localSheetId="5">#REF!</definedName>
    <definedName name="FOUR" localSheetId="9">#REF!</definedName>
    <definedName name="FOUR">#REF!</definedName>
    <definedName name="FuelCost1" localSheetId="5">#REF!</definedName>
    <definedName name="FuelCost1" localSheetId="9">#REF!</definedName>
    <definedName name="FuelCost1">#REF!</definedName>
    <definedName name="FuelCost2" localSheetId="5">#REF!</definedName>
    <definedName name="FuelCost2" localSheetId="9">#REF!</definedName>
    <definedName name="FuelCost2">#REF!</definedName>
    <definedName name="GENCAP1" localSheetId="5">#REF!</definedName>
    <definedName name="GENCAP1" localSheetId="9">#REF!</definedName>
    <definedName name="GENCAP1">#REF!</definedName>
    <definedName name="GENCAP2" localSheetId="5">#REF!</definedName>
    <definedName name="GENCAP2" localSheetId="9">#REF!</definedName>
    <definedName name="GENCAP2">#REF!</definedName>
    <definedName name="GENCAP3" localSheetId="5">#REF!</definedName>
    <definedName name="GENCAP3" localSheetId="9">#REF!</definedName>
    <definedName name="GENCAP3">#REF!</definedName>
    <definedName name="GENCAP4" localSheetId="5">#REF!</definedName>
    <definedName name="GENCAP4" localSheetId="9">#REF!</definedName>
    <definedName name="GENCAP4">#REF!</definedName>
    <definedName name="GenOM1" localSheetId="5">#REF!</definedName>
    <definedName name="GenOM1" localSheetId="9">#REF!</definedName>
    <definedName name="GenOM1">#REF!</definedName>
    <definedName name="INDEX" localSheetId="5">#REF!</definedName>
    <definedName name="INDEX" localSheetId="9">#REF!</definedName>
    <definedName name="INDEX">#REF!</definedName>
    <definedName name="JURALLOC" localSheetId="5">#REF!</definedName>
    <definedName name="JURALLOC" localSheetId="9">#REF!</definedName>
    <definedName name="JURALLOC">#REF!</definedName>
    <definedName name="MATran" localSheetId="9">#REF!</definedName>
    <definedName name="MATran">#REF!</definedName>
    <definedName name="memrev1" localSheetId="5">#REF!</definedName>
    <definedName name="memrev1" localSheetId="9">#REF!</definedName>
    <definedName name="memrev1">#REF!</definedName>
    <definedName name="memrev2" localSheetId="9">#REF!</definedName>
    <definedName name="memrev2">#REF!</definedName>
    <definedName name="NOCircuits">#REF!</definedName>
    <definedName name="NONMEM1" localSheetId="5">#REF!</definedName>
    <definedName name="NONMEM1" localSheetId="9">#REF!</definedName>
    <definedName name="NONMEM1">#REF!</definedName>
    <definedName name="NONMEM2" localSheetId="5">#REF!</definedName>
    <definedName name="NONMEM2" localSheetId="9">#REF!</definedName>
    <definedName name="NONMEM2">#REF!</definedName>
    <definedName name="NONMEM3" localSheetId="5">#REF!</definedName>
    <definedName name="NONMEM3" localSheetId="9">#REF!</definedName>
    <definedName name="NONMEM3">#REF!</definedName>
    <definedName name="NONMEM4" localSheetId="5">#REF!</definedName>
    <definedName name="NONMEM4" localSheetId="9">#REF!</definedName>
    <definedName name="NONMEM4">#REF!</definedName>
    <definedName name="ONE" localSheetId="5">#REF!</definedName>
    <definedName name="ONE" localSheetId="9">#REF!</definedName>
    <definedName name="ONE">#REF!</definedName>
    <definedName name="ONEBEE" localSheetId="5">#REF!</definedName>
    <definedName name="ONEBEE" localSheetId="9">#REF!</definedName>
    <definedName name="ONEBEE">#REF!</definedName>
    <definedName name="OTHINC1" localSheetId="5">#REF!</definedName>
    <definedName name="OTHINC1" localSheetId="9">#REF!</definedName>
    <definedName name="OTHINC1">#REF!</definedName>
    <definedName name="OTHINC2" localSheetId="5">#REF!</definedName>
    <definedName name="OTHINC2" localSheetId="9">#REF!</definedName>
    <definedName name="OTHINC2">#REF!</definedName>
    <definedName name="page1" localSheetId="9">#REF!</definedName>
    <definedName name="page1">#REF!</definedName>
    <definedName name="page10" localSheetId="9">#REF!</definedName>
    <definedName name="page10">#REF!</definedName>
    <definedName name="page11" localSheetId="9">#REF!</definedName>
    <definedName name="page11">#REF!</definedName>
    <definedName name="page12" localSheetId="9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2">#REF!</definedName>
    <definedName name="page3">#REF!</definedName>
    <definedName name="page4">#REF!</definedName>
    <definedName name="page5" localSheetId="5">#REF!</definedName>
    <definedName name="page5" localSheetId="9">#REF!</definedName>
    <definedName name="page5">#REF!</definedName>
    <definedName name="page6" localSheetId="5">#REF!</definedName>
    <definedName name="page6" localSheetId="9">#REF!</definedName>
    <definedName name="page6">#REF!</definedName>
    <definedName name="page7" localSheetId="9">#REF!</definedName>
    <definedName name="page7">#REF!</definedName>
    <definedName name="page8" localSheetId="9">#REF!</definedName>
    <definedName name="page8">#REF!</definedName>
    <definedName name="page9" localSheetId="9">#REF!</definedName>
    <definedName name="page9">#REF!</definedName>
    <definedName name="PageA" localSheetId="5">#REF!</definedName>
    <definedName name="PageA" localSheetId="9">#REF!</definedName>
    <definedName name="PageA">#REF!</definedName>
    <definedName name="PageB" localSheetId="5">#REF!</definedName>
    <definedName name="PageB" localSheetId="9">#REF!</definedName>
    <definedName name="PageB">#REF!</definedName>
    <definedName name="PageC" localSheetId="5">#REF!</definedName>
    <definedName name="PageC" localSheetId="9">#REF!</definedName>
    <definedName name="PageC">#REF!</definedName>
    <definedName name="POWER1" localSheetId="5">#REF!</definedName>
    <definedName name="POWER1" localSheetId="9">#REF!</definedName>
    <definedName name="POWER1">#REF!</definedName>
    <definedName name="POWER2" localSheetId="5">#REF!</definedName>
    <definedName name="POWER2" localSheetId="9">#REF!</definedName>
    <definedName name="POWER2">#REF!</definedName>
    <definedName name="_xlnm.Print_Area" localSheetId="1">' Summary Page'!$A$12:$J$26</definedName>
    <definedName name="_xlnm.Print_Area" localSheetId="0">Index!$A$1:$D$36</definedName>
    <definedName name="_xlnm.Print_Area" localSheetId="2">'Worksheet A, Rate Base'!$A$12:$J$91</definedName>
    <definedName name="_xlnm.Print_Area" localSheetId="3">'Worksheet B Expenses'!$A$12:$I$60</definedName>
    <definedName name="_xlnm.Print_Area" localSheetId="4">'Worksheet C, Return'!$A$1:$J$22</definedName>
    <definedName name="_xlnm.Print_Area" localSheetId="5">'Worksheet D, Load'!$A$1:$F$29</definedName>
    <definedName name="_xlnm.Print_Area" localSheetId="6">'Worksheet E, Alloc. Factor'!$A$12:$F$119</definedName>
    <definedName name="_xlnm.Print_Area" localSheetId="7">'Worksheet F, Inputs'!$A$13:$F$239</definedName>
    <definedName name="_xlnm.Print_Area" localSheetId="8">'Worksheet G O&amp;M Input'!$A$1:$F$50</definedName>
    <definedName name="_xlnm.Print_Area" localSheetId="9">'Worksheet H SPP Upgrade Project'!$A$11:$O$47</definedName>
    <definedName name="_xlnm.Print_Titles" localSheetId="1">' Summary Page'!$1:$11</definedName>
    <definedName name="_xlnm.Print_Titles" localSheetId="2">'Worksheet A, Rate Base'!$1:$11</definedName>
    <definedName name="_xlnm.Print_Titles" localSheetId="3">'Worksheet B Expenses'!$1:$11</definedName>
    <definedName name="_xlnm.Print_Titles" localSheetId="6">'Worksheet E, Alloc. Factor'!$1:$11</definedName>
    <definedName name="_xlnm.Print_Titles" localSheetId="7">'Worksheet F, Inputs'!$1:$12</definedName>
    <definedName name="_xlnm.Print_Titles" localSheetId="8">'Worksheet G O&amp;M Input'!$1:$9</definedName>
    <definedName name="_xlnm.Print_Titles" localSheetId="9">'Worksheet H SPP Upgrade Project'!$1:$10</definedName>
    <definedName name="PURPWR1" localSheetId="5">#REF!</definedName>
    <definedName name="PURPWR1" localSheetId="9">#REF!</definedName>
    <definedName name="PURPWR1">#REF!</definedName>
    <definedName name="PURPWR2" localSheetId="5">#REF!</definedName>
    <definedName name="PURPWR2" localSheetId="9">#REF!</definedName>
    <definedName name="PURPWR2">#REF!</definedName>
    <definedName name="SIX" localSheetId="5">#REF!</definedName>
    <definedName name="SIX" localSheetId="9">#REF!</definedName>
    <definedName name="SIX">#REF!</definedName>
    <definedName name="TAXDEP1" localSheetId="5">#REF!</definedName>
    <definedName name="TAXDEP1" localSheetId="9">#REF!</definedName>
    <definedName name="TAXDEP1">#REF!</definedName>
    <definedName name="TAXDEP2" localSheetId="5">#REF!</definedName>
    <definedName name="TAXDEP2" localSheetId="9">#REF!</definedName>
    <definedName name="TAXDEP2">#REF!</definedName>
    <definedName name="THREE" localSheetId="5">#REF!</definedName>
    <definedName name="THREE" localSheetId="9">#REF!</definedName>
    <definedName name="THREE">#REF!</definedName>
    <definedName name="THREEBEE" localSheetId="5">#REF!</definedName>
    <definedName name="THREEBEE" localSheetId="9">#REF!</definedName>
    <definedName name="THREEBEE">#REF!</definedName>
    <definedName name="THREECEE" localSheetId="5">#REF!</definedName>
    <definedName name="THREECEE" localSheetId="9">#REF!</definedName>
    <definedName name="THREECEE">#REF!</definedName>
    <definedName name="THREEDEE" localSheetId="5">#REF!</definedName>
    <definedName name="THREEDEE" localSheetId="9">#REF!</definedName>
    <definedName name="THREEDEE">#REF!</definedName>
    <definedName name="THREEEEE" localSheetId="5">#REF!</definedName>
    <definedName name="THREEEEE" localSheetId="9">#REF!</definedName>
    <definedName name="THREEEEE">#REF!</definedName>
    <definedName name="TRANOM1" localSheetId="5">#REF!</definedName>
    <definedName name="TRANOM1" localSheetId="9">#REF!</definedName>
    <definedName name="TRANOM1">#REF!</definedName>
    <definedName name="TRANOM2" localSheetId="5">#REF!</definedName>
    <definedName name="TRANOM2" localSheetId="9">#REF!</definedName>
    <definedName name="TRANOM2">#REF!</definedName>
    <definedName name="TRI_STATE_GENERATION_AND_TRANSMISSION_ASSOCIATION" localSheetId="5">#REF!</definedName>
    <definedName name="TRI_STATE_GENERATION_AND_TRANSMISSION_ASSOCIATION" localSheetId="9">#REF!</definedName>
    <definedName name="TRI_STATE_GENERATION_AND_TRANSMISSION_ASSOCIATION">#REF!</definedName>
    <definedName name="TWO" localSheetId="5">#REF!</definedName>
    <definedName name="TWO" localSheetId="9">#REF!</definedName>
    <definedName name="TWO">#REF!</definedName>
    <definedName name="TWOBEE" localSheetId="5">#REF!</definedName>
    <definedName name="TWOBEE" localSheetId="9">#REF!</definedName>
    <definedName name="TWOBEE">#REF!</definedName>
    <definedName name="TWOCEE" localSheetId="5">#REF!</definedName>
    <definedName name="TWOCEE" localSheetId="9">#REF!</definedName>
    <definedName name="TWOCEE">#REF!</definedName>
    <definedName name="TWODEE" localSheetId="5">#REF!</definedName>
    <definedName name="TWODEE" localSheetId="9">#REF!</definedName>
    <definedName name="TWODEE">#REF!</definedName>
  </definedNames>
  <calcPr calcId="145621"/>
</workbook>
</file>

<file path=xl/calcChain.xml><?xml version="1.0" encoding="utf-8"?>
<calcChain xmlns="http://schemas.openxmlformats.org/spreadsheetml/2006/main">
  <c r="E17" i="5" l="1"/>
  <c r="A15" i="35" l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6" i="35" s="1"/>
  <c r="A47" i="35" s="1"/>
  <c r="A13" i="35"/>
  <c r="A14" i="35" s="1"/>
  <c r="B8" i="35"/>
  <c r="B5" i="35"/>
  <c r="O1" i="35"/>
  <c r="F44" i="34"/>
  <c r="F43" i="34"/>
  <c r="F42" i="34"/>
  <c r="F41" i="34"/>
  <c r="E38" i="34"/>
  <c r="E46" i="34" s="1"/>
  <c r="D38" i="34"/>
  <c r="D46" i="34" s="1"/>
  <c r="F37" i="34"/>
  <c r="F36" i="34"/>
  <c r="E35" i="34"/>
  <c r="D35" i="34"/>
  <c r="F34" i="34"/>
  <c r="F33" i="34"/>
  <c r="E31" i="34"/>
  <c r="D31" i="34"/>
  <c r="F30" i="34"/>
  <c r="F29" i="34"/>
  <c r="F28" i="34"/>
  <c r="F27" i="34"/>
  <c r="F26" i="34"/>
  <c r="F25" i="34"/>
  <c r="F22" i="34"/>
  <c r="F21" i="34"/>
  <c r="E20" i="34"/>
  <c r="E23" i="34" s="1"/>
  <c r="D20" i="34"/>
  <c r="D23" i="34" s="1"/>
  <c r="F19" i="34"/>
  <c r="F18" i="34"/>
  <c r="F17" i="34"/>
  <c r="F16" i="34"/>
  <c r="F15" i="34"/>
  <c r="A15" i="34"/>
  <c r="A16" i="34" s="1"/>
  <c r="A17" i="34" s="1"/>
  <c r="A18" i="34" s="1"/>
  <c r="A19" i="34" s="1"/>
  <c r="A20" i="34" s="1"/>
  <c r="A21" i="34" s="1"/>
  <c r="A22" i="34" s="1"/>
  <c r="A23" i="34" s="1"/>
  <c r="A25" i="34" s="1"/>
  <c r="A26" i="34" s="1"/>
  <c r="A27" i="34" s="1"/>
  <c r="A28" i="34" s="1"/>
  <c r="A29" i="34" s="1"/>
  <c r="C26" i="4" s="1"/>
  <c r="F14" i="34"/>
  <c r="B7" i="34"/>
  <c r="B6" i="34"/>
  <c r="B4" i="34"/>
  <c r="F1" i="34"/>
  <c r="E238" i="8"/>
  <c r="D238" i="8"/>
  <c r="F237" i="8"/>
  <c r="F236" i="8"/>
  <c r="F235" i="8"/>
  <c r="F234" i="8"/>
  <c r="F85" i="3" s="1"/>
  <c r="F233" i="8"/>
  <c r="F232" i="8"/>
  <c r="F83" i="3" s="1"/>
  <c r="E228" i="8"/>
  <c r="D228" i="8"/>
  <c r="F227" i="8"/>
  <c r="F226" i="8"/>
  <c r="F58" i="3" s="1"/>
  <c r="F225" i="8"/>
  <c r="F224" i="8"/>
  <c r="F56" i="3" s="1"/>
  <c r="F223" i="8"/>
  <c r="F222" i="8"/>
  <c r="D43" i="7" s="1"/>
  <c r="F221" i="8"/>
  <c r="F51" i="3" s="1"/>
  <c r="F220" i="8"/>
  <c r="F219" i="8"/>
  <c r="F218" i="8"/>
  <c r="F214" i="8"/>
  <c r="D57" i="7" s="1"/>
  <c r="F213" i="8"/>
  <c r="F212" i="8"/>
  <c r="F211" i="8"/>
  <c r="F43" i="3" s="1"/>
  <c r="F210" i="8"/>
  <c r="D54" i="7" s="1"/>
  <c r="F209" i="8"/>
  <c r="F208" i="8"/>
  <c r="F207" i="8"/>
  <c r="F204" i="8"/>
  <c r="F203" i="8"/>
  <c r="D33" i="7" s="1"/>
  <c r="E201" i="8"/>
  <c r="D201" i="8"/>
  <c r="F200" i="8"/>
  <c r="F30" i="3" s="1"/>
  <c r="F199" i="8"/>
  <c r="F29" i="3" s="1"/>
  <c r="F198" i="8"/>
  <c r="F28" i="3" s="1"/>
  <c r="F197" i="8"/>
  <c r="E195" i="8"/>
  <c r="D195" i="8"/>
  <c r="F194" i="8"/>
  <c r="F24" i="3" s="1"/>
  <c r="F193" i="8"/>
  <c r="F23" i="3" s="1"/>
  <c r="F192" i="8"/>
  <c r="F191" i="8"/>
  <c r="E189" i="8"/>
  <c r="E205" i="8" s="1"/>
  <c r="E215" i="8" s="1"/>
  <c r="D189" i="8"/>
  <c r="D205" i="8" s="1"/>
  <c r="D215" i="8" s="1"/>
  <c r="F188" i="8"/>
  <c r="F187" i="8"/>
  <c r="F186" i="8"/>
  <c r="F185" i="8"/>
  <c r="F183" i="8"/>
  <c r="F179" i="8"/>
  <c r="F178" i="8"/>
  <c r="F177" i="8"/>
  <c r="F176" i="8"/>
  <c r="F16" i="5" s="1"/>
  <c r="H16" i="5" s="1"/>
  <c r="F175" i="8"/>
  <c r="F174" i="8"/>
  <c r="F173" i="8"/>
  <c r="F17" i="5" s="1"/>
  <c r="F170" i="8"/>
  <c r="F169" i="8"/>
  <c r="F168" i="8"/>
  <c r="F167" i="8"/>
  <c r="F166" i="8"/>
  <c r="F141" i="8"/>
  <c r="F133" i="8"/>
  <c r="F120" i="8"/>
  <c r="F108" i="8"/>
  <c r="F107" i="8"/>
  <c r="F106" i="8"/>
  <c r="F105" i="8"/>
  <c r="F83" i="7" s="1"/>
  <c r="F104" i="8"/>
  <c r="F103" i="8"/>
  <c r="F102" i="8"/>
  <c r="F101" i="8"/>
  <c r="F100" i="8"/>
  <c r="F99" i="8"/>
  <c r="C48" i="8"/>
  <c r="C29" i="8"/>
  <c r="C105" i="8" s="1"/>
  <c r="C26" i="8"/>
  <c r="C25" i="8"/>
  <c r="C24" i="8"/>
  <c r="C23" i="8"/>
  <c r="C22" i="8"/>
  <c r="C21" i="8"/>
  <c r="C20" i="8"/>
  <c r="C19" i="8"/>
  <c r="A16" i="8"/>
  <c r="A18" i="8" s="1"/>
  <c r="A19" i="8" s="1"/>
  <c r="A20" i="8" s="1"/>
  <c r="A15" i="8"/>
  <c r="A14" i="8"/>
  <c r="B8" i="8"/>
  <c r="B5" i="8"/>
  <c r="F1" i="8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F100" i="7"/>
  <c r="B100" i="7"/>
  <c r="F99" i="7"/>
  <c r="B99" i="7"/>
  <c r="B98" i="7"/>
  <c r="F89" i="7"/>
  <c r="D89" i="7"/>
  <c r="F86" i="7"/>
  <c r="D86" i="7"/>
  <c r="D83" i="7"/>
  <c r="D80" i="7"/>
  <c r="F79" i="7"/>
  <c r="F78" i="7"/>
  <c r="D75" i="7"/>
  <c r="F74" i="7"/>
  <c r="F73" i="7"/>
  <c r="D70" i="7"/>
  <c r="F69" i="7"/>
  <c r="F68" i="7"/>
  <c r="D65" i="7"/>
  <c r="F64" i="7"/>
  <c r="F63" i="7"/>
  <c r="F60" i="7"/>
  <c r="D60" i="7"/>
  <c r="F61" i="7" s="1"/>
  <c r="F98" i="7" s="1"/>
  <c r="F57" i="7"/>
  <c r="F54" i="7"/>
  <c r="D49" i="7"/>
  <c r="F42" i="7"/>
  <c r="F41" i="7"/>
  <c r="F40" i="7"/>
  <c r="F39" i="7"/>
  <c r="F32" i="7"/>
  <c r="F31" i="7"/>
  <c r="F33" i="7" s="1"/>
  <c r="F34" i="7" s="1"/>
  <c r="F113" i="7" s="1"/>
  <c r="H33" i="3" s="1"/>
  <c r="F25" i="7"/>
  <c r="D25" i="7"/>
  <c r="F22" i="7"/>
  <c r="D22" i="7"/>
  <c r="E18" i="7"/>
  <c r="D18" i="7"/>
  <c r="F18" i="7" s="1"/>
  <c r="E17" i="7"/>
  <c r="D17" i="7"/>
  <c r="F17" i="7" s="1"/>
  <c r="D16" i="7"/>
  <c r="E15" i="7"/>
  <c r="D15" i="7"/>
  <c r="D14" i="7"/>
  <c r="A14" i="7"/>
  <c r="A15" i="7" s="1"/>
  <c r="A16" i="7" s="1"/>
  <c r="A17" i="7" s="1"/>
  <c r="A18" i="7" s="1"/>
  <c r="A19" i="7" s="1"/>
  <c r="A20" i="7" s="1"/>
  <c r="A22" i="7" s="1"/>
  <c r="A23" i="7" s="1"/>
  <c r="A25" i="7" s="1"/>
  <c r="A26" i="7" s="1"/>
  <c r="A28" i="7" s="1"/>
  <c r="A29" i="7" s="1"/>
  <c r="A31" i="7" s="1"/>
  <c r="A32" i="7" s="1"/>
  <c r="A33" i="7" s="1"/>
  <c r="A34" i="7" s="1"/>
  <c r="A36" i="7" s="1"/>
  <c r="A37" i="7" s="1"/>
  <c r="A39" i="7" s="1"/>
  <c r="A40" i="7" s="1"/>
  <c r="A41" i="7" s="1"/>
  <c r="A42" i="7" s="1"/>
  <c r="A43" i="7" s="1"/>
  <c r="A44" i="7" s="1"/>
  <c r="A46" i="7" s="1"/>
  <c r="A47" i="7" s="1"/>
  <c r="D13" i="7"/>
  <c r="A13" i="7"/>
  <c r="E12" i="7"/>
  <c r="D12" i="7"/>
  <c r="B8" i="7"/>
  <c r="B5" i="7"/>
  <c r="F1" i="7"/>
  <c r="D26" i="25"/>
  <c r="E24" i="25"/>
  <c r="E26" i="25" s="1"/>
  <c r="D24" i="25"/>
  <c r="F23" i="25"/>
  <c r="C23" i="25"/>
  <c r="C22" i="25"/>
  <c r="F22" i="25" s="1"/>
  <c r="C21" i="25"/>
  <c r="F21" i="25" s="1"/>
  <c r="F20" i="25"/>
  <c r="C20" i="25"/>
  <c r="C19" i="25"/>
  <c r="F19" i="25" s="1"/>
  <c r="C18" i="25"/>
  <c r="F18" i="25" s="1"/>
  <c r="C17" i="25"/>
  <c r="F17" i="25" s="1"/>
  <c r="C16" i="25"/>
  <c r="F16" i="25" s="1"/>
  <c r="C15" i="25"/>
  <c r="F15" i="25" s="1"/>
  <c r="C14" i="25"/>
  <c r="F14" i="25" s="1"/>
  <c r="A14" i="25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6" i="25" s="1"/>
  <c r="C13" i="25"/>
  <c r="F13" i="25" s="1"/>
  <c r="A13" i="25"/>
  <c r="C12" i="25"/>
  <c r="F12" i="25" s="1"/>
  <c r="B5" i="25"/>
  <c r="F1" i="25"/>
  <c r="I17" i="5"/>
  <c r="E16" i="5"/>
  <c r="H15" i="5"/>
  <c r="E15" i="5"/>
  <c r="F15" i="5" s="1"/>
  <c r="H14" i="5"/>
  <c r="F14" i="5"/>
  <c r="I14" i="5" s="1"/>
  <c r="E14" i="5"/>
  <c r="A14" i="5"/>
  <c r="A15" i="5" s="1"/>
  <c r="A16" i="5" s="1"/>
  <c r="A17" i="5" s="1"/>
  <c r="A18" i="5" s="1"/>
  <c r="B8" i="5"/>
  <c r="B5" i="5"/>
  <c r="J1" i="5"/>
  <c r="F56" i="4"/>
  <c r="B56" i="4"/>
  <c r="F54" i="4"/>
  <c r="D54" i="4"/>
  <c r="F53" i="4"/>
  <c r="F51" i="4"/>
  <c r="F50" i="4"/>
  <c r="F49" i="4"/>
  <c r="F48" i="4"/>
  <c r="F47" i="4"/>
  <c r="F39" i="4"/>
  <c r="F40" i="4" s="1"/>
  <c r="F38" i="4"/>
  <c r="F34" i="4"/>
  <c r="H33" i="4"/>
  <c r="F33" i="4"/>
  <c r="F32" i="4"/>
  <c r="F29" i="4"/>
  <c r="E29" i="4"/>
  <c r="D29" i="4"/>
  <c r="B29" i="4"/>
  <c r="E28" i="4"/>
  <c r="F28" i="4" s="1"/>
  <c r="D28" i="4"/>
  <c r="B28" i="4"/>
  <c r="G27" i="4"/>
  <c r="E27" i="4"/>
  <c r="D27" i="4"/>
  <c r="B27" i="4"/>
  <c r="F26" i="4"/>
  <c r="D26" i="4"/>
  <c r="B26" i="4"/>
  <c r="D25" i="4"/>
  <c r="F25" i="4" s="1"/>
  <c r="B25" i="4"/>
  <c r="G24" i="4"/>
  <c r="E24" i="4"/>
  <c r="F24" i="4" s="1"/>
  <c r="B24" i="4"/>
  <c r="G23" i="4"/>
  <c r="E23" i="4"/>
  <c r="F23" i="4" s="1"/>
  <c r="B23" i="4"/>
  <c r="G22" i="4"/>
  <c r="E22" i="4"/>
  <c r="D22" i="4"/>
  <c r="B22" i="4"/>
  <c r="G21" i="4"/>
  <c r="E21" i="4"/>
  <c r="D21" i="4"/>
  <c r="F21" i="4" s="1"/>
  <c r="C21" i="4"/>
  <c r="B21" i="4"/>
  <c r="E20" i="4"/>
  <c r="D20" i="4"/>
  <c r="F20" i="4" s="1"/>
  <c r="C20" i="4"/>
  <c r="B20" i="4"/>
  <c r="G19" i="4"/>
  <c r="E19" i="4"/>
  <c r="D19" i="4"/>
  <c r="C19" i="4"/>
  <c r="B19" i="4"/>
  <c r="A19" i="4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2" i="4" s="1"/>
  <c r="A33" i="4" s="1"/>
  <c r="A34" i="4" s="1"/>
  <c r="A35" i="4" s="1"/>
  <c r="A37" i="4" s="1"/>
  <c r="A38" i="4" s="1"/>
  <c r="A39" i="4" s="1"/>
  <c r="A40" i="4" s="1"/>
  <c r="A42" i="4" s="1"/>
  <c r="E18" i="4"/>
  <c r="D18" i="4"/>
  <c r="B18" i="4"/>
  <c r="A18" i="4"/>
  <c r="E17" i="4"/>
  <c r="D17" i="4"/>
  <c r="B17" i="4"/>
  <c r="A17" i="4"/>
  <c r="G16" i="4"/>
  <c r="E16" i="4"/>
  <c r="D16" i="4"/>
  <c r="F16" i="4" s="1"/>
  <c r="C16" i="4"/>
  <c r="B16" i="4"/>
  <c r="A16" i="4"/>
  <c r="G15" i="4"/>
  <c r="E15" i="4"/>
  <c r="D15" i="4"/>
  <c r="B15" i="4"/>
  <c r="A15" i="4"/>
  <c r="G14" i="4"/>
  <c r="E14" i="4"/>
  <c r="D14" i="4"/>
  <c r="C14" i="4"/>
  <c r="B14" i="4"/>
  <c r="A14" i="4"/>
  <c r="B5" i="4"/>
  <c r="I1" i="4"/>
  <c r="G88" i="3"/>
  <c r="F88" i="3"/>
  <c r="E88" i="3"/>
  <c r="D88" i="3"/>
  <c r="B88" i="3"/>
  <c r="F87" i="3"/>
  <c r="E87" i="3"/>
  <c r="D87" i="3"/>
  <c r="B87" i="3"/>
  <c r="G86" i="3"/>
  <c r="F86" i="3"/>
  <c r="E86" i="3"/>
  <c r="D86" i="3"/>
  <c r="B86" i="3"/>
  <c r="H85" i="3"/>
  <c r="E85" i="3"/>
  <c r="D85" i="3"/>
  <c r="B85" i="3"/>
  <c r="H84" i="3"/>
  <c r="F84" i="3"/>
  <c r="E84" i="3"/>
  <c r="D84" i="3"/>
  <c r="B84" i="3"/>
  <c r="H83" i="3"/>
  <c r="E83" i="3"/>
  <c r="D83" i="3"/>
  <c r="B83" i="3"/>
  <c r="G81" i="3"/>
  <c r="F81" i="3"/>
  <c r="E81" i="3"/>
  <c r="D81" i="3"/>
  <c r="J78" i="3"/>
  <c r="F78" i="3"/>
  <c r="C78" i="3"/>
  <c r="H59" i="3"/>
  <c r="J59" i="3" s="1"/>
  <c r="F59" i="3"/>
  <c r="E59" i="3"/>
  <c r="D59" i="3"/>
  <c r="E58" i="3"/>
  <c r="D58" i="3"/>
  <c r="F57" i="3"/>
  <c r="E57" i="3"/>
  <c r="D57" i="3"/>
  <c r="E56" i="3"/>
  <c r="D56" i="3"/>
  <c r="H55" i="3"/>
  <c r="F55" i="3"/>
  <c r="E55" i="3"/>
  <c r="D55" i="3"/>
  <c r="G54" i="3"/>
  <c r="F54" i="3"/>
  <c r="E54" i="3"/>
  <c r="D54" i="3"/>
  <c r="H51" i="3"/>
  <c r="E51" i="3"/>
  <c r="D51" i="3"/>
  <c r="H50" i="3"/>
  <c r="F50" i="3"/>
  <c r="E50" i="3"/>
  <c r="D50" i="3"/>
  <c r="H49" i="3"/>
  <c r="F49" i="3"/>
  <c r="E49" i="3"/>
  <c r="D49" i="3"/>
  <c r="H48" i="3"/>
  <c r="E48" i="3"/>
  <c r="E52" i="3" s="1"/>
  <c r="D48" i="3"/>
  <c r="D52" i="3" s="1"/>
  <c r="E44" i="3"/>
  <c r="E72" i="3" s="1"/>
  <c r="D44" i="3"/>
  <c r="D72" i="3" s="1"/>
  <c r="H43" i="3"/>
  <c r="E43" i="3"/>
  <c r="E71" i="3" s="1"/>
  <c r="D43" i="3"/>
  <c r="D71" i="3" s="1"/>
  <c r="F42" i="3"/>
  <c r="F70" i="3" s="1"/>
  <c r="E42" i="3"/>
  <c r="E70" i="3" s="1"/>
  <c r="D42" i="3"/>
  <c r="D70" i="3" s="1"/>
  <c r="E41" i="3"/>
  <c r="D41" i="3"/>
  <c r="E40" i="3"/>
  <c r="D40" i="3"/>
  <c r="H39" i="3"/>
  <c r="E39" i="3"/>
  <c r="D39" i="3"/>
  <c r="F39" i="3" s="1"/>
  <c r="E38" i="3"/>
  <c r="D38" i="3"/>
  <c r="F38" i="3" s="1"/>
  <c r="H37" i="3"/>
  <c r="E37" i="3"/>
  <c r="D37" i="3"/>
  <c r="F34" i="3"/>
  <c r="E34" i="3"/>
  <c r="D34" i="3"/>
  <c r="D68" i="3" s="1"/>
  <c r="E33" i="3"/>
  <c r="D33" i="3"/>
  <c r="B33" i="3"/>
  <c r="H30" i="3"/>
  <c r="E30" i="3"/>
  <c r="D30" i="3"/>
  <c r="H29" i="3"/>
  <c r="E29" i="3"/>
  <c r="D29" i="3"/>
  <c r="H28" i="3"/>
  <c r="E28" i="3"/>
  <c r="D28" i="3"/>
  <c r="H27" i="3"/>
  <c r="F27" i="3"/>
  <c r="E27" i="3"/>
  <c r="D27" i="3"/>
  <c r="D31" i="3" s="1"/>
  <c r="D67" i="3" s="1"/>
  <c r="E24" i="3"/>
  <c r="D24" i="3"/>
  <c r="E23" i="3"/>
  <c r="D23" i="3"/>
  <c r="E22" i="3"/>
  <c r="D22" i="3"/>
  <c r="F21" i="3"/>
  <c r="E21" i="3"/>
  <c r="D21" i="3"/>
  <c r="H18" i="3"/>
  <c r="F18" i="3"/>
  <c r="E18" i="3"/>
  <c r="D18" i="3"/>
  <c r="H17" i="3"/>
  <c r="F17" i="3"/>
  <c r="E17" i="3"/>
  <c r="D17" i="3"/>
  <c r="H16" i="3"/>
  <c r="F16" i="3"/>
  <c r="E16" i="3"/>
  <c r="D16" i="3"/>
  <c r="H15" i="3"/>
  <c r="F15" i="3"/>
  <c r="F19" i="3" s="1"/>
  <c r="E15" i="3"/>
  <c r="E19" i="3" s="1"/>
  <c r="E65" i="3" s="1"/>
  <c r="D15" i="3"/>
  <c r="D19" i="3" s="1"/>
  <c r="A15" i="3"/>
  <c r="A16" i="3" s="1"/>
  <c r="A17" i="3" s="1"/>
  <c r="A18" i="3" s="1"/>
  <c r="A19" i="3" s="1"/>
  <c r="F13" i="3"/>
  <c r="F64" i="3" s="1"/>
  <c r="E13" i="3"/>
  <c r="E64" i="3" s="1"/>
  <c r="D13" i="3"/>
  <c r="D64" i="3" s="1"/>
  <c r="A13" i="3"/>
  <c r="C64" i="3" s="1"/>
  <c r="B5" i="3"/>
  <c r="J1" i="3"/>
  <c r="J25" i="2"/>
  <c r="F21" i="2"/>
  <c r="I20" i="2"/>
  <c r="E20" i="2"/>
  <c r="G20" i="2" s="1"/>
  <c r="I19" i="2"/>
  <c r="E19" i="2"/>
  <c r="G19" i="2" s="1"/>
  <c r="H18" i="2"/>
  <c r="E18" i="2"/>
  <c r="G18" i="2" s="1"/>
  <c r="E17" i="2"/>
  <c r="G17" i="2" s="1"/>
  <c r="A16" i="2"/>
  <c r="A17" i="2" s="1"/>
  <c r="A18" i="2" s="1"/>
  <c r="A19" i="2" s="1"/>
  <c r="A20" i="2" s="1"/>
  <c r="A21" i="2" s="1"/>
  <c r="A14" i="2"/>
  <c r="B8" i="2"/>
  <c r="B8" i="25" s="1"/>
  <c r="B5" i="2"/>
  <c r="J1" i="2"/>
  <c r="D39" i="1"/>
  <c r="C17" i="1"/>
  <c r="B17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A10" i="1"/>
  <c r="A11" i="1" s="1"/>
  <c r="A12" i="1" s="1"/>
  <c r="A13" i="1" s="1"/>
  <c r="A14" i="1" s="1"/>
  <c r="A15" i="1" s="1"/>
  <c r="A16" i="1" s="1"/>
  <c r="A17" i="1" s="1"/>
  <c r="C9" i="1"/>
  <c r="F46" i="34" l="1"/>
  <c r="F35" i="34"/>
  <c r="C15" i="4"/>
  <c r="C17" i="4"/>
  <c r="C22" i="4"/>
  <c r="F27" i="4"/>
  <c r="F15" i="4"/>
  <c r="C18" i="4"/>
  <c r="F17" i="4"/>
  <c r="F22" i="4"/>
  <c r="E32" i="34"/>
  <c r="E39" i="34" s="1"/>
  <c r="E30" i="4"/>
  <c r="J84" i="3"/>
  <c r="E89" i="3"/>
  <c r="F71" i="3"/>
  <c r="E61" i="3"/>
  <c r="E68" i="3"/>
  <c r="F68" i="3"/>
  <c r="F228" i="8"/>
  <c r="F48" i="3"/>
  <c r="F52" i="3" s="1"/>
  <c r="F201" i="8"/>
  <c r="E31" i="3"/>
  <c r="E67" i="3" s="1"/>
  <c r="J27" i="3"/>
  <c r="E25" i="3"/>
  <c r="E66" i="3" s="1"/>
  <c r="F189" i="8"/>
  <c r="H18" i="5"/>
  <c r="E18" i="5"/>
  <c r="F151" i="8"/>
  <c r="F152" i="8" s="1"/>
  <c r="F162" i="8" s="1"/>
  <c r="I33" i="4"/>
  <c r="H32" i="4"/>
  <c r="I32" i="4" s="1"/>
  <c r="E16" i="7"/>
  <c r="F16" i="7" s="1"/>
  <c r="F89" i="3"/>
  <c r="J83" i="3"/>
  <c r="D89" i="3"/>
  <c r="J85" i="3"/>
  <c r="F61" i="3"/>
  <c r="D61" i="3"/>
  <c r="D65" i="3"/>
  <c r="J49" i="3"/>
  <c r="J50" i="3"/>
  <c r="J51" i="3"/>
  <c r="J55" i="3"/>
  <c r="F44" i="3"/>
  <c r="F72" i="3" s="1"/>
  <c r="F58" i="7"/>
  <c r="F102" i="7" s="1"/>
  <c r="H44" i="3" s="1"/>
  <c r="J44" i="3" s="1"/>
  <c r="J72" i="3" s="1"/>
  <c r="F33" i="3"/>
  <c r="J28" i="3"/>
  <c r="J30" i="3"/>
  <c r="F31" i="3"/>
  <c r="F67" i="3" s="1"/>
  <c r="D25" i="3"/>
  <c r="D66" i="3" s="1"/>
  <c r="F195" i="8"/>
  <c r="F22" i="3"/>
  <c r="F25" i="3" s="1"/>
  <c r="D28" i="7" s="1"/>
  <c r="F26" i="7"/>
  <c r="F116" i="7" s="1"/>
  <c r="H24" i="3" s="1"/>
  <c r="J24" i="3" s="1"/>
  <c r="F23" i="7"/>
  <c r="F118" i="7" s="1"/>
  <c r="H24" i="4" s="1"/>
  <c r="I24" i="4" s="1"/>
  <c r="J16" i="3"/>
  <c r="J17" i="3"/>
  <c r="J18" i="3"/>
  <c r="F41" i="3"/>
  <c r="E69" i="3"/>
  <c r="F40" i="3"/>
  <c r="F49" i="7"/>
  <c r="F84" i="7"/>
  <c r="F109" i="7" s="1"/>
  <c r="H38" i="3" s="1"/>
  <c r="J38" i="3" s="1"/>
  <c r="D69" i="3"/>
  <c r="H23" i="4"/>
  <c r="I23" i="4" s="1"/>
  <c r="F80" i="7"/>
  <c r="F75" i="7"/>
  <c r="F76" i="7" s="1"/>
  <c r="F105" i="7" s="1"/>
  <c r="H48" i="4" s="1"/>
  <c r="I48" i="4" s="1"/>
  <c r="J19" i="2"/>
  <c r="J20" i="2"/>
  <c r="F90" i="7"/>
  <c r="F115" i="7" s="1"/>
  <c r="H20" i="4" s="1"/>
  <c r="I20" i="4" s="1"/>
  <c r="F43" i="7"/>
  <c r="F44" i="7" s="1"/>
  <c r="F103" i="7" s="1"/>
  <c r="H54" i="3" s="1"/>
  <c r="J54" i="3" s="1"/>
  <c r="J29" i="3"/>
  <c r="F70" i="7"/>
  <c r="F71" i="7" s="1"/>
  <c r="F111" i="7" s="1"/>
  <c r="H29" i="4" s="1"/>
  <c r="I29" i="4" s="1"/>
  <c r="J33" i="3"/>
  <c r="J39" i="3"/>
  <c r="F65" i="7"/>
  <c r="F66" i="7" s="1"/>
  <c r="F112" i="7" s="1"/>
  <c r="H28" i="4" s="1"/>
  <c r="I28" i="4" s="1"/>
  <c r="F15" i="7"/>
  <c r="F55" i="7"/>
  <c r="F101" i="7" s="1"/>
  <c r="F81" i="7"/>
  <c r="F104" i="7" s="1"/>
  <c r="H49" i="4" s="1"/>
  <c r="I49" i="4" s="1"/>
  <c r="F87" i="7"/>
  <c r="F110" i="7" s="1"/>
  <c r="I17" i="2" s="1"/>
  <c r="J17" i="2" s="1"/>
  <c r="D23" i="2"/>
  <c r="A23" i="2"/>
  <c r="F66" i="3"/>
  <c r="F65" i="3"/>
  <c r="A21" i="3"/>
  <c r="A22" i="3" s="1"/>
  <c r="A23" i="3" s="1"/>
  <c r="A24" i="3" s="1"/>
  <c r="A25" i="3" s="1"/>
  <c r="B8" i="3"/>
  <c r="E35" i="3"/>
  <c r="E45" i="3" s="1"/>
  <c r="F172" i="8"/>
  <c r="F12" i="8"/>
  <c r="F11" i="5"/>
  <c r="F35" i="3"/>
  <c r="F18" i="4"/>
  <c r="C21" i="5"/>
  <c r="A20" i="5"/>
  <c r="A21" i="5" s="1"/>
  <c r="C58" i="4" s="1"/>
  <c r="J15" i="3"/>
  <c r="F37" i="3"/>
  <c r="J37" i="3" s="1"/>
  <c r="J43" i="3"/>
  <c r="J71" i="3" s="1"/>
  <c r="J48" i="3"/>
  <c r="B8" i="4"/>
  <c r="F14" i="4"/>
  <c r="D30" i="4"/>
  <c r="F19" i="4"/>
  <c r="F18" i="5"/>
  <c r="G17" i="5" s="1"/>
  <c r="J17" i="5" s="1"/>
  <c r="I15" i="5"/>
  <c r="H25" i="4"/>
  <c r="I25" i="4" s="1"/>
  <c r="D35" i="3"/>
  <c r="D45" i="3" s="1"/>
  <c r="A46" i="4"/>
  <c r="A47" i="4" s="1"/>
  <c r="A48" i="4" s="1"/>
  <c r="A49" i="4" s="1"/>
  <c r="A50" i="4" s="1"/>
  <c r="A51" i="4" s="1"/>
  <c r="A52" i="4" s="1"/>
  <c r="A53" i="4" s="1"/>
  <c r="A54" i="4" s="1"/>
  <c r="A56" i="4" s="1"/>
  <c r="A57" i="4" s="1"/>
  <c r="A58" i="4" s="1"/>
  <c r="A60" i="4" s="1"/>
  <c r="D14" i="2" s="1"/>
  <c r="C77" i="3"/>
  <c r="A49" i="7"/>
  <c r="A50" i="7" s="1"/>
  <c r="A52" i="7" s="1"/>
  <c r="A54" i="7" s="1"/>
  <c r="A55" i="7" s="1"/>
  <c r="A57" i="7" s="1"/>
  <c r="A58" i="7" s="1"/>
  <c r="A60" i="7" s="1"/>
  <c r="A61" i="7" s="1"/>
  <c r="A63" i="7" s="1"/>
  <c r="A64" i="7" s="1"/>
  <c r="A65" i="7" s="1"/>
  <c r="A66" i="7" s="1"/>
  <c r="A68" i="7" s="1"/>
  <c r="A69" i="7" s="1"/>
  <c r="A70" i="7" s="1"/>
  <c r="A71" i="7" s="1"/>
  <c r="A73" i="7" s="1"/>
  <c r="A74" i="7" s="1"/>
  <c r="A75" i="7" s="1"/>
  <c r="A76" i="7" s="1"/>
  <c r="A78" i="7" s="1"/>
  <c r="A79" i="7" s="1"/>
  <c r="A80" i="7" s="1"/>
  <c r="A81" i="7" s="1"/>
  <c r="A83" i="7" s="1"/>
  <c r="A84" i="7" s="1"/>
  <c r="A86" i="7" s="1"/>
  <c r="A87" i="7" s="1"/>
  <c r="A89" i="7" s="1"/>
  <c r="A90" i="7" s="1"/>
  <c r="A92" i="7" s="1"/>
  <c r="A93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C52" i="7"/>
  <c r="A21" i="8"/>
  <c r="A22" i="8" s="1"/>
  <c r="C39" i="7"/>
  <c r="F35" i="4"/>
  <c r="F26" i="25"/>
  <c r="F28" i="7"/>
  <c r="A30" i="34"/>
  <c r="E45" i="34"/>
  <c r="E47" i="34" s="1"/>
  <c r="H34" i="4"/>
  <c r="I34" i="4" s="1"/>
  <c r="D19" i="7"/>
  <c r="F12" i="7"/>
  <c r="C51" i="8"/>
  <c r="C23" i="4"/>
  <c r="C24" i="4"/>
  <c r="C25" i="4"/>
  <c r="H47" i="4"/>
  <c r="I47" i="4" s="1"/>
  <c r="H50" i="4"/>
  <c r="I50" i="4" s="1"/>
  <c r="C106" i="8"/>
  <c r="C102" i="8"/>
  <c r="C79" i="8"/>
  <c r="C72" i="8"/>
  <c r="C107" i="8"/>
  <c r="C103" i="8"/>
  <c r="C99" i="8"/>
  <c r="C75" i="8"/>
  <c r="C68" i="8"/>
  <c r="C66" i="8"/>
  <c r="C64" i="8"/>
  <c r="C62" i="8"/>
  <c r="C60" i="8"/>
  <c r="C58" i="8"/>
  <c r="C108" i="8"/>
  <c r="C104" i="8"/>
  <c r="C100" i="8"/>
  <c r="C80" i="8"/>
  <c r="C71" i="8"/>
  <c r="C54" i="8"/>
  <c r="C43" i="8"/>
  <c r="C41" i="8"/>
  <c r="C39" i="8"/>
  <c r="C61" i="8"/>
  <c r="C50" i="8"/>
  <c r="C38" i="8"/>
  <c r="C34" i="8"/>
  <c r="C31" i="8"/>
  <c r="C101" i="8"/>
  <c r="C67" i="8"/>
  <c r="C59" i="8"/>
  <c r="C47" i="8"/>
  <c r="C40" i="8"/>
  <c r="C33" i="8"/>
  <c r="C76" i="8"/>
  <c r="C65" i="8"/>
  <c r="C49" i="8"/>
  <c r="C42" i="8"/>
  <c r="C35" i="8"/>
  <c r="C30" i="8"/>
  <c r="C57" i="8"/>
  <c r="C24" i="25"/>
  <c r="C26" i="25" s="1"/>
  <c r="F24" i="25"/>
  <c r="F50" i="7"/>
  <c r="F106" i="7" s="1"/>
  <c r="C32" i="8"/>
  <c r="C44" i="8"/>
  <c r="C63" i="8"/>
  <c r="F238" i="8"/>
  <c r="F31" i="34"/>
  <c r="D32" i="34"/>
  <c r="F23" i="34"/>
  <c r="F20" i="34"/>
  <c r="F38" i="34"/>
  <c r="E73" i="3" l="1"/>
  <c r="H22" i="3"/>
  <c r="J22" i="3" s="1"/>
  <c r="H16" i="4"/>
  <c r="I16" i="4" s="1"/>
  <c r="F29" i="7"/>
  <c r="E14" i="7" s="1"/>
  <c r="F14" i="7" s="1"/>
  <c r="F205" i="8"/>
  <c r="F215" i="8" s="1"/>
  <c r="I35" i="4"/>
  <c r="H21" i="3"/>
  <c r="J21" i="3" s="1"/>
  <c r="H86" i="3"/>
  <c r="J86" i="3" s="1"/>
  <c r="H87" i="3"/>
  <c r="J87" i="3" s="1"/>
  <c r="H18" i="4"/>
  <c r="I18" i="4" s="1"/>
  <c r="D73" i="3"/>
  <c r="J52" i="3"/>
  <c r="J31" i="3"/>
  <c r="J67" i="3" s="1"/>
  <c r="H26" i="4"/>
  <c r="I26" i="4" s="1"/>
  <c r="H17" i="4"/>
  <c r="I17" i="4" s="1"/>
  <c r="H23" i="3"/>
  <c r="J23" i="3" s="1"/>
  <c r="H21" i="4"/>
  <c r="I21" i="4" s="1"/>
  <c r="J19" i="3"/>
  <c r="H57" i="3"/>
  <c r="J57" i="3" s="1"/>
  <c r="H42" i="3"/>
  <c r="J42" i="3" s="1"/>
  <c r="F30" i="4"/>
  <c r="F42" i="4" s="1"/>
  <c r="F77" i="3" s="1"/>
  <c r="F79" i="3" s="1"/>
  <c r="D36" i="7"/>
  <c r="F45" i="3"/>
  <c r="C28" i="7"/>
  <c r="A27" i="3"/>
  <c r="A28" i="3" s="1"/>
  <c r="A29" i="3" s="1"/>
  <c r="A30" i="3" s="1"/>
  <c r="A31" i="3" s="1"/>
  <c r="D39" i="34"/>
  <c r="F39" i="34" s="1"/>
  <c r="D45" i="34"/>
  <c r="F32" i="34"/>
  <c r="G18" i="5"/>
  <c r="G16" i="5"/>
  <c r="J16" i="5" s="1"/>
  <c r="G14" i="5"/>
  <c r="J14" i="5" s="1"/>
  <c r="A31" i="34"/>
  <c r="A32" i="34" s="1"/>
  <c r="A33" i="34" s="1"/>
  <c r="C27" i="4"/>
  <c r="F69" i="3"/>
  <c r="F73" i="3" s="1"/>
  <c r="A24" i="2"/>
  <c r="A25" i="2" s="1"/>
  <c r="A26" i="2" s="1"/>
  <c r="F117" i="7"/>
  <c r="A23" i="8"/>
  <c r="A24" i="8" s="1"/>
  <c r="C73" i="7"/>
  <c r="G15" i="5"/>
  <c r="J15" i="5" s="1"/>
  <c r="E13" i="7" l="1"/>
  <c r="F13" i="7" s="1"/>
  <c r="F19" i="7" s="1"/>
  <c r="F20" i="7" s="1"/>
  <c r="F119" i="7" s="1"/>
  <c r="J25" i="3"/>
  <c r="J66" i="3" s="1"/>
  <c r="J65" i="3"/>
  <c r="J70" i="3"/>
  <c r="D46" i="7"/>
  <c r="F91" i="3"/>
  <c r="D47" i="34"/>
  <c r="F47" i="34" s="1"/>
  <c r="F45" i="34"/>
  <c r="H19" i="4"/>
  <c r="I19" i="4" s="1"/>
  <c r="I18" i="2"/>
  <c r="J18" i="2" s="1"/>
  <c r="J21" i="2" s="1"/>
  <c r="H14" i="4"/>
  <c r="I14" i="4" s="1"/>
  <c r="H27" i="4"/>
  <c r="I27" i="4" s="1"/>
  <c r="H22" i="4"/>
  <c r="I22" i="4" s="1"/>
  <c r="H15" i="4"/>
  <c r="I15" i="4" s="1"/>
  <c r="A34" i="34"/>
  <c r="C28" i="4"/>
  <c r="A33" i="3"/>
  <c r="A25" i="8"/>
  <c r="A26" i="8" s="1"/>
  <c r="C40" i="7"/>
  <c r="D26" i="2"/>
  <c r="J18" i="5"/>
  <c r="H39" i="4" l="1"/>
  <c r="I39" i="4" s="1"/>
  <c r="H58" i="3"/>
  <c r="J58" i="3" s="1"/>
  <c r="H41" i="3"/>
  <c r="J41" i="3" s="1"/>
  <c r="H40" i="3"/>
  <c r="J40" i="3" s="1"/>
  <c r="H34" i="3"/>
  <c r="J34" i="3" s="1"/>
  <c r="H38" i="4"/>
  <c r="I38" i="4" s="1"/>
  <c r="H56" i="3"/>
  <c r="J56" i="3" s="1"/>
  <c r="H13" i="3"/>
  <c r="J13" i="3" s="1"/>
  <c r="H53" i="4"/>
  <c r="I53" i="4" s="1"/>
  <c r="H52" i="4"/>
  <c r="H51" i="4"/>
  <c r="I51" i="4" s="1"/>
  <c r="A34" i="3"/>
  <c r="A28" i="8"/>
  <c r="A29" i="8" s="1"/>
  <c r="C78" i="7"/>
  <c r="A35" i="34"/>
  <c r="A36" i="34" s="1"/>
  <c r="A37" i="34" s="1"/>
  <c r="A38" i="34" s="1"/>
  <c r="A39" i="34" s="1"/>
  <c r="A41" i="34" s="1"/>
  <c r="A42" i="34" s="1"/>
  <c r="A43" i="34" s="1"/>
  <c r="A44" i="34" s="1"/>
  <c r="C29" i="4"/>
  <c r="I30" i="4"/>
  <c r="J61" i="3" l="1"/>
  <c r="I54" i="4"/>
  <c r="I40" i="4"/>
  <c r="J69" i="3"/>
  <c r="J35" i="3"/>
  <c r="J45" i="3" s="1"/>
  <c r="J64" i="3"/>
  <c r="I42" i="4"/>
  <c r="J77" i="3" s="1"/>
  <c r="J79" i="3" s="1"/>
  <c r="J68" i="3"/>
  <c r="A35" i="3"/>
  <c r="A30" i="8"/>
  <c r="C12" i="7"/>
  <c r="F36" i="7" l="1"/>
  <c r="F37" i="7" s="1"/>
  <c r="F108" i="7" s="1"/>
  <c r="H81" i="3" s="1"/>
  <c r="J81" i="3" s="1"/>
  <c r="J73" i="3"/>
  <c r="F46" i="7" s="1"/>
  <c r="F47" i="7" s="1"/>
  <c r="F107" i="7" s="1"/>
  <c r="C36" i="7"/>
  <c r="A37" i="3"/>
  <c r="A31" i="8"/>
  <c r="C13" i="7"/>
  <c r="H88" i="3" l="1"/>
  <c r="J88" i="3" s="1"/>
  <c r="J89" i="3" s="1"/>
  <c r="F52" i="7"/>
  <c r="F114" i="7" s="1"/>
  <c r="H56" i="4" s="1"/>
  <c r="I56" i="4" s="1"/>
  <c r="A32" i="8"/>
  <c r="C14" i="7"/>
  <c r="J91" i="3"/>
  <c r="J20" i="5" s="1"/>
  <c r="J21" i="5" s="1"/>
  <c r="I58" i="4" s="1"/>
  <c r="A38" i="3"/>
  <c r="A39" i="3" s="1"/>
  <c r="A40" i="3" s="1"/>
  <c r="A41" i="3" s="1"/>
  <c r="A42" i="3" s="1"/>
  <c r="I60" i="4" l="1"/>
  <c r="J14" i="2" s="1"/>
  <c r="J23" i="2" s="1"/>
  <c r="J26" i="2" s="1"/>
  <c r="A43" i="3"/>
  <c r="A33" i="8"/>
  <c r="C15" i="7"/>
  <c r="A44" i="3" l="1"/>
  <c r="A34" i="8"/>
  <c r="C16" i="7"/>
  <c r="A35" i="8" l="1"/>
  <c r="C17" i="7"/>
  <c r="A45" i="3"/>
  <c r="A47" i="3" s="1"/>
  <c r="A48" i="3" s="1"/>
  <c r="A49" i="3" s="1"/>
  <c r="A50" i="3" s="1"/>
  <c r="A51" i="3" s="1"/>
  <c r="A52" i="3" s="1"/>
  <c r="C72" i="3"/>
  <c r="A37" i="8" l="1"/>
  <c r="A38" i="8" s="1"/>
  <c r="A39" i="8" s="1"/>
  <c r="C18" i="7"/>
  <c r="A54" i="3"/>
  <c r="C65" i="3"/>
  <c r="A55" i="3" l="1"/>
  <c r="C66" i="3"/>
  <c r="C75" i="7"/>
  <c r="A40" i="8"/>
  <c r="A56" i="3" l="1"/>
  <c r="C67" i="3"/>
  <c r="A41" i="8"/>
  <c r="A42" i="8" s="1"/>
  <c r="A43" i="8" s="1"/>
  <c r="A44" i="8" s="1"/>
  <c r="A46" i="8" s="1"/>
  <c r="A47" i="8" s="1"/>
  <c r="C80" i="7"/>
  <c r="A57" i="3" l="1"/>
  <c r="C68" i="3"/>
  <c r="A48" i="8"/>
  <c r="A49" i="8" s="1"/>
  <c r="A50" i="8" s="1"/>
  <c r="A51" i="8" s="1"/>
  <c r="A53" i="8" s="1"/>
  <c r="A54" i="8" s="1"/>
  <c r="A56" i="8" s="1"/>
  <c r="A57" i="8" s="1"/>
  <c r="C86" i="7"/>
  <c r="A58" i="3" l="1"/>
  <c r="C70" i="3"/>
  <c r="A58" i="8"/>
  <c r="C31" i="7"/>
  <c r="A59" i="8" l="1"/>
  <c r="A60" i="8" s="1"/>
  <c r="C41" i="7"/>
  <c r="A59" i="3"/>
  <c r="C69" i="3"/>
  <c r="A61" i="3" l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C71" i="3"/>
  <c r="A61" i="8"/>
  <c r="C74" i="7"/>
  <c r="A62" i="8" l="1"/>
  <c r="C63" i="7"/>
  <c r="C46" i="7"/>
  <c r="A75" i="3"/>
  <c r="A76" i="3" s="1"/>
  <c r="A77" i="3" s="1"/>
  <c r="A63" i="8" l="1"/>
  <c r="C68" i="7"/>
  <c r="A78" i="3"/>
  <c r="A79" i="3" s="1"/>
  <c r="A81" i="3" s="1"/>
  <c r="A83" i="3" s="1"/>
  <c r="A84" i="3" s="1"/>
  <c r="A85" i="3" s="1"/>
  <c r="A86" i="3" s="1"/>
  <c r="A87" i="3" s="1"/>
  <c r="A88" i="3" s="1"/>
  <c r="A89" i="3" s="1"/>
  <c r="A91" i="3" s="1"/>
  <c r="C20" i="5" s="1"/>
  <c r="C79" i="3" l="1"/>
  <c r="A64" i="8"/>
  <c r="C32" i="7"/>
  <c r="A65" i="8" l="1"/>
  <c r="A66" i="8" s="1"/>
  <c r="C42" i="7"/>
  <c r="A67" i="8" l="1"/>
  <c r="C79" i="7"/>
  <c r="A68" i="8" l="1"/>
  <c r="C64" i="7"/>
  <c r="A70" i="8" l="1"/>
  <c r="A71" i="8" s="1"/>
  <c r="C69" i="7"/>
  <c r="A72" i="8" l="1"/>
  <c r="A74" i="8" s="1"/>
  <c r="A75" i="8" s="1"/>
  <c r="A76" i="8" s="1"/>
  <c r="A78" i="8" l="1"/>
  <c r="A79" i="8" s="1"/>
  <c r="A80" i="8" s="1"/>
  <c r="A82" i="8" s="1"/>
  <c r="A83" i="8" s="1"/>
  <c r="C15" i="5"/>
  <c r="C89" i="7"/>
  <c r="A84" i="8" l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6" i="8" s="1"/>
  <c r="C60" i="7" l="1"/>
  <c r="A98" i="8"/>
  <c r="A99" i="8" s="1"/>
  <c r="A100" i="8" s="1"/>
  <c r="B28" i="25"/>
  <c r="A101" i="8" l="1"/>
  <c r="A102" i="8" s="1"/>
  <c r="A103" i="8" s="1"/>
  <c r="A104" i="8" s="1"/>
  <c r="A105" i="8" s="1"/>
  <c r="A106" i="8" s="1"/>
  <c r="A107" i="8" s="1"/>
  <c r="A108" i="8" s="1"/>
  <c r="A116" i="8" s="1"/>
  <c r="A117" i="8" s="1"/>
  <c r="A118" i="8" s="1"/>
  <c r="A119" i="8" s="1"/>
  <c r="A120" i="8" s="1"/>
  <c r="A122" i="8" s="1"/>
  <c r="A123" i="8" s="1"/>
  <c r="A124" i="8" s="1"/>
  <c r="A125" i="8" s="1"/>
  <c r="A126" i="8" s="1"/>
  <c r="A127" i="8" s="1"/>
  <c r="A128" i="8" l="1"/>
  <c r="A129" i="8" s="1"/>
  <c r="C65" i="7"/>
  <c r="C83" i="7"/>
  <c r="C49" i="7"/>
  <c r="A130" i="8" l="1"/>
  <c r="C32" i="4"/>
  <c r="A131" i="8" l="1"/>
  <c r="C33" i="4"/>
  <c r="A132" i="8" l="1"/>
  <c r="C34" i="4"/>
  <c r="A133" i="8" l="1"/>
  <c r="A135" i="8" s="1"/>
  <c r="A136" i="8" s="1"/>
  <c r="A137" i="8" s="1"/>
  <c r="A138" i="8" s="1"/>
  <c r="C38" i="4"/>
  <c r="A139" i="8" l="1"/>
  <c r="A140" i="8" s="1"/>
  <c r="C70" i="7"/>
  <c r="A141" i="8" l="1"/>
  <c r="A143" i="8" s="1"/>
  <c r="A144" i="8" s="1"/>
  <c r="A145" i="8" s="1"/>
  <c r="C39" i="4"/>
  <c r="A146" i="8" l="1"/>
  <c r="A147" i="8" s="1"/>
  <c r="A148" i="8" s="1"/>
  <c r="A149" i="8" s="1"/>
  <c r="A150" i="8" s="1"/>
  <c r="A151" i="8" s="1"/>
  <c r="A152" i="8" s="1"/>
  <c r="A155" i="8" s="1"/>
  <c r="A156" i="8" s="1"/>
  <c r="A157" i="8" s="1"/>
  <c r="A158" i="8" s="1"/>
  <c r="A159" i="8" s="1"/>
  <c r="A160" i="8" s="1"/>
  <c r="A161" i="8" s="1"/>
  <c r="A162" i="8" s="1"/>
  <c r="A164" i="8" s="1"/>
  <c r="A165" i="8" s="1"/>
  <c r="A166" i="8" s="1"/>
  <c r="A167" i="8" s="1"/>
  <c r="A168" i="8" s="1"/>
  <c r="C56" i="4"/>
  <c r="A169" i="8" l="1"/>
  <c r="A170" i="8" s="1"/>
  <c r="A172" i="8" s="1"/>
  <c r="A173" i="8" s="1"/>
  <c r="C81" i="3"/>
  <c r="A174" i="8" l="1"/>
  <c r="C17" i="5"/>
  <c r="A175" i="8" l="1"/>
  <c r="A176" i="8" s="1"/>
  <c r="A177" i="8" l="1"/>
  <c r="C16" i="5"/>
  <c r="A178" i="8" l="1"/>
  <c r="A179" i="8" s="1"/>
  <c r="A183" i="8" s="1"/>
  <c r="C14" i="5"/>
  <c r="A185" i="8" l="1"/>
  <c r="C13" i="3"/>
  <c r="A186" i="8" l="1"/>
  <c r="C15" i="3"/>
  <c r="A187" i="8" l="1"/>
  <c r="C16" i="3"/>
  <c r="A188" i="8" l="1"/>
  <c r="C17" i="3"/>
  <c r="A189" i="8" l="1"/>
  <c r="A191" i="8" s="1"/>
  <c r="C18" i="3"/>
  <c r="A192" i="8" l="1"/>
  <c r="C21" i="3"/>
  <c r="A193" i="8" l="1"/>
  <c r="C22" i="3"/>
  <c r="A194" i="8" l="1"/>
  <c r="C23" i="3"/>
  <c r="C22" i="7"/>
  <c r="A195" i="8" l="1"/>
  <c r="A197" i="8" s="1"/>
  <c r="C24" i="3"/>
  <c r="A198" i="8" l="1"/>
  <c r="C27" i="3"/>
  <c r="A199" i="8" l="1"/>
  <c r="C28" i="3"/>
  <c r="A200" i="8" l="1"/>
  <c r="C29" i="3"/>
  <c r="A201" i="8" l="1"/>
  <c r="A203" i="8" s="1"/>
  <c r="C25" i="7"/>
  <c r="C30" i="3"/>
  <c r="A204" i="8" l="1"/>
  <c r="C33" i="7"/>
  <c r="C33" i="3"/>
  <c r="A205" i="8" l="1"/>
  <c r="A207" i="8" s="1"/>
  <c r="A208" i="8" s="1"/>
  <c r="A209" i="8" s="1"/>
  <c r="A210" i="8" s="1"/>
  <c r="C34" i="3"/>
  <c r="A211" i="8" l="1"/>
  <c r="C54" i="7"/>
  <c r="C42" i="3"/>
  <c r="A212" i="8" l="1"/>
  <c r="A213" i="8" s="1"/>
  <c r="A214" i="8" s="1"/>
  <c r="C43" i="3"/>
  <c r="A215" i="8" l="1"/>
  <c r="A217" i="8" s="1"/>
  <c r="A218" i="8" s="1"/>
  <c r="C57" i="7"/>
  <c r="C44" i="3"/>
  <c r="A219" i="8" l="1"/>
  <c r="C48" i="3"/>
  <c r="A220" i="8" l="1"/>
  <c r="C49" i="3"/>
  <c r="A221" i="8" l="1"/>
  <c r="C50" i="3"/>
  <c r="A222" i="8" l="1"/>
  <c r="C51" i="3"/>
  <c r="C43" i="7" l="1"/>
  <c r="A223" i="8"/>
  <c r="C54" i="3"/>
  <c r="A224" i="8" l="1"/>
  <c r="C55" i="3"/>
  <c r="A225" i="8" l="1"/>
  <c r="C56" i="3"/>
  <c r="A226" i="8" l="1"/>
  <c r="C57" i="3"/>
  <c r="A227" i="8" l="1"/>
  <c r="C58" i="3"/>
  <c r="A228" i="8" l="1"/>
  <c r="A231" i="8" s="1"/>
  <c r="A232" i="8" s="1"/>
  <c r="C59" i="3"/>
  <c r="A233" i="8" l="1"/>
  <c r="C83" i="3"/>
  <c r="A234" i="8" l="1"/>
  <c r="C84" i="3"/>
  <c r="A235" i="8" l="1"/>
  <c r="C85" i="3"/>
  <c r="A236" i="8" l="1"/>
  <c r="C86" i="3"/>
  <c r="A237" i="8" l="1"/>
  <c r="C87" i="3"/>
  <c r="A238" i="8" l="1"/>
  <c r="C88" i="3"/>
</calcChain>
</file>

<file path=xl/sharedStrings.xml><?xml version="1.0" encoding="utf-8"?>
<sst xmlns="http://schemas.openxmlformats.org/spreadsheetml/2006/main" count="831" uniqueCount="575">
  <si>
    <t>Description</t>
  </si>
  <si>
    <t>Reference</t>
  </si>
  <si>
    <t>Total</t>
  </si>
  <si>
    <t>Transmission Operation &amp; Maintenance Expenses</t>
  </si>
  <si>
    <t>Total Company</t>
  </si>
  <si>
    <t>Allocation Factor</t>
  </si>
  <si>
    <t>Worksheet A</t>
  </si>
  <si>
    <t>Transmission O&amp;M</t>
  </si>
  <si>
    <t>Transmission</t>
  </si>
  <si>
    <t>Plant in Service</t>
  </si>
  <si>
    <t>T-Wages</t>
  </si>
  <si>
    <t>Accumulated Depreciation</t>
  </si>
  <si>
    <t>Worksheet B</t>
  </si>
  <si>
    <t>Worksheet C</t>
  </si>
  <si>
    <t>Worksheet E</t>
  </si>
  <si>
    <t>Worksheet F</t>
  </si>
  <si>
    <t>Subtotal</t>
  </si>
  <si>
    <t>T-Tax</t>
  </si>
  <si>
    <t xml:space="preserve"> </t>
  </si>
  <si>
    <t>Line No.</t>
  </si>
  <si>
    <t>A</t>
  </si>
  <si>
    <t>B</t>
  </si>
  <si>
    <t>C</t>
  </si>
  <si>
    <t>D</t>
  </si>
  <si>
    <t>E</t>
  </si>
  <si>
    <t>F</t>
  </si>
  <si>
    <t>G</t>
  </si>
  <si>
    <t>H</t>
  </si>
  <si>
    <t>Allocation %</t>
  </si>
  <si>
    <t>(1)</t>
  </si>
  <si>
    <t xml:space="preserve">Allocation % </t>
  </si>
  <si>
    <t>FERC Account Number</t>
  </si>
  <si>
    <t>Interest on Long Term Debt</t>
  </si>
  <si>
    <t>Notes</t>
  </si>
  <si>
    <t>Administrative &amp; General Expense</t>
  </si>
  <si>
    <t>Summary Page</t>
  </si>
  <si>
    <t>INDEX</t>
  </si>
  <si>
    <t>Line No</t>
  </si>
  <si>
    <t>May</t>
  </si>
  <si>
    <t>Total Distribution Plant</t>
  </si>
  <si>
    <t>Total Net Plant in Service</t>
  </si>
  <si>
    <t>Total Long Term Debt</t>
  </si>
  <si>
    <t>Total Margins and Equities</t>
  </si>
  <si>
    <t>Total Capitalization</t>
  </si>
  <si>
    <t>Rate Base</t>
  </si>
  <si>
    <t>Return Based on Defined ROE</t>
  </si>
  <si>
    <t>Billing Lag in days</t>
  </si>
  <si>
    <t>Return</t>
  </si>
  <si>
    <t>Billing Lag in Days</t>
  </si>
  <si>
    <t>Working Capital</t>
  </si>
  <si>
    <t>Prepayments</t>
  </si>
  <si>
    <t>Other</t>
  </si>
  <si>
    <t>Notes Payable</t>
  </si>
  <si>
    <t>Materials and Supplies</t>
  </si>
  <si>
    <t>Average</t>
  </si>
  <si>
    <t>End of Year</t>
  </si>
  <si>
    <t>Lines</t>
  </si>
  <si>
    <t>Stations</t>
  </si>
  <si>
    <t>Beginning of Year</t>
  </si>
  <si>
    <t>301-303 Total Intangible Plant</t>
  </si>
  <si>
    <t>Total Production Plant</t>
  </si>
  <si>
    <t>350 Land and Land Rights</t>
  </si>
  <si>
    <t>352 Structures and Improvements</t>
  </si>
  <si>
    <t>353 Station Equipment</t>
  </si>
  <si>
    <t>354 thru 359.1 Other Transmission Plant</t>
  </si>
  <si>
    <t xml:space="preserve">389 thru 399.1 Total General Plant </t>
  </si>
  <si>
    <t>105 Electric Plant Held For Future Use</t>
  </si>
  <si>
    <t>106 Completed Construction Not Classified</t>
  </si>
  <si>
    <t>107 Construction Work in Progress</t>
  </si>
  <si>
    <t>108.5 Depreciation of Transmission Plant</t>
  </si>
  <si>
    <t>108.6 Depreciation of Distribution Plant</t>
  </si>
  <si>
    <t>108.7 Depreciation of General Plant</t>
  </si>
  <si>
    <t>108.8 Retirement Work in Progress</t>
  </si>
  <si>
    <t>111 Amort of Electric Plant in Service</t>
  </si>
  <si>
    <t>Admin and General Expense</t>
  </si>
  <si>
    <t>Maintenance Expense General Plant</t>
  </si>
  <si>
    <t>Total Accumulated Depreciation</t>
  </si>
  <si>
    <t>301-303 Net Total Intangible Plant</t>
  </si>
  <si>
    <t>Net Production Plant</t>
  </si>
  <si>
    <t>Net Transmission Plant</t>
  </si>
  <si>
    <t>Net Distribution Plant</t>
  </si>
  <si>
    <t>Net General Plant</t>
  </si>
  <si>
    <t>Construction Work in Progress</t>
  </si>
  <si>
    <t>Transmission Plant</t>
  </si>
  <si>
    <t>Station Equipment</t>
  </si>
  <si>
    <t>Allocated</t>
  </si>
  <si>
    <t>Transmission Qualifying Plant</t>
  </si>
  <si>
    <t>T-Tran Plant</t>
  </si>
  <si>
    <t>Utility Plant</t>
  </si>
  <si>
    <t>LINES (a)</t>
  </si>
  <si>
    <t>Supervision and Engineering</t>
  </si>
  <si>
    <t>Load Dispatching</t>
  </si>
  <si>
    <t>Station Expenses</t>
  </si>
  <si>
    <t>Overhead Line Expenses</t>
  </si>
  <si>
    <t>Underground Line Expenses</t>
  </si>
  <si>
    <t>Miscellaneous Expenses</t>
  </si>
  <si>
    <t>Subtotal (1 thru 6)</t>
  </si>
  <si>
    <t>Rents</t>
  </si>
  <si>
    <t>Total Transmission Operations (7 thru 9)</t>
  </si>
  <si>
    <t>Transmission Maintenance</t>
  </si>
  <si>
    <t>Structures</t>
  </si>
  <si>
    <t>Overhead Lines</t>
  </si>
  <si>
    <t>Underground Lines</t>
  </si>
  <si>
    <t>Miscellaneous Transmission Plant</t>
  </si>
  <si>
    <t>Total Transmission Maintenance (11 thru 16)</t>
  </si>
  <si>
    <t>Total Transmission Expense (10+17)</t>
  </si>
  <si>
    <t>RTO/ISO Expense - Operation</t>
  </si>
  <si>
    <t>575.1-575.8</t>
  </si>
  <si>
    <t>576.1-576.5</t>
  </si>
  <si>
    <t>Total RTO/ISO Expense (19+20)</t>
  </si>
  <si>
    <t>Distribution Expense - Operation</t>
  </si>
  <si>
    <t>580-589</t>
  </si>
  <si>
    <t>Distribution Expense - Maintenance</t>
  </si>
  <si>
    <t>590-598</t>
  </si>
  <si>
    <t>Total Distribution Expense (22+23)</t>
  </si>
  <si>
    <t>Total Operation and Maintenance (18+21+24)</t>
  </si>
  <si>
    <t>Fixed Costs</t>
  </si>
  <si>
    <t xml:space="preserve">Depreciation - Transmission </t>
  </si>
  <si>
    <t>Depreciation - Distribution</t>
  </si>
  <si>
    <t xml:space="preserve">Interest - Transmission </t>
  </si>
  <si>
    <t>Interest - Distribution</t>
  </si>
  <si>
    <t>Total Transmission (18+26+28)</t>
  </si>
  <si>
    <t>Total Distribution (24+27+29)</t>
  </si>
  <si>
    <t>Total Lines and Stations (21+30+31)</t>
  </si>
  <si>
    <t>T-Wage Allocation</t>
  </si>
  <si>
    <t>T-Tran Stations</t>
  </si>
  <si>
    <t>EoY</t>
  </si>
  <si>
    <t>BoY</t>
  </si>
  <si>
    <t>Depreciation Expense-Production</t>
  </si>
  <si>
    <t>Depreciation Expense-Tran Lines</t>
  </si>
  <si>
    <t>Depreciation Expense-Distribution</t>
  </si>
  <si>
    <t>Depreciation Expense-General</t>
  </si>
  <si>
    <t>Total Depreciation &amp; Amortization</t>
  </si>
  <si>
    <t>Other Interest Expense</t>
  </si>
  <si>
    <t>Adjustment</t>
  </si>
  <si>
    <t>Adjusted Total</t>
  </si>
  <si>
    <t>Return on Equity</t>
  </si>
  <si>
    <t>Interest Expense</t>
  </si>
  <si>
    <t>Cost of Capital</t>
  </si>
  <si>
    <t>Weighted Rate of Return</t>
  </si>
  <si>
    <t>Adjustments</t>
  </si>
  <si>
    <t>Adjusted Company</t>
  </si>
  <si>
    <t>T-Net Allocation</t>
  </si>
  <si>
    <t>M&amp;S Coal</t>
  </si>
  <si>
    <t>M&amp;S Other Fuel</t>
  </si>
  <si>
    <t>M&amp;S Production Plant Parts</t>
  </si>
  <si>
    <t>M&amp;S Station Transformers &amp; Equipment</t>
  </si>
  <si>
    <t>M&amp;S Line Materials &amp; Supplies</t>
  </si>
  <si>
    <t>M&amp;S Other</t>
  </si>
  <si>
    <t>T-Plant Allocation</t>
  </si>
  <si>
    <t>Subtotal O&amp;M</t>
  </si>
  <si>
    <t>I</t>
  </si>
  <si>
    <t>J</t>
  </si>
  <si>
    <t>Total Transmission O&amp;M Costs</t>
  </si>
  <si>
    <t>Revenue Credits-Operating</t>
  </si>
  <si>
    <t>Cap Str Weight</t>
  </si>
  <si>
    <t>Total Co BoY</t>
  </si>
  <si>
    <t>Total Co EoY</t>
  </si>
  <si>
    <t>Depreciation and Amortization Reserves</t>
  </si>
  <si>
    <t>Transmission Costs</t>
  </si>
  <si>
    <t>A. Gross Revenue Requirement for Network Service</t>
  </si>
  <si>
    <t>Gross Electric Plant in Service</t>
  </si>
  <si>
    <t>Adjustments to Rate Base</t>
  </si>
  <si>
    <t>Income Tax</t>
  </si>
  <si>
    <t>General INPUT SECTION</t>
  </si>
  <si>
    <t xml:space="preserve">Subtotal </t>
  </si>
  <si>
    <t xml:space="preserve">Sum </t>
  </si>
  <si>
    <t>Total A&amp;G Expenses</t>
  </si>
  <si>
    <t>N/A</t>
  </si>
  <si>
    <t>Op Exp-Production excluding fuel</t>
  </si>
  <si>
    <t>Op Exp-Production fuel</t>
  </si>
  <si>
    <t>Op Exp-Other Power Supply</t>
  </si>
  <si>
    <t>Op Exp-Transmission</t>
  </si>
  <si>
    <t>Op Exp-RTO/ISO</t>
  </si>
  <si>
    <t>Op Exp-Distribution</t>
  </si>
  <si>
    <t>Op Exp-Consumer Accounts</t>
  </si>
  <si>
    <t>Op Exp-Customer Service</t>
  </si>
  <si>
    <t>Op Exp-Sales</t>
  </si>
  <si>
    <t>Op Exp-Admin and General</t>
  </si>
  <si>
    <t>Maint Exp-Production</t>
  </si>
  <si>
    <t>Maint Exp-Transmission</t>
  </si>
  <si>
    <t>Maint Exp-RTO/ISO</t>
  </si>
  <si>
    <t>Maint Exp-Distribution</t>
  </si>
  <si>
    <t>Maint Exp-General Plant</t>
  </si>
  <si>
    <t>Electric Energy Revenues</t>
  </si>
  <si>
    <t>Other Operating Revenue &amp; Income</t>
  </si>
  <si>
    <t>Interest Income</t>
  </si>
  <si>
    <t>Other Deductions</t>
  </si>
  <si>
    <t>O&amp;M, Depreciation, and Return Expenses</t>
  </si>
  <si>
    <t>Capital Structure, Rate of Return and Target Return</t>
  </si>
  <si>
    <t>Summary of Total ATRR Revenue Requirement</t>
  </si>
  <si>
    <t xml:space="preserve">O&amp;M </t>
  </si>
  <si>
    <t>Wages</t>
  </si>
  <si>
    <t>Depreciation Expense</t>
  </si>
  <si>
    <t>Return (Transmission Qualifying)</t>
  </si>
  <si>
    <t>Net Plant in Service</t>
  </si>
  <si>
    <t>380-386 RTO/ISO Plant</t>
  </si>
  <si>
    <t>Sum</t>
  </si>
  <si>
    <t>SPP Upgrade revenue adjustments</t>
  </si>
  <si>
    <t>Tri-State Generation and Transmission Association, Inc.</t>
  </si>
  <si>
    <t>East</t>
  </si>
  <si>
    <t>Total Operating Revenues &amp; Patronage Capital</t>
  </si>
  <si>
    <t>Operating Expense</t>
  </si>
  <si>
    <t>Maintenance Expense</t>
  </si>
  <si>
    <t>Interest, Taxes and Other Deductions</t>
  </si>
  <si>
    <t>Depreciation &amp; Amortization Expense</t>
  </si>
  <si>
    <t>Taxes</t>
  </si>
  <si>
    <t>Interest Charged to Construction - Credit</t>
  </si>
  <si>
    <t>Asset Retirement Obligations</t>
  </si>
  <si>
    <t>Total Cost of Electric Service</t>
  </si>
  <si>
    <t>Operating Margins</t>
  </si>
  <si>
    <t>Allowance For Funds Used During Construction</t>
  </si>
  <si>
    <t>Income (Loss) from Equity Investments</t>
  </si>
  <si>
    <t>Other Non-operating Income (Net)</t>
  </si>
  <si>
    <t>Generations &amp; Transmission Capital Credits</t>
  </si>
  <si>
    <t>Other Capital Credits and Patronage Dividends</t>
  </si>
  <si>
    <t>Extraordinary Items</t>
  </si>
  <si>
    <t>Section B.  Balance Sheet</t>
  </si>
  <si>
    <t>Assets</t>
  </si>
  <si>
    <t>Notes Receivable (Net)</t>
  </si>
  <si>
    <t>Other Current and Accrued Assets</t>
  </si>
  <si>
    <t>Liabilities</t>
  </si>
  <si>
    <t>Total Margins &amp; Equities</t>
  </si>
  <si>
    <t>Obligations Under Capital Leases - Non Current</t>
  </si>
  <si>
    <t>Current Maturities Long Term Debt</t>
  </si>
  <si>
    <t>Current Maturities Long Term Debt - Rural Dev.</t>
  </si>
  <si>
    <t>Expenses and Costs</t>
  </si>
  <si>
    <t>Item</t>
  </si>
  <si>
    <t>Account Name</t>
  </si>
  <si>
    <t>Stations (b)</t>
  </si>
  <si>
    <t>Transmissions Operations</t>
  </si>
  <si>
    <t>Transmission of Electricity by others</t>
  </si>
  <si>
    <t xml:space="preserve">RTO/ISO Expense - Maintenance </t>
  </si>
  <si>
    <t>Transmission Lines</t>
  </si>
  <si>
    <t xml:space="preserve">Income From Leased Property </t>
  </si>
  <si>
    <t>Retirement Work in Process</t>
  </si>
  <si>
    <t>Customer Accounting</t>
  </si>
  <si>
    <t>Customer Service</t>
  </si>
  <si>
    <t>Customer Sales</t>
  </si>
  <si>
    <t>114 Acquisition Adjustment</t>
  </si>
  <si>
    <t>Depreciation Expense-Trans Substations</t>
  </si>
  <si>
    <t>Amort of Intangible Plant</t>
  </si>
  <si>
    <t>Transmission ATRR East</t>
  </si>
  <si>
    <t>Allocation</t>
  </si>
  <si>
    <t>T-Tran Lines</t>
  </si>
  <si>
    <t>105 Electric Plant Held For Future Use - Production</t>
  </si>
  <si>
    <t>105 Electric Plant Held For Future Use - Transmission</t>
  </si>
  <si>
    <t>105 Electric Plant Held for Future Use -General</t>
  </si>
  <si>
    <t>105 Electric Plant Held For Future Use - Distribution</t>
  </si>
  <si>
    <t>Plant Held for Future Use</t>
  </si>
  <si>
    <t>Production Wages &amp; Salaries</t>
  </si>
  <si>
    <t>Distribution Wages &amp; Salareis</t>
  </si>
  <si>
    <t>Worksheet G</t>
  </si>
  <si>
    <t xml:space="preserve">Customer Accounting </t>
  </si>
  <si>
    <t>Customer Meters</t>
  </si>
  <si>
    <t>350-353 Transmission Stations</t>
  </si>
  <si>
    <t>RTO/ISO Plant Allocation Factor</t>
  </si>
  <si>
    <t>RTRO/ISO Plant</t>
  </si>
  <si>
    <t>Qualified Substations Reserves</t>
  </si>
  <si>
    <t>Qualified Lines Reserves</t>
  </si>
  <si>
    <t>RTO/ISO Subs Reserves</t>
  </si>
  <si>
    <t>RTO/ISO Lines Reserves</t>
  </si>
  <si>
    <t>Transmission and RTO Depreciation Reserves</t>
  </si>
  <si>
    <t xml:space="preserve">T-Depr Reserv </t>
  </si>
  <si>
    <t>Qualified Substations Depr Expense</t>
  </si>
  <si>
    <t>RTO/ISO Subs Depr Expense</t>
  </si>
  <si>
    <t>Transmission Substations Depr Expense</t>
  </si>
  <si>
    <t>Transmission Substations Depr Expense Allocator</t>
  </si>
  <si>
    <t>RTO/ISO Lines Depr Expense</t>
  </si>
  <si>
    <t>Transmission Lines Depr Expense</t>
  </si>
  <si>
    <t>T-DeprEx Lines</t>
  </si>
  <si>
    <t>T-DeprEx Subs</t>
  </si>
  <si>
    <t>Transmission Lines Depr Expense Allocator</t>
  </si>
  <si>
    <t>T-Plant Held</t>
  </si>
  <si>
    <t>Pland Held Allocator</t>
  </si>
  <si>
    <t>454 Rent From Property</t>
  </si>
  <si>
    <t>Rent from Property Allocator</t>
  </si>
  <si>
    <t>T-Rent</t>
  </si>
  <si>
    <t>T-TIE</t>
  </si>
  <si>
    <t>Transmission Integration Exp Allocator</t>
  </si>
  <si>
    <t>Qualified Lines Depr Expense</t>
  </si>
  <si>
    <t>Springerville Lease</t>
  </si>
  <si>
    <t>Present Amortized Value of Lease</t>
  </si>
  <si>
    <t>Delivery Points</t>
  </si>
  <si>
    <t>Customer Records</t>
  </si>
  <si>
    <t>Worksheet D</t>
  </si>
  <si>
    <t>Load</t>
  </si>
  <si>
    <t>Network Demand (KW)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</si>
  <si>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</si>
  <si>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</si>
  <si>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</si>
  <si>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</si>
  <si>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</si>
  <si>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</si>
  <si>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</si>
  <si>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</si>
  <si>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</si>
  <si>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</si>
  <si>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</si>
  <si>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Total (kW-Mo)</t>
  </si>
  <si>
    <t>Average (kW-Mo)</t>
  </si>
  <si>
    <t>Total North CP Load - East</t>
  </si>
  <si>
    <t>Total Operation Expense</t>
  </si>
  <si>
    <t>Total Maintenance Expense</t>
  </si>
  <si>
    <t>Calculated</t>
  </si>
  <si>
    <t>Net Patronage Capital or Margins</t>
  </si>
  <si>
    <t>310 Steam Production Plant</t>
  </si>
  <si>
    <t>320 Nuclear Production Plant</t>
  </si>
  <si>
    <t>330 Hydro Production Plant</t>
  </si>
  <si>
    <t>340 Other Production Plant</t>
  </si>
  <si>
    <t>Total Transmission Plant</t>
  </si>
  <si>
    <t>360 Land and Land Rights</t>
  </si>
  <si>
    <t>361 Structures and Improvements</t>
  </si>
  <si>
    <t>362 Station Equipment</t>
  </si>
  <si>
    <t>363-374 Other Transmission Plant</t>
  </si>
  <si>
    <t>Electric Plant In Service</t>
  </si>
  <si>
    <t>102 Electric Plant Purchased or Sold</t>
  </si>
  <si>
    <t>104 Electric Plant Leased to Others</t>
  </si>
  <si>
    <t>118 Other Utility Plant</t>
  </si>
  <si>
    <t>120 Nuclear Fuel Assemblies</t>
  </si>
  <si>
    <t>Total Utility Plant</t>
  </si>
  <si>
    <t>Total Depr Reserves for Elect Plant</t>
  </si>
  <si>
    <t>Other Wheeling</t>
  </si>
  <si>
    <t>Rental Income</t>
  </si>
  <si>
    <t>Other Elect Revenue-Admin Fee Trans Interconnect Stdy</t>
  </si>
  <si>
    <t>Construction completed, not classified</t>
  </si>
  <si>
    <t>T-Completed</t>
  </si>
  <si>
    <t>CWIP</t>
  </si>
  <si>
    <t>T-CWIP</t>
  </si>
  <si>
    <t>RTRO/ISO East Subs Plant</t>
  </si>
  <si>
    <t>RTRO/ISO East Line  Plant</t>
  </si>
  <si>
    <t>RTO/ISO Operations Expense</t>
  </si>
  <si>
    <t>RTO/ISO Subs Operations Expense</t>
  </si>
  <si>
    <t>RTO/ISO Lines Operations Expense</t>
  </si>
  <si>
    <t>T-RTO/ISO Operations</t>
  </si>
  <si>
    <t>T-RTO/ISO Maintenance</t>
  </si>
  <si>
    <t>RTO/ISO Subs Maintenance Expense</t>
  </si>
  <si>
    <t>RTO/ISO Lines Maintenance Expense</t>
  </si>
  <si>
    <t>RTO/ISO Maintenance Expense</t>
  </si>
  <si>
    <t>T-RTO/ISO Plant</t>
  </si>
  <si>
    <t>T-Future Use</t>
  </si>
  <si>
    <t>Tran Plant Held for Future Use-Total</t>
  </si>
  <si>
    <t>Transmission Wages &amp; Salaries</t>
  </si>
  <si>
    <t>Delivery Points-Total</t>
  </si>
  <si>
    <t xml:space="preserve">108.1 Depr Rsv of Steam Plant </t>
  </si>
  <si>
    <t>108.2 Depr Rsv of Nuclear Plant</t>
  </si>
  <si>
    <t>108.3 Depr Rsv of Hydraulic Plant</t>
  </si>
  <si>
    <t>108.4 Depr Rsv of Other Prod Plant</t>
  </si>
  <si>
    <t>115 Amort of Acquisition Adj</t>
  </si>
  <si>
    <t>Net Completed Construction Not Classified</t>
  </si>
  <si>
    <t>Net Acquisition Adjustment</t>
  </si>
  <si>
    <t>Plant Held for Future</t>
  </si>
  <si>
    <t>310 Steam Plant</t>
  </si>
  <si>
    <t>320 Nuclear Plant</t>
  </si>
  <si>
    <t>330 Hydro Plant</t>
  </si>
  <si>
    <t>340 Other Prod Plant</t>
  </si>
  <si>
    <t>350 Land &amp; Land Rights</t>
  </si>
  <si>
    <t>352 Structures and Inprovements</t>
  </si>
  <si>
    <t>Customer Services &amp; Information</t>
  </si>
  <si>
    <t>Sales</t>
  </si>
  <si>
    <t>Customer Related Expense</t>
  </si>
  <si>
    <t>105 Electric Plant Held for Future Use -Intangible</t>
  </si>
  <si>
    <t>Direct Zero</t>
  </si>
  <si>
    <t>Direct 100</t>
  </si>
  <si>
    <t>Note: The following table (Named AlloFactors) is reference to the above factors, sorted into alphabetic order and used in vLookUp functions for allocation purposes.</t>
  </si>
  <si>
    <t>Other Revenue</t>
  </si>
  <si>
    <t>Calculation of Rate Base</t>
  </si>
  <si>
    <t>Allocation Factors</t>
  </si>
  <si>
    <t>Page 6</t>
  </si>
  <si>
    <t>Page 7</t>
  </si>
  <si>
    <t>Page 9</t>
  </si>
  <si>
    <t>Page 4</t>
  </si>
  <si>
    <t>Page 5</t>
  </si>
  <si>
    <t>Page 2</t>
  </si>
  <si>
    <t>Page 3</t>
  </si>
  <si>
    <t>Page 1</t>
  </si>
  <si>
    <t>Line #</t>
  </si>
  <si>
    <t>Total Production Reserve</t>
  </si>
  <si>
    <t>External spreadsheet, if needed</t>
  </si>
  <si>
    <t>Wheeling SPP P2P</t>
  </si>
  <si>
    <t>Average/EoY</t>
  </si>
  <si>
    <t>Revenue Requirement before revenue credits</t>
  </si>
  <si>
    <t>Testimony</t>
  </si>
  <si>
    <t>RUSFOR, Part A, Sect A, L01b</t>
  </si>
  <si>
    <t>RUSFOR, Part A, Sect A, L02b</t>
  </si>
  <si>
    <t>RUSFOR, Part A, Sect A, L03b</t>
  </si>
  <si>
    <t>RUSFOR, Part A, Sect A, L05b</t>
  </si>
  <si>
    <t>RUSFOR, Part A, Sect A, L06b</t>
  </si>
  <si>
    <t>RUSFOR, Part A, Sect A, L07b</t>
  </si>
  <si>
    <t>RUSFOR, Part A, Sect A, L08b</t>
  </si>
  <si>
    <t>RUSFOR, Part A, Sect A, L09b</t>
  </si>
  <si>
    <t>RUSFOR, Part A, Sect A, L10b</t>
  </si>
  <si>
    <t>RUSFOR, Part A, Sect A, L11b</t>
  </si>
  <si>
    <t>RUSFOR, Part A, Sect A, L12b</t>
  </si>
  <si>
    <t>RUSFOR, Part A, Sect A, L13b</t>
  </si>
  <si>
    <t>RUSFOR, Part A, Sect A, L14b</t>
  </si>
  <si>
    <t>RUSFOR, Part A, Sect A, L16b</t>
  </si>
  <si>
    <t>RUSFOR, Part A, Sect A, L17b</t>
  </si>
  <si>
    <t>RUSFOR, Part A, Sect A, L18b</t>
  </si>
  <si>
    <t>RUSFOR, Part A, Sect A, L19b</t>
  </si>
  <si>
    <t>RUSFOR, Part A, Sect A, L20b</t>
  </si>
  <si>
    <t>RUSFOR, Part A, Sect A, L22b</t>
  </si>
  <si>
    <t>RUSFOR, Part A, Sect A, L23b</t>
  </si>
  <si>
    <t>RUSFOR, Part A, Sect A, L24b</t>
  </si>
  <si>
    <t>RUSFOR, Part A, Sect A, L25b</t>
  </si>
  <si>
    <t>RUSFOR, Part A, Sect A, L26b</t>
  </si>
  <si>
    <t>RUSFOR, Part A, Sect A, L27b</t>
  </si>
  <si>
    <t>RUSFOR, Part A, Sect A, L28b</t>
  </si>
  <si>
    <t>RUSFOR, Part A, Sect A, L31b</t>
  </si>
  <si>
    <t>RUSFOR, Part A, Sect A, L32b</t>
  </si>
  <si>
    <t>RUSFOR, Part A, Sect A, L33b</t>
  </si>
  <si>
    <t>RUSFOR, Part A, Sect A, L34b</t>
  </si>
  <si>
    <t>RUSFOR, Part A, Sect A, L35b</t>
  </si>
  <si>
    <t>RUSFOR, Part A, Sect A, L36b</t>
  </si>
  <si>
    <t>RUSFOR, Part A, Sect A, L37b</t>
  </si>
  <si>
    <t>RUSFOR, Suppl, Part H, Section A, Line 1</t>
  </si>
  <si>
    <t>RUSFOR, Part A, Section B, L19</t>
  </si>
  <si>
    <t>Past Year &amp; Current RUSFOR, Part A, Section B, Line 25</t>
  </si>
  <si>
    <t>Past Year and Current RUSFOR, Part A, Section B, Line 26</t>
  </si>
  <si>
    <t>Past Year and Current RUSFOR, Part A, Section B, Line 31</t>
  </si>
  <si>
    <t>RUSFOR, Part A, Sect B, L39</t>
  </si>
  <si>
    <t>RUSFOR, Part A, Sect B, L47</t>
  </si>
  <si>
    <t>RUSFOR, Part A, Sect B, L50</t>
  </si>
  <si>
    <t>RUSFOR, Suppl, Part H, Sect A, Line 1</t>
  </si>
  <si>
    <t>RUSFOR, Suppl, Part H, Sect A, Line 2</t>
  </si>
  <si>
    <t>RUSFOR, Suppl, Part H, Sect A, Line 3</t>
  </si>
  <si>
    <t>RUSFOR, Suppl, Part H, Sect A, Line 4</t>
  </si>
  <si>
    <t>RUSFOR, Suppl, Part H, Sect A, Line 5</t>
  </si>
  <si>
    <t>RUSFOR, Suppl, Part H, Sect A, Line 7</t>
  </si>
  <si>
    <t>RUSFOR, Suppl, Part H, Sect A, Line 8</t>
  </si>
  <si>
    <t>RUSFOR, Suppl, Part H, Sect A, Line 9</t>
  </si>
  <si>
    <t>RUSFOR, Suppl, Part H, Sect A, Line 10</t>
  </si>
  <si>
    <t>RUSFOR, Suppl, Part H, Sect A, Line 12</t>
  </si>
  <si>
    <t>RUSFOR, Suppl, Part H, Sect A, Line 13</t>
  </si>
  <si>
    <t>RUSFOR, Suppl, Part H, Sect A, Line 14</t>
  </si>
  <si>
    <t>RUSFOR, Suppl, Part H, Sect A, Line 15</t>
  </si>
  <si>
    <t>RUSFOR, Suppl, Part H, Sect A, Line 17</t>
  </si>
  <si>
    <t>RUSFOR, Suppl, Part H, Sect A, Line 18</t>
  </si>
  <si>
    <t>RUSFOR, Suppl, Part H, Sect A, Line 20</t>
  </si>
  <si>
    <t>RUSFOR, Suppl, Part H, Sect A, Line 21</t>
  </si>
  <si>
    <t>RUSFOR, Suppl, Part H, Sect A, Line 22</t>
  </si>
  <si>
    <t>RUSFOR, Suppl, Part H, Sect A, Line 23</t>
  </si>
  <si>
    <t>RUSFOR, Suppl, Part H, Sect A, Line 24</t>
  </si>
  <si>
    <t>RUSFOR, Suppl, Part H, Sect A, Line 25</t>
  </si>
  <si>
    <t>RUSFOR, Suppl, Part H, Sect A, Line 26</t>
  </si>
  <si>
    <t>RUSFOR, Suppl, Part H, Sect A, Line 28</t>
  </si>
  <si>
    <t>RUSFOR, Suppl, Part H, Sect B, Line 1</t>
  </si>
  <si>
    <t>RUSFOR, Suppl, Part H, Sect B, Line 2</t>
  </si>
  <si>
    <t>RUSFOR, Suppl, Part H, Sect B, Line 3</t>
  </si>
  <si>
    <t>RUSFOR, Suppl, Part H, Sect B, Line 4</t>
  </si>
  <si>
    <t>RUSFOR, Suppl, Part H, Sect B, Line 5</t>
  </si>
  <si>
    <t>RUSFOR, Suppl, Part H, Sect B, Line 6</t>
  </si>
  <si>
    <t>RUSFOR, Suppl, Part H, Sect B, Line 7</t>
  </si>
  <si>
    <t>RUSFOR, Suppl, Part H, Sect B, Line 8</t>
  </si>
  <si>
    <t>RUSFOR, Suppl, Part H, Sect B, Line 12</t>
  </si>
  <si>
    <t>RUSFOR, Suppl, Part H, Sect B, Line 15</t>
  </si>
  <si>
    <t>RUSFOR, Part H, Section G, Line 1</t>
  </si>
  <si>
    <t>RUSFOR, Part H, Section G, Line 2</t>
  </si>
  <si>
    <t>RUSFOR, Part H, Section G, Line 3</t>
  </si>
  <si>
    <t>RUSFOR, Part H, Section G, Line 4</t>
  </si>
  <si>
    <t>RUSFOR, Part H, Section G, Line 5</t>
  </si>
  <si>
    <t>RUSFOR, Part H, Section G, Line 6</t>
  </si>
  <si>
    <t>Less Adjustments</t>
  </si>
  <si>
    <t>Source: RUSFOR, Part I</t>
  </si>
  <si>
    <t>Prior year corrections</t>
  </si>
  <si>
    <t>561 Load Dispatch Salaries</t>
  </si>
  <si>
    <t>Revenue Req. before Prior Yr corrections &amp; SPP Adj</t>
  </si>
  <si>
    <t>Index</t>
  </si>
  <si>
    <t>Revenue Requirement after revenue credits</t>
  </si>
  <si>
    <t>RUSFOR Input</t>
  </si>
  <si>
    <t>Tran Lines-Gross Plant</t>
  </si>
  <si>
    <t>Tran Lines-Depr Reserve</t>
  </si>
  <si>
    <t>Tran Lines-Net Book</t>
  </si>
  <si>
    <t>Tran Lines-Annual Depreciation</t>
  </si>
  <si>
    <t>Tran Subs-Gross Plant</t>
  </si>
  <si>
    <t>Tran Subs-Depr Reserve</t>
  </si>
  <si>
    <t>Tran Subs-Net Book</t>
  </si>
  <si>
    <t>Tran Subs-Annual Depreciation</t>
  </si>
  <si>
    <t>Qualified Transmission Subs and Lines</t>
  </si>
  <si>
    <t>Production Wages</t>
  </si>
  <si>
    <t>Transmission Wages</t>
  </si>
  <si>
    <t>561 Load Dispatch Wages</t>
  </si>
  <si>
    <t>Distribution Wages</t>
  </si>
  <si>
    <t>Customer Accounting Wages</t>
  </si>
  <si>
    <t>Customer Services Wages</t>
  </si>
  <si>
    <t>Customer Sales Wages</t>
  </si>
  <si>
    <t>Production Depr Exp</t>
  </si>
  <si>
    <t>Tran Station Depr Exp</t>
  </si>
  <si>
    <t>Tran Lines Depr Exp</t>
  </si>
  <si>
    <t>Distribution Depr Exp</t>
  </si>
  <si>
    <t>General Depr Exp</t>
  </si>
  <si>
    <t>Retirement Exp</t>
  </si>
  <si>
    <t>Amortization Exp</t>
  </si>
  <si>
    <t>454 Total Co-Rent from Property</t>
  </si>
  <si>
    <t>454 East-Rent from Property</t>
  </si>
  <si>
    <t>456 Other Elect Rev</t>
  </si>
  <si>
    <t>456 SPP P2P</t>
  </si>
  <si>
    <t>456 Other Wheeling</t>
  </si>
  <si>
    <t>SPP related revenue credits</t>
  </si>
  <si>
    <t>SPP Upgrade Projects Rev Cr</t>
  </si>
  <si>
    <t>Total-Prod</t>
  </si>
  <si>
    <t>Total-Tran</t>
  </si>
  <si>
    <t>Total-Distb</t>
  </si>
  <si>
    <t>Total-General</t>
  </si>
  <si>
    <t>Total-Intangible</t>
  </si>
  <si>
    <t>East-Prod</t>
  </si>
  <si>
    <t>East-Tran</t>
  </si>
  <si>
    <t>East-Distb</t>
  </si>
  <si>
    <t>East-General</t>
  </si>
  <si>
    <t>East-Intangible</t>
  </si>
  <si>
    <t>Qualified RTO/ISO Transmission Facilities (East)</t>
  </si>
  <si>
    <t>Wheeling By Others</t>
  </si>
  <si>
    <t>Completed Not Classified &amp; CWIP Balances (East)</t>
  </si>
  <si>
    <t>Completed Not Classified-East</t>
  </si>
  <si>
    <t>CWIP-East</t>
  </si>
  <si>
    <t>Monthly Load (East KW)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</si>
  <si>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</si>
  <si>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</si>
  <si>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</si>
  <si>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</si>
  <si>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</si>
  <si>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</si>
  <si>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</si>
  <si>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</si>
  <si>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</si>
  <si>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</si>
  <si>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</si>
  <si>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Tran Subs-Operations Exp</t>
  </si>
  <si>
    <t>Tran Subs-Maintenance Exp</t>
  </si>
  <si>
    <t>Tran Lines-Operations Exp</t>
  </si>
  <si>
    <t>Tran Lines-Maintenance Exp</t>
  </si>
  <si>
    <t>565 Transmission Integration Expense</t>
  </si>
  <si>
    <t>Meter Count</t>
  </si>
  <si>
    <t>(not used)</t>
  </si>
  <si>
    <t>(Does not change absent a rate filing)</t>
  </si>
  <si>
    <t>Interest on Bonds</t>
  </si>
  <si>
    <t>Annual Cost of Springerville Lease</t>
  </si>
  <si>
    <r>
      <t xml:space="preserve">Prepayments </t>
    </r>
    <r>
      <rPr>
        <i/>
        <sz val="12"/>
        <rFont val="Arial"/>
        <family val="2"/>
      </rPr>
      <t>(Acct 165)</t>
    </r>
  </si>
  <si>
    <r>
      <t xml:space="preserve">Accumulated Deferred Income Taxes </t>
    </r>
    <r>
      <rPr>
        <i/>
        <sz val="12"/>
        <rFont val="Arial"/>
        <family val="2"/>
      </rPr>
      <t>(Acct 190)</t>
    </r>
  </si>
  <si>
    <r>
      <t xml:space="preserve">Accumulated Deferred Income Taxes </t>
    </r>
    <r>
      <rPr>
        <i/>
        <sz val="12"/>
        <rFont val="Arial"/>
        <family val="2"/>
      </rPr>
      <t>(Acct 283)</t>
    </r>
  </si>
  <si>
    <t>Source: Company Records.  Result will be a negative value inorder to be deducted from Gross ATRR as a revenue credit</t>
  </si>
  <si>
    <t>O</t>
  </si>
  <si>
    <t>N</t>
  </si>
  <si>
    <t>M</t>
  </si>
  <si>
    <t>L</t>
  </si>
  <si>
    <t>K</t>
  </si>
  <si>
    <t>SPP Upgrade Projects</t>
  </si>
  <si>
    <t>Worksheet H</t>
  </si>
  <si>
    <t>Page 8</t>
  </si>
  <si>
    <t>Worksheet H, Line 33, Column O</t>
  </si>
  <si>
    <t>Worksheet F, Line 75 Col D and E</t>
  </si>
  <si>
    <t>Worksheet F, Line 76 Col D and E</t>
  </si>
  <si>
    <t>Worksheet F, Line 77 Col D and E</t>
  </si>
  <si>
    <t>Worksheet F, Line 78 Col D and E</t>
  </si>
  <si>
    <t>Worksheet F, Line 79 Col D and E</t>
  </si>
  <si>
    <t>Worksheet K, Line 32 Column D</t>
  </si>
  <si>
    <t>Worksheet K, Line 33 Column D</t>
  </si>
  <si>
    <t>Worksheet K, Line 34 Column D</t>
  </si>
  <si>
    <t>Worksheet K, Line 35 Column D</t>
  </si>
  <si>
    <t>Worksheet J, Line 38, Col E</t>
  </si>
  <si>
    <t>Worksheet J, Line 38, Col F</t>
  </si>
  <si>
    <t>Worksheet J, Line 38, Col G</t>
  </si>
  <si>
    <t>Worksheet J, Line 38, Col H</t>
  </si>
  <si>
    <t>Worksheet J, Line 38, Col I</t>
  </si>
  <si>
    <t>Worksheet J, Line 38, Col J</t>
  </si>
  <si>
    <t>Worksheet J, Line 38, Col K</t>
  </si>
  <si>
    <t>Company Records</t>
  </si>
  <si>
    <t>Total/Average</t>
  </si>
  <si>
    <t>Industry Standard</t>
  </si>
  <si>
    <t>Exhibit No. SPP-12</t>
  </si>
  <si>
    <t>RUSFOR, Part A, Sect B, L57</t>
  </si>
  <si>
    <t>RUSFOR, Part A, Sect B, L43</t>
  </si>
  <si>
    <t>RUSFOR, Part A, Sect B, L44</t>
  </si>
  <si>
    <t>RUSFOR, Part A, Sect B, L49</t>
  </si>
  <si>
    <t>Year Ending December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</si>
</sst>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&quot;$&quot;* #,##0_);_(&quot;$&quot;* \(#,##0\);_(&quot;$&quot;* &quot;0&quot;;_(@_)"/>
    <numFmt numFmtId="168" formatCode="0.0"/>
    <numFmt numFmtId="169" formatCode="#,##0.0_);\(#,##0.0\)"/>
    <numFmt numFmtId="170" formatCode="0.000%"/>
    <numFmt numFmtId="171" formatCode="mm/dd/yyyy"/>
  </numFmts>
  <fonts count="54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Arial"/>
      <family val="2"/>
    </font>
    <font>
      <b/>
      <sz val="11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name val="Arial MT"/>
      <family val="2"/>
    </font>
    <font>
      <b/>
      <sz val="18"/>
      <color indexed="62"/>
      <name val="Cambria"/>
      <family val="2"/>
    </font>
    <font>
      <b/>
      <sz val="12"/>
      <color theme="1"/>
      <name val="Arial"/>
      <family val="2"/>
    </font>
    <font>
      <sz val="11"/>
      <color rgb="FF0070C0"/>
      <name val="Arial"/>
      <family val="2"/>
    </font>
    <font>
      <b/>
      <sz val="12"/>
      <color rgb="FF0070C0"/>
      <name val="Arial"/>
      <family val="2"/>
    </font>
    <font>
      <b/>
      <sz val="16"/>
      <color rgb="FF0070C0"/>
      <name val="Arial"/>
      <family val="2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name val="Arial"/>
      <family val="2"/>
    </font>
    <font>
      <sz val="12"/>
      <color rgb="FF3F3F76"/>
      <name val="Arial"/>
      <family val="2"/>
    </font>
    <font>
      <u/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0070C0"/>
      <name val="Arial"/>
      <family val="2"/>
    </font>
    <font>
      <sz val="12"/>
      <color rgb="FFFF0000"/>
      <name val="Arial"/>
      <family val="2"/>
    </font>
    <font>
      <u/>
      <sz val="11"/>
      <name val="Arial"/>
      <family val="2"/>
    </font>
    <font>
      <sz val="9"/>
      <name val="Times New Roman"/>
      <family val="1"/>
    </font>
    <font>
      <sz val="12"/>
      <name val="SWISS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1"/>
      <color rgb="FF0070C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19" fillId="0" borderId="0" applyFill="0" applyBorder="0" applyProtection="0">
      <alignment horizontal="right"/>
    </xf>
    <xf numFmtId="43" fontId="3" fillId="0" borderId="0" applyFont="0" applyFill="0" applyBorder="0" applyAlignment="0" applyProtection="0"/>
    <xf numFmtId="41" fontId="3" fillId="0" borderId="0" applyFill="0" applyBorder="0" applyProtection="0">
      <alignment horizontal="right"/>
    </xf>
    <xf numFmtId="0" fontId="4" fillId="0" borderId="0" applyNumberFormat="0" applyBorder="0" applyAlignment="0"/>
    <xf numFmtId="0" fontId="2" fillId="0" borderId="0"/>
    <xf numFmtId="39" fontId="1" fillId="0" borderId="0"/>
    <xf numFmtId="43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Alignment="0" applyProtection="0"/>
    <xf numFmtId="0" fontId="34" fillId="0" borderId="0" applyNumberFormat="0" applyFill="0" applyAlignment="0" applyProtection="0"/>
    <xf numFmtId="0" fontId="7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3" fontId="11" fillId="5" borderId="2" applyProtection="0">
      <alignment horizontal="right"/>
    </xf>
    <xf numFmtId="0" fontId="12" fillId="6" borderId="3" applyNumberFormat="0" applyAlignment="0" applyProtection="0"/>
    <xf numFmtId="0" fontId="13" fillId="6" borderId="2" applyNumberFormat="0" applyAlignment="0" applyProtection="0"/>
    <xf numFmtId="0" fontId="14" fillId="0" borderId="4" applyNumberFormat="0" applyFill="0" applyAlignment="0" applyProtection="0"/>
    <xf numFmtId="0" fontId="15" fillId="7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8" fillId="31" borderId="0" applyNumberFormat="0" applyBorder="0" applyAlignment="0" applyProtection="0"/>
    <xf numFmtId="0" fontId="2" fillId="0" borderId="0"/>
    <xf numFmtId="0" fontId="2" fillId="32" borderId="7" applyNumberFormat="0" applyFont="0" applyAlignment="0" applyProtection="0"/>
    <xf numFmtId="0" fontId="2" fillId="0" borderId="0"/>
    <xf numFmtId="0" fontId="2" fillId="0" borderId="0"/>
    <xf numFmtId="3" fontId="30" fillId="5" borderId="2" applyFill="0" applyBorder="0" applyProtection="0">
      <alignment horizontal="right"/>
    </xf>
    <xf numFmtId="1" fontId="27" fillId="0" borderId="0" applyFill="0" applyBorder="0" applyProtection="0"/>
    <xf numFmtId="43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3" fontId="53" fillId="0" borderId="8" applyFill="0" applyProtection="0"/>
    <xf numFmtId="0" fontId="4" fillId="0" borderId="0">
      <alignment vertical="top"/>
    </xf>
    <xf numFmtId="0" fontId="29" fillId="0" borderId="6" applyNumberFormat="0" applyFill="0" applyAlignment="0" applyProtection="0"/>
    <xf numFmtId="0" fontId="34" fillId="0" borderId="0" applyNumberFormat="0" applyFill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Alignment="0" applyProtection="0"/>
    <xf numFmtId="0" fontId="47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/>
    <xf numFmtId="0" fontId="2" fillId="0" borderId="0"/>
    <xf numFmtId="43" fontId="2" fillId="0" borderId="0" applyFont="0" applyFill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32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3" fontId="51" fillId="0" borderId="0" applyFill="0" applyBorder="0" applyProtection="0">
      <alignment horizontal="right"/>
    </xf>
    <xf numFmtId="0" fontId="5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2" fillId="0" borderId="0"/>
  </cellStyleXfs>
  <cellXfs count="340">
    <xf numFmtId="0" fontId="0" fillId="0" borderId="0" xfId="0"/>
    <xf numFmtId="166" fontId="0" fillId="0" borderId="0" xfId="2" applyNumberFormat="1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0" fillId="0" borderId="0" xfId="0" applyFont="1" applyFill="1"/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5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44" fontId="0" fillId="0" borderId="0" xfId="2" applyNumberFormat="1" applyFont="1" applyFill="1"/>
    <xf numFmtId="44" fontId="0" fillId="0" borderId="0" xfId="2" applyFont="1" applyFill="1"/>
    <xf numFmtId="0" fontId="0" fillId="0" borderId="0" xfId="0" applyFont="1" applyFill="1" applyBorder="1" applyAlignment="1"/>
    <xf numFmtId="0" fontId="5" fillId="0" borderId="0" xfId="0" applyFont="1" applyFill="1" applyBorder="1"/>
    <xf numFmtId="44" fontId="0" fillId="0" borderId="0" xfId="2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2" applyNumberFormat="1" applyFont="1" applyFill="1" applyBorder="1" applyAlignment="1">
      <alignment horizontal="left" vertical="top"/>
    </xf>
    <xf numFmtId="4" fontId="0" fillId="0" borderId="0" xfId="0" applyNumberFormat="1" applyFont="1" applyFill="1"/>
    <xf numFmtId="44" fontId="0" fillId="0" borderId="0" xfId="2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4" fontId="0" fillId="0" borderId="0" xfId="2" applyFont="1" applyFill="1" applyAlignment="1">
      <alignment horizontal="center"/>
    </xf>
    <xf numFmtId="168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/>
    <xf numFmtId="166" fontId="0" fillId="0" borderId="0" xfId="2" applyNumberFormat="1" applyFont="1" applyFill="1" applyAlignment="1">
      <alignment horizontal="right"/>
    </xf>
    <xf numFmtId="2" fontId="0" fillId="0" borderId="0" xfId="0" applyNumberFormat="1" applyFont="1" applyFill="1"/>
    <xf numFmtId="4" fontId="0" fillId="0" borderId="0" xfId="2" applyNumberFormat="1" applyFont="1" applyFill="1"/>
    <xf numFmtId="0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/>
    <xf numFmtId="169" fontId="0" fillId="0" borderId="0" xfId="2" applyNumberFormat="1" applyFont="1" applyFill="1" applyAlignment="1">
      <alignment horizontal="right"/>
    </xf>
    <xf numFmtId="0" fontId="0" fillId="0" borderId="0" xfId="2" applyNumberFormat="1" applyFont="1" applyFill="1" applyBorder="1"/>
    <xf numFmtId="0" fontId="0" fillId="0" borderId="0" xfId="2" applyNumberFormat="1" applyFont="1" applyFill="1"/>
    <xf numFmtId="0" fontId="0" fillId="0" borderId="0" xfId="0" applyNumberFormat="1" applyFont="1" applyFill="1" applyAlignment="1">
      <alignment horizontal="left" vertical="top"/>
    </xf>
    <xf numFmtId="166" fontId="0" fillId="0" borderId="0" xfId="2" applyNumberFormat="1" applyFont="1" applyFill="1"/>
    <xf numFmtId="0" fontId="0" fillId="0" borderId="0" xfId="2" applyNumberFormat="1" applyFont="1" applyFill="1" applyBorder="1" applyAlignment="1">
      <alignment horizontal="left"/>
    </xf>
    <xf numFmtId="10" fontId="22" fillId="0" borderId="0" xfId="2" applyNumberFormat="1" applyFont="1" applyFill="1" applyAlignment="1">
      <alignment horizontal="right"/>
    </xf>
    <xf numFmtId="0" fontId="22" fillId="0" borderId="0" xfId="0" applyFont="1" applyFill="1" applyBorder="1"/>
    <xf numFmtId="4" fontId="25" fillId="0" borderId="0" xfId="2" applyNumberFormat="1" applyFont="1" applyFill="1"/>
    <xf numFmtId="4" fontId="0" fillId="0" borderId="0" xfId="0" applyNumberFormat="1" applyFont="1" applyFill="1" applyBorder="1"/>
    <xf numFmtId="0" fontId="25" fillId="0" borderId="0" xfId="0" applyFont="1" applyFill="1" applyBorder="1"/>
    <xf numFmtId="44" fontId="25" fillId="0" borderId="0" xfId="2" applyNumberFormat="1" applyFont="1" applyFill="1" applyBorder="1"/>
    <xf numFmtId="44" fontId="25" fillId="0" borderId="0" xfId="2" applyFont="1" applyFill="1" applyBorder="1"/>
    <xf numFmtId="44" fontId="0" fillId="0" borderId="0" xfId="2" applyNumberFormat="1" applyFont="1" applyFill="1" applyBorder="1" applyAlignment="1">
      <alignment horizontal="right"/>
    </xf>
    <xf numFmtId="2" fontId="22" fillId="0" borderId="0" xfId="0" applyNumberFormat="1" applyFont="1" applyFill="1" applyBorder="1"/>
    <xf numFmtId="4" fontId="22" fillId="0" borderId="0" xfId="2" applyNumberFormat="1" applyFont="1" applyFill="1" applyBorder="1"/>
    <xf numFmtId="4" fontId="0" fillId="0" borderId="0" xfId="2" applyNumberFormat="1" applyFont="1" applyFill="1" applyBorder="1"/>
    <xf numFmtId="4" fontId="22" fillId="0" borderId="0" xfId="2" applyNumberFormat="1" applyFont="1" applyFill="1"/>
    <xf numFmtId="168" fontId="22" fillId="0" borderId="0" xfId="0" applyNumberFormat="1" applyFont="1" applyFill="1" applyBorder="1"/>
    <xf numFmtId="1" fontId="22" fillId="0" borderId="0" xfId="0" applyNumberFormat="1" applyFont="1" applyFill="1" applyBorder="1"/>
    <xf numFmtId="168" fontId="0" fillId="0" borderId="0" xfId="0" applyNumberFormat="1" applyFont="1" applyFill="1"/>
    <xf numFmtId="2" fontId="22" fillId="0" borderId="0" xfId="0" applyNumberFormat="1" applyFont="1" applyFill="1"/>
    <xf numFmtId="0" fontId="5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66" fontId="0" fillId="0" borderId="0" xfId="0" applyNumberFormat="1" applyFont="1" applyFill="1"/>
    <xf numFmtId="0" fontId="0" fillId="0" borderId="0" xfId="0" quotePrefix="1" applyFont="1" applyFill="1"/>
    <xf numFmtId="41" fontId="0" fillId="0" borderId="0" xfId="0" applyNumberFormat="1" applyFont="1" applyFill="1"/>
    <xf numFmtId="10" fontId="0" fillId="0" borderId="0" xfId="1" applyNumberFormat="1" applyFont="1" applyFill="1"/>
    <xf numFmtId="0" fontId="0" fillId="0" borderId="0" xfId="0" applyFont="1" applyAlignment="1">
      <alignment horizontal="center" wrapText="1"/>
    </xf>
    <xf numFmtId="166" fontId="0" fillId="0" borderId="0" xfId="0" applyNumberFormat="1" applyFont="1"/>
    <xf numFmtId="37" fontId="1" fillId="0" borderId="0" xfId="57" applyNumberFormat="1" applyFont="1" applyAlignment="1"/>
    <xf numFmtId="37" fontId="1" fillId="0" borderId="0" xfId="57" applyNumberFormat="1" applyFont="1" applyFill="1" applyAlignment="1"/>
    <xf numFmtId="0" fontId="26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0" fillId="0" borderId="0" xfId="0" applyFont="1"/>
    <xf numFmtId="166" fontId="0" fillId="0" borderId="0" xfId="2" applyNumberFormat="1" applyFont="1" applyFill="1" applyBorder="1" applyAlignment="1">
      <alignment horizontal="right"/>
    </xf>
    <xf numFmtId="164" fontId="0" fillId="0" borderId="12" xfId="58" applyNumberFormat="1" applyFont="1" applyFill="1" applyBorder="1" applyAlignment="1">
      <alignment horizontal="center"/>
    </xf>
    <xf numFmtId="1" fontId="0" fillId="0" borderId="12" xfId="57" applyFont="1" applyFill="1" applyBorder="1"/>
    <xf numFmtId="1" fontId="0" fillId="0" borderId="12" xfId="57" applyFont="1" applyFill="1" applyBorder="1" applyAlignment="1">
      <alignment horizontal="center"/>
    </xf>
    <xf numFmtId="3" fontId="30" fillId="0" borderId="0" xfId="56" applyFont="1" applyFill="1" applyBorder="1" applyAlignment="1">
      <alignment horizontal="right"/>
    </xf>
    <xf numFmtId="41" fontId="0" fillId="33" borderId="12" xfId="57" applyNumberFormat="1" applyFont="1" applyFill="1" applyBorder="1"/>
    <xf numFmtId="164" fontId="24" fillId="0" borderId="12" xfId="58" applyNumberFormat="1" applyFont="1" applyFill="1" applyBorder="1" applyAlignment="1">
      <alignment horizontal="center"/>
    </xf>
    <xf numFmtId="1" fontId="24" fillId="0" borderId="12" xfId="57" applyFont="1" applyFill="1" applyBorder="1" applyAlignment="1">
      <alignment horizontal="left" indent="1"/>
    </xf>
    <xf numFmtId="41" fontId="24" fillId="0" borderId="12" xfId="57" applyNumberFormat="1" applyFont="1" applyFill="1" applyBorder="1"/>
    <xf numFmtId="164" fontId="5" fillId="0" borderId="11" xfId="58" applyNumberFormat="1" applyFont="1" applyBorder="1" applyAlignment="1">
      <alignment horizontal="center" vertical="center"/>
    </xf>
    <xf numFmtId="1" fontId="5" fillId="0" borderId="11" xfId="57" applyFont="1" applyBorder="1" applyAlignment="1">
      <alignment horizontal="center" vertical="center"/>
    </xf>
    <xf numFmtId="0" fontId="0" fillId="0" borderId="0" xfId="0" applyFont="1" applyFill="1" applyBorder="1" applyAlignment="1"/>
    <xf numFmtId="166" fontId="0" fillId="0" borderId="0" xfId="2" applyNumberFormat="1" applyFont="1" applyFill="1" applyBorder="1"/>
    <xf numFmtId="2" fontId="0" fillId="0" borderId="0" xfId="0" applyNumberFormat="1" applyFont="1" applyFill="1" applyBorder="1"/>
    <xf numFmtId="0" fontId="0" fillId="0" borderId="0" xfId="0" applyNumberFormat="1" applyFont="1" applyFill="1" applyAlignment="1">
      <alignment horizontal="center" vertical="center"/>
    </xf>
    <xf numFmtId="164" fontId="0" fillId="0" borderId="0" xfId="4" applyNumberFormat="1" applyFont="1" applyFill="1"/>
    <xf numFmtId="42" fontId="0" fillId="0" borderId="0" xfId="0" applyNumberFormat="1" applyFont="1" applyFill="1" applyBorder="1"/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43" fontId="0" fillId="0" borderId="0" xfId="4" applyFont="1" applyFill="1"/>
    <xf numFmtId="3" fontId="30" fillId="0" borderId="0" xfId="56" applyFill="1" applyBorder="1" applyAlignment="1">
      <alignment horizontal="right"/>
    </xf>
    <xf numFmtId="164" fontId="0" fillId="0" borderId="13" xfId="58" applyNumberFormat="1" applyFont="1" applyFill="1" applyBorder="1" applyAlignment="1">
      <alignment horizontal="center"/>
    </xf>
    <xf numFmtId="14" fontId="0" fillId="0" borderId="14" xfId="57" applyNumberFormat="1" applyFont="1" applyFill="1" applyBorder="1" applyAlignment="1">
      <alignment horizontal="left"/>
    </xf>
    <xf numFmtId="1" fontId="0" fillId="0" borderId="14" xfId="57" applyFont="1" applyFill="1" applyBorder="1"/>
    <xf numFmtId="0" fontId="0" fillId="0" borderId="15" xfId="0" applyFont="1" applyBorder="1"/>
    <xf numFmtId="0" fontId="0" fillId="0" borderId="16" xfId="0" applyFont="1" applyBorder="1"/>
    <xf numFmtId="0" fontId="23" fillId="0" borderId="16" xfId="0" applyFont="1" applyBorder="1" applyAlignment="1">
      <alignment horizontal="center"/>
    </xf>
    <xf numFmtId="3" fontId="0" fillId="0" borderId="12" xfId="0" applyNumberFormat="1" applyFont="1" applyBorder="1"/>
    <xf numFmtId="3" fontId="31" fillId="0" borderId="0" xfId="56" applyFont="1" applyFill="1" applyBorder="1" applyAlignment="1">
      <alignment horizontal="left"/>
    </xf>
    <xf numFmtId="3" fontId="32" fillId="0" borderId="0" xfId="56" applyFont="1" applyFill="1" applyBorder="1" applyAlignment="1">
      <alignment horizontal="left"/>
    </xf>
    <xf numFmtId="0" fontId="33" fillId="0" borderId="0" xfId="13" applyFill="1"/>
    <xf numFmtId="0" fontId="34" fillId="0" borderId="0" xfId="14" applyFill="1"/>
    <xf numFmtId="0" fontId="33" fillId="0" borderId="0" xfId="13"/>
    <xf numFmtId="0" fontId="34" fillId="0" borderId="0" xfId="14"/>
    <xf numFmtId="0" fontId="33" fillId="0" borderId="0" xfId="13" applyFill="1" applyAlignment="1"/>
    <xf numFmtId="0" fontId="34" fillId="0" borderId="0" xfId="14" applyFill="1" applyAlignment="1"/>
    <xf numFmtId="3" fontId="34" fillId="0" borderId="0" xfId="14" applyNumberFormat="1" applyFill="1"/>
    <xf numFmtId="1" fontId="24" fillId="33" borderId="12" xfId="57" applyFont="1" applyFill="1" applyBorder="1" applyAlignment="1">
      <alignment horizontal="center"/>
    </xf>
    <xf numFmtId="1" fontId="24" fillId="0" borderId="12" xfId="57" applyFont="1" applyFill="1" applyBorder="1" applyAlignment="1">
      <alignment horizontal="center"/>
    </xf>
    <xf numFmtId="0" fontId="34" fillId="0" borderId="0" xfId="65"/>
    <xf numFmtId="166" fontId="0" fillId="0" borderId="0" xfId="66" applyNumberFormat="1" applyFont="1" applyFill="1" applyBorder="1" applyAlignment="1">
      <alignment horizontal="right"/>
    </xf>
    <xf numFmtId="0" fontId="33" fillId="0" borderId="0" xfId="67"/>
    <xf numFmtId="37" fontId="35" fillId="0" borderId="0" xfId="57" applyNumberFormat="1" applyFont="1" applyFill="1"/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36" fillId="0" borderId="0" xfId="0" quotePrefix="1" applyFont="1" applyFill="1" applyBorder="1"/>
    <xf numFmtId="0" fontId="36" fillId="0" borderId="0" xfId="0" applyFont="1" applyFill="1"/>
    <xf numFmtId="0" fontId="36" fillId="0" borderId="0" xfId="0" applyFont="1" applyFill="1" applyBorder="1" applyAlignment="1">
      <alignment horizontal="right"/>
    </xf>
    <xf numFmtId="0" fontId="36" fillId="0" borderId="0" xfId="0" applyNumberFormat="1" applyFont="1" applyFill="1" applyBorder="1"/>
    <xf numFmtId="0" fontId="36" fillId="0" borderId="0" xfId="2" applyNumberFormat="1" applyFont="1" applyFill="1" applyBorder="1" applyAlignment="1">
      <alignment horizontal="left" vertical="top"/>
    </xf>
    <xf numFmtId="166" fontId="38" fillId="0" borderId="0" xfId="2" applyNumberFormat="1" applyFont="1" applyFill="1" applyBorder="1" applyAlignment="1">
      <alignment horizontal="center"/>
    </xf>
    <xf numFmtId="166" fontId="36" fillId="0" borderId="0" xfId="0" applyNumberFormat="1" applyFont="1" applyFill="1" applyBorder="1"/>
    <xf numFmtId="0" fontId="36" fillId="0" borderId="0" xfId="0" applyFont="1" applyFill="1" applyAlignment="1">
      <alignment horizontal="center"/>
    </xf>
    <xf numFmtId="0" fontId="36" fillId="0" borderId="0" xfId="0" applyFont="1" applyFill="1" applyBorder="1"/>
    <xf numFmtId="0" fontId="36" fillId="0" borderId="0" xfId="0" applyNumberFormat="1" applyFont="1" applyFill="1" applyAlignment="1">
      <alignment horizontal="left"/>
    </xf>
    <xf numFmtId="0" fontId="36" fillId="0" borderId="0" xfId="0" quotePrefix="1" applyFont="1" applyFill="1"/>
    <xf numFmtId="168" fontId="36" fillId="0" borderId="0" xfId="0" applyNumberFormat="1" applyFont="1" applyFill="1" applyBorder="1"/>
    <xf numFmtId="0" fontId="36" fillId="0" borderId="0" xfId="0" applyFont="1" applyFill="1" applyBorder="1" applyAlignment="1">
      <alignment horizontal="left"/>
    </xf>
    <xf numFmtId="0" fontId="36" fillId="0" borderId="0" xfId="0" quotePrefix="1" applyFont="1" applyFill="1" applyAlignment="1">
      <alignment horizontal="left"/>
    </xf>
    <xf numFmtId="1" fontId="36" fillId="0" borderId="0" xfId="0" applyNumberFormat="1" applyFont="1" applyFill="1" applyBorder="1"/>
    <xf numFmtId="1" fontId="29" fillId="0" borderId="0" xfId="0" applyNumberFormat="1" applyFont="1" applyFill="1" applyBorder="1"/>
    <xf numFmtId="0" fontId="29" fillId="0" borderId="0" xfId="0" applyFont="1"/>
    <xf numFmtId="0" fontId="36" fillId="0" borderId="0" xfId="0" applyFont="1"/>
    <xf numFmtId="166" fontId="36" fillId="0" borderId="0" xfId="0" applyNumberFormat="1" applyFont="1" applyFill="1" applyBorder="1" applyAlignment="1">
      <alignment horizontal="center"/>
    </xf>
    <xf numFmtId="37" fontId="29" fillId="0" borderId="0" xfId="0" applyNumberFormat="1" applyFont="1"/>
    <xf numFmtId="0" fontId="40" fillId="0" borderId="0" xfId="0" applyFont="1" applyFill="1" applyBorder="1" applyAlignment="1">
      <alignment horizontal="center"/>
    </xf>
    <xf numFmtId="166" fontId="36" fillId="0" borderId="0" xfId="2" applyNumberFormat="1" applyFont="1" applyFill="1" applyAlignment="1">
      <alignment horizontal="right"/>
    </xf>
    <xf numFmtId="168" fontId="29" fillId="0" borderId="0" xfId="0" applyNumberFormat="1" applyFont="1" applyFill="1" applyBorder="1"/>
    <xf numFmtId="3" fontId="36" fillId="0" borderId="0" xfId="0" applyNumberFormat="1" applyFont="1" applyFill="1" applyAlignment="1"/>
    <xf numFmtId="37" fontId="41" fillId="0" borderId="0" xfId="57" applyNumberFormat="1" applyFont="1" applyAlignment="1"/>
    <xf numFmtId="37" fontId="35" fillId="0" borderId="0" xfId="57" applyNumberFormat="1" applyFont="1" applyAlignment="1"/>
    <xf numFmtId="2" fontId="36" fillId="0" borderId="0" xfId="0" applyNumberFormat="1" applyFont="1" applyFill="1"/>
    <xf numFmtId="0" fontId="35" fillId="0" borderId="0" xfId="2" applyNumberFormat="1" applyFont="1" applyFill="1" applyBorder="1" applyAlignment="1">
      <alignment horizontal="left" vertical="top"/>
    </xf>
    <xf numFmtId="0" fontId="42" fillId="0" borderId="0" xfId="0" applyFont="1" applyFill="1" applyAlignment="1">
      <alignment horizontal="left"/>
    </xf>
    <xf numFmtId="0" fontId="36" fillId="0" borderId="0" xfId="0" applyNumberFormat="1" applyFont="1" applyFill="1" applyBorder="1" applyAlignment="1">
      <alignment horizontal="left"/>
    </xf>
    <xf numFmtId="3" fontId="36" fillId="0" borderId="0" xfId="0" applyNumberFormat="1" applyFont="1" applyFill="1" applyAlignment="1">
      <alignment horizontal="right"/>
    </xf>
    <xf numFmtId="3" fontId="36" fillId="0" borderId="0" xfId="0" applyNumberFormat="1" applyFont="1" applyFill="1"/>
    <xf numFmtId="3" fontId="38" fillId="0" borderId="0" xfId="57" applyNumberFormat="1" applyFont="1" applyAlignment="1"/>
    <xf numFmtId="0" fontId="40" fillId="0" borderId="0" xfId="0" applyFont="1" applyFill="1" applyAlignment="1">
      <alignment horizontal="center"/>
    </xf>
    <xf numFmtId="0" fontId="36" fillId="0" borderId="0" xfId="2" applyNumberFormat="1" applyFont="1" applyFill="1" applyBorder="1" applyAlignment="1">
      <alignment horizontal="left" vertical="top" wrapText="1"/>
    </xf>
    <xf numFmtId="37" fontId="35" fillId="0" borderId="0" xfId="57" applyNumberFormat="1" applyFont="1" applyFill="1" applyAlignment="1"/>
    <xf numFmtId="0" fontId="36" fillId="0" borderId="0" xfId="0" applyFont="1" applyFill="1" applyBorder="1" applyAlignment="1">
      <alignment horizontal="left" wrapText="1"/>
    </xf>
    <xf numFmtId="0" fontId="36" fillId="0" borderId="0" xfId="0" applyNumberFormat="1" applyFont="1" applyFill="1" applyBorder="1" applyAlignment="1">
      <alignment horizontal="left" wrapText="1"/>
    </xf>
    <xf numFmtId="2" fontId="36" fillId="0" borderId="0" xfId="0" applyNumberFormat="1" applyFont="1" applyFill="1" applyBorder="1"/>
    <xf numFmtId="37" fontId="41" fillId="0" borderId="0" xfId="57" applyNumberFormat="1" applyFont="1" applyFill="1" applyAlignment="1"/>
    <xf numFmtId="0" fontId="40" fillId="0" borderId="0" xfId="0" applyFont="1" applyFill="1" applyAlignment="1">
      <alignment horizontal="right"/>
    </xf>
    <xf numFmtId="164" fontId="36" fillId="0" borderId="0" xfId="4" applyNumberFormat="1" applyFont="1" applyFill="1" applyAlignment="1">
      <alignment horizontal="right"/>
    </xf>
    <xf numFmtId="0" fontId="29" fillId="0" borderId="0" xfId="0" applyNumberFormat="1" applyFont="1" applyFill="1" applyBorder="1"/>
    <xf numFmtId="3" fontId="36" fillId="0" borderId="0" xfId="2" applyNumberFormat="1" applyFont="1" applyFill="1" applyBorder="1" applyAlignment="1">
      <alignment vertical="top"/>
    </xf>
    <xf numFmtId="3" fontId="36" fillId="0" borderId="0" xfId="2" applyNumberFormat="1" applyFont="1" applyFill="1" applyBorder="1" applyAlignment="1">
      <alignment horizontal="right" vertical="top"/>
    </xf>
    <xf numFmtId="0" fontId="42" fillId="0" borderId="0" xfId="0" applyFont="1" applyFill="1" applyAlignment="1">
      <alignment horizontal="center"/>
    </xf>
    <xf numFmtId="42" fontId="36" fillId="0" borderId="0" xfId="2" applyNumberFormat="1" applyFont="1" applyFill="1" applyBorder="1" applyAlignment="1">
      <alignment horizontal="left" vertical="top"/>
    </xf>
    <xf numFmtId="166" fontId="35" fillId="0" borderId="0" xfId="2" applyNumberFormat="1" applyFont="1" applyFill="1" applyBorder="1"/>
    <xf numFmtId="0" fontId="40" fillId="0" borderId="0" xfId="0" applyNumberFormat="1" applyFont="1" applyFill="1" applyBorder="1"/>
    <xf numFmtId="0" fontId="37" fillId="0" borderId="0" xfId="2" applyNumberFormat="1" applyFont="1" applyFill="1" applyBorder="1" applyAlignment="1">
      <alignment horizontal="right" vertical="top"/>
    </xf>
    <xf numFmtId="166" fontId="38" fillId="0" borderId="0" xfId="2" applyNumberFormat="1" applyFont="1" applyFill="1" applyBorder="1" applyAlignment="1">
      <alignment horizontal="right"/>
    </xf>
    <xf numFmtId="0" fontId="40" fillId="0" borderId="0" xfId="0" applyFont="1" applyFill="1"/>
    <xf numFmtId="0" fontId="36" fillId="0" borderId="0" xfId="0" applyFont="1" applyFill="1" applyBorder="1" applyAlignment="1">
      <alignment horizontal="center"/>
    </xf>
    <xf numFmtId="41" fontId="36" fillId="0" borderId="0" xfId="5" applyFont="1" applyAlignment="1">
      <alignment horizontal="right"/>
    </xf>
    <xf numFmtId="164" fontId="36" fillId="0" borderId="0" xfId="4" applyNumberFormat="1" applyFont="1" applyFill="1"/>
    <xf numFmtId="0" fontId="37" fillId="0" borderId="0" xfId="0" applyFont="1" applyFill="1"/>
    <xf numFmtId="166" fontId="36" fillId="0" borderId="0" xfId="2" applyNumberFormat="1" applyFont="1" applyFill="1" applyBorder="1"/>
    <xf numFmtId="0" fontId="36" fillId="0" borderId="0" xfId="0" applyFont="1" applyFill="1" applyAlignment="1">
      <alignment horizontal="left"/>
    </xf>
    <xf numFmtId="170" fontId="36" fillId="0" borderId="0" xfId="1" applyNumberFormat="1" applyFont="1" applyFill="1" applyAlignment="1">
      <alignment horizontal="left"/>
    </xf>
    <xf numFmtId="0" fontId="36" fillId="0" borderId="0" xfId="4" applyNumberFormat="1" applyFont="1" applyFill="1" applyAlignment="1">
      <alignment horizontal="center"/>
    </xf>
    <xf numFmtId="37" fontId="36" fillId="0" borderId="0" xfId="0" applyNumberFormat="1" applyFont="1" applyFill="1" applyAlignment="1">
      <alignment horizontal="left" indent="1"/>
    </xf>
    <xf numFmtId="166" fontId="36" fillId="0" borderId="0" xfId="2" applyNumberFormat="1" applyFont="1" applyFill="1"/>
    <xf numFmtId="166" fontId="36" fillId="0" borderId="0" xfId="2" applyNumberFormat="1" applyFont="1" applyFill="1" applyAlignment="1">
      <alignment horizontal="center"/>
    </xf>
    <xf numFmtId="170" fontId="36" fillId="0" borderId="0" xfId="1" applyNumberFormat="1" applyFont="1" applyFill="1"/>
    <xf numFmtId="0" fontId="36" fillId="0" borderId="0" xfId="0" applyFont="1" applyFill="1" applyAlignment="1">
      <alignment horizontal="left" indent="1"/>
    </xf>
    <xf numFmtId="0" fontId="36" fillId="0" borderId="0" xfId="0" applyFont="1" applyFill="1" applyAlignment="1">
      <alignment horizontal="center" vertical="center"/>
    </xf>
    <xf numFmtId="166" fontId="36" fillId="0" borderId="0" xfId="2" applyNumberFormat="1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 horizontal="center"/>
    </xf>
    <xf numFmtId="164" fontId="36" fillId="0" borderId="0" xfId="4" applyNumberFormat="1" applyFont="1" applyFill="1" applyBorder="1"/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164" fontId="35" fillId="0" borderId="0" xfId="4" applyNumberFormat="1" applyFont="1" applyFill="1"/>
    <xf numFmtId="0" fontId="29" fillId="0" borderId="0" xfId="0" applyFont="1" applyFill="1" applyBorder="1" applyAlignment="1"/>
    <xf numFmtId="0" fontId="40" fillId="0" borderId="0" xfId="0" applyFont="1" applyFill="1" applyBorder="1" applyAlignment="1"/>
    <xf numFmtId="0" fontId="36" fillId="0" borderId="0" xfId="0" applyFont="1" applyFill="1" applyBorder="1" applyAlignment="1">
      <alignment horizontal="center" vertical="center" wrapText="1"/>
    </xf>
    <xf numFmtId="165" fontId="36" fillId="0" borderId="0" xfId="1" quotePrefix="1" applyNumberFormat="1" applyFont="1" applyFill="1"/>
    <xf numFmtId="166" fontId="35" fillId="0" borderId="0" xfId="2" applyNumberFormat="1" applyFont="1" applyFill="1"/>
    <xf numFmtId="42" fontId="36" fillId="0" borderId="0" xfId="0" applyNumberFormat="1" applyFont="1" applyFill="1"/>
    <xf numFmtId="0" fontId="35" fillId="0" borderId="0" xfId="0" applyFont="1" applyFill="1" applyAlignment="1">
      <alignment horizontal="left" indent="1"/>
    </xf>
    <xf numFmtId="42" fontId="36" fillId="0" borderId="0" xfId="0" applyNumberFormat="1" applyFont="1" applyFill="1" applyAlignment="1">
      <alignment horizontal="left"/>
    </xf>
    <xf numFmtId="170" fontId="36" fillId="0" borderId="0" xfId="0" applyNumberFormat="1" applyFont="1" applyFill="1"/>
    <xf numFmtId="0" fontId="40" fillId="0" borderId="0" xfId="0" applyFont="1" applyFill="1" applyBorder="1" applyAlignment="1">
      <alignment horizontal="left"/>
    </xf>
    <xf numFmtId="166" fontId="36" fillId="0" borderId="0" xfId="2" applyNumberFormat="1" applyFont="1" applyFill="1" applyBorder="1" applyAlignment="1">
      <alignment horizontal="center" vertical="center" wrapText="1"/>
    </xf>
    <xf numFmtId="170" fontId="36" fillId="0" borderId="0" xfId="0" applyNumberFormat="1" applyFont="1" applyFill="1" applyBorder="1" applyAlignment="1">
      <alignment horizontal="center" vertical="center" wrapText="1"/>
    </xf>
    <xf numFmtId="42" fontId="35" fillId="0" borderId="0" xfId="0" applyNumberFormat="1" applyFont="1" applyFill="1" applyAlignment="1">
      <alignment horizontal="left"/>
    </xf>
    <xf numFmtId="167" fontId="36" fillId="0" borderId="0" xfId="2" applyNumberFormat="1" applyFont="1" applyFill="1"/>
    <xf numFmtId="0" fontId="29" fillId="0" borderId="0" xfId="0" applyFont="1" applyFill="1"/>
    <xf numFmtId="43" fontId="35" fillId="0" borderId="0" xfId="4" applyFont="1" applyFill="1" applyAlignment="1">
      <alignment horizontal="right"/>
    </xf>
    <xf numFmtId="1" fontId="35" fillId="0" borderId="0" xfId="2" applyNumberFormat="1" applyFont="1" applyFill="1" applyBorder="1"/>
    <xf numFmtId="1" fontId="36" fillId="0" borderId="0" xfId="0" applyNumberFormat="1" applyFont="1" applyFill="1"/>
    <xf numFmtId="2" fontId="36" fillId="0" borderId="0" xfId="0" applyNumberFormat="1" applyFont="1" applyFill="1" applyAlignment="1">
      <alignment horizontal="left" indent="1"/>
    </xf>
    <xf numFmtId="166" fontId="35" fillId="0" borderId="0" xfId="2" applyNumberFormat="1" applyFont="1" applyFill="1" applyAlignment="1">
      <alignment horizontal="left"/>
    </xf>
    <xf numFmtId="165" fontId="36" fillId="0" borderId="0" xfId="1" applyNumberFormat="1" applyFont="1" applyFill="1"/>
    <xf numFmtId="164" fontId="35" fillId="0" borderId="0" xfId="4" applyNumberFormat="1" applyFont="1" applyFill="1" applyAlignment="1">
      <alignment horizontal="right"/>
    </xf>
    <xf numFmtId="0" fontId="36" fillId="0" borderId="0" xfId="0" applyFont="1" applyFill="1" applyBorder="1" applyAlignment="1"/>
    <xf numFmtId="166" fontId="36" fillId="0" borderId="0" xfId="2" applyNumberFormat="1" applyFont="1" applyFill="1" applyBorder="1" applyAlignment="1">
      <alignment horizontal="right"/>
    </xf>
    <xf numFmtId="166" fontId="36" fillId="0" borderId="0" xfId="2" applyNumberFormat="1" applyFont="1" applyFill="1" applyBorder="1" applyAlignment="1">
      <alignment horizontal="right" vertical="center" wrapText="1"/>
    </xf>
    <xf numFmtId="166" fontId="36" fillId="0" borderId="0" xfId="0" applyNumberFormat="1" applyFont="1" applyFill="1" applyAlignment="1">
      <alignment horizontal="center"/>
    </xf>
    <xf numFmtId="3" fontId="36" fillId="0" borderId="8" xfId="62" applyFont="1" applyFill="1"/>
    <xf numFmtId="166" fontId="36" fillId="0" borderId="0" xfId="0" applyNumberFormat="1" applyFont="1" applyFill="1"/>
    <xf numFmtId="0" fontId="40" fillId="0" borderId="11" xfId="0" applyFont="1" applyFill="1" applyBorder="1" applyAlignment="1">
      <alignment horizontal="center" vertical="center" wrapText="1"/>
    </xf>
    <xf numFmtId="166" fontId="29" fillId="0" borderId="6" xfId="27" applyNumberFormat="1" applyFont="1" applyFill="1"/>
    <xf numFmtId="37" fontId="36" fillId="0" borderId="0" xfId="0" applyNumberFormat="1" applyFont="1" applyFill="1"/>
    <xf numFmtId="42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4" fontId="36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right"/>
    </xf>
    <xf numFmtId="10" fontId="36" fillId="0" borderId="0" xfId="2" applyNumberFormat="1" applyFont="1" applyFill="1"/>
    <xf numFmtId="0" fontId="36" fillId="0" borderId="0" xfId="0" applyNumberFormat="1" applyFont="1" applyFill="1" applyAlignment="1">
      <alignment horizontal="left" wrapText="1"/>
    </xf>
    <xf numFmtId="170" fontId="36" fillId="0" borderId="0" xfId="1" applyNumberFormat="1" applyFont="1" applyFill="1" applyAlignment="1">
      <alignment horizontal="center"/>
    </xf>
    <xf numFmtId="170" fontId="36" fillId="0" borderId="0" xfId="1" quotePrefix="1" applyNumberFormat="1" applyFont="1" applyFill="1" applyAlignment="1">
      <alignment horizontal="right"/>
    </xf>
    <xf numFmtId="165" fontId="36" fillId="0" borderId="0" xfId="1" quotePrefix="1" applyNumberFormat="1" applyFont="1" applyFill="1" applyAlignment="1">
      <alignment horizontal="center"/>
    </xf>
    <xf numFmtId="10" fontId="36" fillId="0" borderId="0" xfId="0" applyNumberFormat="1" applyFont="1" applyFill="1" applyBorder="1"/>
    <xf numFmtId="9" fontId="36" fillId="0" borderId="0" xfId="0" applyNumberFormat="1" applyFont="1" applyFill="1"/>
    <xf numFmtId="42" fontId="36" fillId="0" borderId="0" xfId="0" applyNumberFormat="1" applyFont="1" applyFill="1" applyBorder="1"/>
    <xf numFmtId="0" fontId="29" fillId="0" borderId="11" xfId="0" applyFont="1" applyBorder="1" applyAlignment="1">
      <alignment horizontal="center" vertical="center" wrapText="1"/>
    </xf>
    <xf numFmtId="164" fontId="36" fillId="0" borderId="0" xfId="4" applyNumberFormat="1" applyFont="1" applyAlignment="1">
      <alignment horizontal="center" vertical="center"/>
    </xf>
    <xf numFmtId="164" fontId="36" fillId="0" borderId="0" xfId="4" applyNumberFormat="1" applyFont="1" applyFill="1" applyBorder="1" applyAlignment="1">
      <alignment horizontal="right"/>
    </xf>
    <xf numFmtId="3" fontId="44" fillId="0" borderId="0" xfId="56" applyFont="1" applyFill="1" applyBorder="1" applyAlignment="1">
      <alignment horizontal="right"/>
    </xf>
    <xf numFmtId="164" fontId="36" fillId="0" borderId="0" xfId="4" applyNumberFormat="1" applyFont="1" applyBorder="1"/>
    <xf numFmtId="164" fontId="36" fillId="0" borderId="11" xfId="4" applyNumberFormat="1" applyFont="1" applyFill="1" applyBorder="1" applyAlignment="1">
      <alignment horizontal="right"/>
    </xf>
    <xf numFmtId="3" fontId="44" fillId="0" borderId="11" xfId="56" applyFont="1" applyFill="1" applyBorder="1" applyAlignment="1">
      <alignment horizontal="right"/>
    </xf>
    <xf numFmtId="164" fontId="36" fillId="0" borderId="11" xfId="4" applyNumberFormat="1" applyFont="1" applyBorder="1"/>
    <xf numFmtId="0" fontId="36" fillId="0" borderId="0" xfId="0" applyFont="1" applyAlignment="1">
      <alignment horizontal="left" indent="1"/>
    </xf>
    <xf numFmtId="37" fontId="36" fillId="0" borderId="0" xfId="0" applyNumberFormat="1" applyFont="1" applyBorder="1"/>
    <xf numFmtId="43" fontId="36" fillId="0" borderId="0" xfId="4" applyFont="1" applyBorder="1"/>
    <xf numFmtId="0" fontId="36" fillId="0" borderId="0" xfId="0" applyFont="1" applyAlignment="1">
      <alignment horizontal="center"/>
    </xf>
    <xf numFmtId="164" fontId="36" fillId="0" borderId="0" xfId="4" applyNumberFormat="1" applyFont="1"/>
    <xf numFmtId="0" fontId="29" fillId="0" borderId="11" xfId="0" applyNumberFormat="1" applyFont="1" applyFill="1" applyBorder="1" applyAlignment="1">
      <alignment horizontal="center" vertical="center" wrapText="1"/>
    </xf>
    <xf numFmtId="0" fontId="35" fillId="0" borderId="0" xfId="4" applyNumberFormat="1" applyFont="1" applyFill="1" applyAlignment="1">
      <alignment horizontal="right" vertical="center"/>
    </xf>
    <xf numFmtId="166" fontId="36" fillId="0" borderId="0" xfId="4" applyNumberFormat="1" applyFont="1" applyFill="1"/>
    <xf numFmtId="166" fontId="36" fillId="0" borderId="17" xfId="2" applyNumberFormat="1" applyFont="1" applyFill="1" applyBorder="1"/>
    <xf numFmtId="0" fontId="41" fillId="0" borderId="0" xfId="0" applyFont="1" applyFill="1" applyAlignment="1">
      <alignment horizontal="left" indent="1"/>
    </xf>
    <xf numFmtId="0" fontId="29" fillId="0" borderId="0" xfId="0" applyFont="1" applyFill="1" applyAlignment="1">
      <alignment horizontal="left" indent="1"/>
    </xf>
    <xf numFmtId="170" fontId="29" fillId="0" borderId="0" xfId="1" applyNumberFormat="1" applyFont="1" applyFill="1"/>
    <xf numFmtId="0" fontId="36" fillId="0" borderId="0" xfId="0" applyFont="1" applyFill="1" applyAlignment="1">
      <alignment wrapText="1"/>
    </xf>
    <xf numFmtId="0" fontId="35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left" indent="1"/>
    </xf>
    <xf numFmtId="0" fontId="45" fillId="0" borderId="0" xfId="0" applyFont="1" applyFill="1"/>
    <xf numFmtId="0" fontId="36" fillId="0" borderId="0" xfId="0" applyNumberFormat="1" applyFont="1" applyFill="1" applyAlignment="1">
      <alignment horizontal="right" vertical="center"/>
    </xf>
    <xf numFmtId="0" fontId="45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45" fillId="0" borderId="0" xfId="0" quotePrefix="1" applyFont="1" applyFill="1"/>
    <xf numFmtId="0" fontId="36" fillId="0" borderId="0" xfId="0" applyNumberFormat="1" applyFont="1" applyFill="1" applyAlignment="1">
      <alignment horizontal="center" vertical="center"/>
    </xf>
    <xf numFmtId="9" fontId="29" fillId="0" borderId="0" xfId="1" applyFont="1" applyFill="1"/>
    <xf numFmtId="10" fontId="29" fillId="0" borderId="0" xfId="1" applyNumberFormat="1" applyFont="1" applyFill="1"/>
    <xf numFmtId="0" fontId="29" fillId="0" borderId="0" xfId="0" applyFont="1" applyFill="1" applyAlignment="1">
      <alignment horizontal="right"/>
    </xf>
    <xf numFmtId="0" fontId="36" fillId="0" borderId="18" xfId="0" applyFont="1" applyFill="1" applyBorder="1"/>
    <xf numFmtId="0" fontId="36" fillId="0" borderId="19" xfId="0" applyFont="1" applyFill="1" applyBorder="1"/>
    <xf numFmtId="170" fontId="36" fillId="0" borderId="20" xfId="1" applyNumberFormat="1" applyFont="1" applyFill="1" applyBorder="1" applyAlignment="1">
      <alignment horizontal="right"/>
    </xf>
    <xf numFmtId="0" fontId="36" fillId="0" borderId="21" xfId="0" applyFont="1" applyFill="1" applyBorder="1"/>
    <xf numFmtId="170" fontId="36" fillId="0" borderId="22" xfId="1" applyNumberFormat="1" applyFont="1" applyFill="1" applyBorder="1" applyAlignment="1">
      <alignment horizontal="right"/>
    </xf>
    <xf numFmtId="0" fontId="36" fillId="0" borderId="21" xfId="0" applyFont="1" applyFill="1" applyBorder="1" applyAlignment="1">
      <alignment horizontal="left"/>
    </xf>
    <xf numFmtId="0" fontId="36" fillId="0" borderId="23" xfId="0" applyFont="1" applyFill="1" applyBorder="1"/>
    <xf numFmtId="0" fontId="36" fillId="0" borderId="24" xfId="0" applyFont="1" applyFill="1" applyBorder="1"/>
    <xf numFmtId="170" fontId="36" fillId="0" borderId="25" xfId="1" applyNumberFormat="1" applyFont="1" applyFill="1" applyBorder="1" applyAlignment="1">
      <alignment horizontal="right"/>
    </xf>
    <xf numFmtId="10" fontId="36" fillId="0" borderId="0" xfId="1" applyNumberFormat="1" applyFont="1"/>
    <xf numFmtId="166" fontId="36" fillId="0" borderId="0" xfId="66" applyNumberFormat="1" applyFont="1" applyFill="1" applyBorder="1" applyAlignment="1">
      <alignment horizontal="right"/>
    </xf>
    <xf numFmtId="37" fontId="22" fillId="0" borderId="0" xfId="57" applyNumberFormat="1" applyFont="1" applyFill="1"/>
    <xf numFmtId="37" fontId="22" fillId="0" borderId="0" xfId="57" applyNumberFormat="1" applyFont="1" applyFill="1" applyAlignment="1">
      <alignment horizontal="right"/>
    </xf>
    <xf numFmtId="37" fontId="46" fillId="0" borderId="0" xfId="57" applyNumberFormat="1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vertical="top"/>
    </xf>
    <xf numFmtId="0" fontId="0" fillId="0" borderId="0" xfId="0" applyNumberFormat="1" applyFont="1" applyFill="1" applyBorder="1" applyAlignment="1" applyProtection="1"/>
    <xf numFmtId="171" fontId="22" fillId="0" borderId="0" xfId="0" applyNumberFormat="1" applyFont="1" applyFill="1" applyBorder="1" applyAlignment="1" applyProtection="1">
      <alignment vertical="top"/>
    </xf>
    <xf numFmtId="0" fontId="34" fillId="0" borderId="0" xfId="65" applyFill="1"/>
    <xf numFmtId="0" fontId="5" fillId="0" borderId="0" xfId="0" applyFont="1" applyBorder="1"/>
    <xf numFmtId="3" fontId="0" fillId="0" borderId="0" xfId="0" applyNumberFormat="1" applyFont="1" applyFill="1" applyAlignment="1">
      <alignment horizontal="right"/>
    </xf>
    <xf numFmtId="164" fontId="29" fillId="0" borderId="0" xfId="4" applyNumberFormat="1" applyFont="1" applyBorder="1"/>
    <xf numFmtId="1" fontId="20" fillId="0" borderId="0" xfId="57" applyFont="1" applyBorder="1" applyAlignment="1"/>
    <xf numFmtId="1" fontId="22" fillId="0" borderId="0" xfId="57" applyFont="1" applyBorder="1" applyAlignment="1"/>
    <xf numFmtId="1" fontId="20" fillId="0" borderId="0" xfId="57" applyFont="1" applyBorder="1" applyAlignment="1">
      <alignment horizontal="center"/>
    </xf>
    <xf numFmtId="37" fontId="0" fillId="0" borderId="0" xfId="58" applyNumberFormat="1" applyFont="1" applyBorder="1" applyAlignment="1">
      <alignment horizontal="center" vertical="center"/>
    </xf>
    <xf numFmtId="4" fontId="22" fillId="0" borderId="0" xfId="57" applyNumberFormat="1" applyFont="1" applyBorder="1" applyAlignment="1"/>
    <xf numFmtId="4" fontId="5" fillId="0" borderId="0" xfId="64" applyNumberFormat="1" applyFont="1" applyBorder="1" applyAlignment="1"/>
    <xf numFmtId="4" fontId="20" fillId="0" borderId="0" xfId="57" applyNumberFormat="1" applyFont="1" applyBorder="1" applyAlignment="1"/>
    <xf numFmtId="3" fontId="5" fillId="0" borderId="0" xfId="64" applyNumberFormat="1" applyFont="1" applyBorder="1" applyAlignment="1"/>
    <xf numFmtId="37" fontId="5" fillId="0" borderId="0" xfId="58" applyNumberFormat="1" applyFont="1" applyBorder="1" applyAlignment="1">
      <alignment horizontal="left" vertical="center"/>
    </xf>
    <xf numFmtId="3" fontId="0" fillId="0" borderId="0" xfId="0" applyNumberFormat="1" applyFont="1" applyBorder="1"/>
    <xf numFmtId="168" fontId="0" fillId="0" borderId="12" xfId="57" applyNumberFormat="1" applyFont="1" applyFill="1" applyBorder="1" applyAlignment="1">
      <alignment horizontal="center"/>
    </xf>
    <xf numFmtId="41" fontId="0" fillId="33" borderId="26" xfId="57" applyNumberFormat="1" applyFont="1" applyFill="1" applyBorder="1"/>
    <xf numFmtId="41" fontId="0" fillId="33" borderId="12" xfId="57" applyNumberFormat="1" applyFont="1" applyFill="1" applyBorder="1"/>
    <xf numFmtId="166" fontId="36" fillId="0" borderId="0" xfId="2" applyNumberFormat="1" applyFont="1" applyFill="1" applyAlignment="1">
      <alignment horizontal="right"/>
    </xf>
    <xf numFmtId="3" fontId="0" fillId="0" borderId="0" xfId="0" applyNumberFormat="1" applyFont="1" applyFill="1"/>
    <xf numFmtId="166" fontId="0" fillId="0" borderId="0" xfId="0" applyNumberFormat="1" applyFont="1" applyFill="1"/>
    <xf numFmtId="3" fontId="2" fillId="0" borderId="0" xfId="105" applyNumberFormat="1"/>
    <xf numFmtId="3" fontId="39" fillId="34" borderId="2" xfId="20" applyFont="1" applyFill="1" applyAlignment="1">
      <alignment horizontal="right"/>
    </xf>
    <xf numFmtId="38" fontId="35" fillId="34" borderId="33" xfId="10" applyNumberFormat="1" applyFont="1" applyFill="1" applyBorder="1" applyProtection="1">
      <protection locked="0"/>
    </xf>
    <xf numFmtId="166" fontId="36" fillId="34" borderId="0" xfId="2" applyNumberFormat="1" applyFont="1" applyFill="1" applyAlignment="1">
      <alignment horizontal="right"/>
    </xf>
    <xf numFmtId="166" fontId="36" fillId="34" borderId="12" xfId="97" applyNumberFormat="1" applyFont="1" applyFill="1" applyBorder="1" applyAlignment="1">
      <alignment vertical="center" wrapText="1"/>
    </xf>
    <xf numFmtId="37" fontId="39" fillId="34" borderId="2" xfId="20" applyNumberFormat="1" applyFont="1" applyFill="1" applyAlignment="1">
      <alignment horizontal="right"/>
    </xf>
    <xf numFmtId="38" fontId="35" fillId="34" borderId="29" xfId="10" applyNumberFormat="1" applyFont="1" applyFill="1" applyBorder="1" applyProtection="1"/>
    <xf numFmtId="3" fontId="39" fillId="34" borderId="2" xfId="20" applyFont="1" applyFill="1" applyAlignment="1">
      <alignment horizontal="right" vertical="top"/>
    </xf>
    <xf numFmtId="38" fontId="35" fillId="34" borderId="29" xfId="71" applyNumberFormat="1" applyFont="1" applyFill="1" applyBorder="1" applyProtection="1"/>
    <xf numFmtId="38" fontId="35" fillId="34" borderId="28" xfId="10" applyNumberFormat="1" applyFont="1" applyFill="1" applyBorder="1" applyAlignment="1" applyProtection="1">
      <alignment horizontal="right"/>
    </xf>
    <xf numFmtId="44" fontId="36" fillId="0" borderId="0" xfId="2" applyFont="1" applyFill="1" applyAlignment="1">
      <alignment horizontal="center"/>
    </xf>
    <xf numFmtId="44" fontId="36" fillId="0" borderId="0" xfId="0" applyNumberFormat="1" applyFont="1" applyFill="1"/>
    <xf numFmtId="38" fontId="35" fillId="34" borderId="12" xfId="10" applyNumberFormat="1" applyFont="1" applyFill="1" applyBorder="1" applyProtection="1">
      <protection locked="0"/>
    </xf>
    <xf numFmtId="38" fontId="35" fillId="34" borderId="32" xfId="10" applyNumberFormat="1" applyFont="1" applyFill="1" applyBorder="1" applyProtection="1">
      <protection locked="0"/>
    </xf>
    <xf numFmtId="38" fontId="35" fillId="34" borderId="32" xfId="71" applyNumberFormat="1" applyFont="1" applyFill="1" applyBorder="1" applyProtection="1">
      <protection locked="0"/>
    </xf>
    <xf numFmtId="37" fontId="35" fillId="34" borderId="28" xfId="71" applyNumberFormat="1" applyFont="1" applyFill="1" applyBorder="1"/>
    <xf numFmtId="38" fontId="35" fillId="34" borderId="28" xfId="71" applyNumberFormat="1" applyFont="1" applyFill="1" applyBorder="1"/>
    <xf numFmtId="38" fontId="35" fillId="34" borderId="28" xfId="71" applyNumberFormat="1" applyFont="1" applyFill="1" applyBorder="1" applyProtection="1">
      <protection locked="0"/>
    </xf>
    <xf numFmtId="38" fontId="22" fillId="34" borderId="27" xfId="58" applyNumberFormat="1" applyFont="1" applyFill="1" applyBorder="1" applyProtection="1">
      <protection locked="0"/>
    </xf>
    <xf numFmtId="38" fontId="22" fillId="34" borderId="28" xfId="0" applyNumberFormat="1" applyFont="1" applyFill="1" applyBorder="1" applyProtection="1">
      <protection locked="0"/>
    </xf>
    <xf numFmtId="38" fontId="22" fillId="34" borderId="29" xfId="0" applyNumberFormat="1" applyFont="1" applyFill="1" applyBorder="1" applyProtection="1">
      <protection locked="0"/>
    </xf>
    <xf numFmtId="38" fontId="22" fillId="34" borderId="30" xfId="58" applyNumberFormat="1" applyFont="1" applyFill="1" applyBorder="1" applyProtection="1">
      <protection locked="0"/>
    </xf>
    <xf numFmtId="38" fontId="22" fillId="34" borderId="31" xfId="58" applyNumberFormat="1" applyFont="1" applyFill="1" applyBorder="1" applyProtection="1">
      <protection locked="0"/>
    </xf>
    <xf numFmtId="3" fontId="30" fillId="34" borderId="12" xfId="56" applyFont="1" applyFill="1" applyBorder="1" applyAlignment="1">
      <alignment horizontal="right"/>
    </xf>
    <xf numFmtId="3" fontId="45" fillId="34" borderId="2" xfId="20" applyFont="1" applyFill="1" applyAlignment="1">
      <alignment horizontal="right"/>
    </xf>
    <xf numFmtId="41" fontId="22" fillId="33" borderId="12" xfId="57" applyNumberFormat="1" applyFont="1" applyFill="1" applyBorder="1" applyAlignment="1">
      <alignment horizontal="center"/>
    </xf>
    <xf numFmtId="1" fontId="24" fillId="0" borderId="12" xfId="57" applyFont="1" applyFill="1" applyBorder="1" applyAlignment="1">
      <alignment horizontal="center"/>
    </xf>
    <xf numFmtId="1" fontId="24" fillId="0" borderId="31" xfId="57" applyFont="1" applyFill="1" applyBorder="1" applyAlignment="1">
      <alignment horizontal="center"/>
    </xf>
    <xf numFmtId="1" fontId="24" fillId="0" borderId="26" xfId="57" applyFont="1" applyFill="1" applyBorder="1" applyAlignment="1">
      <alignment horizontal="center"/>
    </xf>
    <xf numFmtId="1" fontId="24" fillId="0" borderId="12" xfId="57" applyFont="1" applyFill="1" applyBorder="1" applyAlignment="1">
      <alignment horizontal="left" indent="6"/>
    </xf>
    <xf numFmtId="41" fontId="0" fillId="33" borderId="12" xfId="57" applyNumberFormat="1" applyFont="1" applyFill="1" applyBorder="1" applyAlignment="1">
      <alignment horizontal="center"/>
    </xf>
    <xf numFmtId="1" fontId="24" fillId="33" borderId="12" xfId="57" applyFont="1" applyFill="1" applyBorder="1" applyAlignment="1">
      <alignment horizontal="center"/>
    </xf>
    <xf numFmtId="3" fontId="30" fillId="0" borderId="0" xfId="56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center" vertical="top"/>
    </xf>
  </cellXfs>
  <cellStyles count="106">
    <cellStyle name="20% - Accent1" xfId="29"/>
    <cellStyle name="20% - Accent1 2" xfId="75"/>
    <cellStyle name="20% - Accent2" xfId="33"/>
    <cellStyle name="20% - Accent2 2" xfId="77"/>
    <cellStyle name="20% - Accent3" xfId="37"/>
    <cellStyle name="20% - Accent3 2" xfId="79"/>
    <cellStyle name="20% - Accent4" xfId="41"/>
    <cellStyle name="20% - Accent4 2" xfId="81"/>
    <cellStyle name="20% - Accent5" xfId="45"/>
    <cellStyle name="20% - Accent5 2" xfId="83"/>
    <cellStyle name="20% - Accent6" xfId="49"/>
    <cellStyle name="20% - Accent6 2" xfId="85"/>
    <cellStyle name="40% - Accent1" xfId="30"/>
    <cellStyle name="40% - Accent1 2" xfId="76"/>
    <cellStyle name="40% - Accent2" xfId="34"/>
    <cellStyle name="40% - Accent2 2" xfId="78"/>
    <cellStyle name="40% - Accent3" xfId="38"/>
    <cellStyle name="40% - Accent3 2" xfId="80"/>
    <cellStyle name="40% - Accent4" xfId="42"/>
    <cellStyle name="40% - Accent4 2" xfId="82"/>
    <cellStyle name="40% - Accent5" xfId="46"/>
    <cellStyle name="40% - Accent5 2" xfId="84"/>
    <cellStyle name="40% - Accent6" xfId="50"/>
    <cellStyle name="40% - Accent6 2" xfId="86"/>
    <cellStyle name="60% - Accent1" xfId="31"/>
    <cellStyle name="60% - Accent2" xfId="35"/>
    <cellStyle name="60% - Accent3" xfId="39"/>
    <cellStyle name="60% - Accent4" xfId="43"/>
    <cellStyle name="60% - Accent5" xfId="47"/>
    <cellStyle name="60% - Accent6" xfId="51"/>
    <cellStyle name="Accent1" xfId="28"/>
    <cellStyle name="Accent2" xfId="32"/>
    <cellStyle name="Accent3" xfId="36"/>
    <cellStyle name="Accent4" xfId="40"/>
    <cellStyle name="Accent5" xfId="44"/>
    <cellStyle name="Accent6" xfId="48"/>
    <cellStyle name="Bad" xfId="18"/>
    <cellStyle name="Calculation" xfId="22"/>
    <cellStyle name="Check Cell" xfId="24"/>
    <cellStyle name="Comma" xfId="4"/>
    <cellStyle name="Comma [0]" xfId="5"/>
    <cellStyle name="Comma 2" xfId="9"/>
    <cellStyle name="Comma 2 2" xfId="71"/>
    <cellStyle name="Comma 2 3" xfId="74"/>
    <cellStyle name="Comma 2 4" xfId="101"/>
    <cellStyle name="Comma 3" xfId="58"/>
    <cellStyle name="Comma 3 2" xfId="69"/>
    <cellStyle name="Comma 4" xfId="92"/>
    <cellStyle name="Comma 5" xfId="98"/>
    <cellStyle name="Comma2" xfId="8"/>
    <cellStyle name="Currency" xfId="2"/>
    <cellStyle name="Currency [0]" xfId="3"/>
    <cellStyle name="Currency 2" xfId="11"/>
    <cellStyle name="Currency 2 2" xfId="66"/>
    <cellStyle name="Currency 2 3" xfId="70"/>
    <cellStyle name="Currency 3" xfId="97"/>
    <cellStyle name="Explanatory Text" xfId="26"/>
    <cellStyle name="Good" xfId="17"/>
    <cellStyle name="Heading 1" xfId="13"/>
    <cellStyle name="Heading 1 2" xfId="67"/>
    <cellStyle name="Heading 1 2 2" xfId="103"/>
    <cellStyle name="Heading 1 3" xfId="93"/>
    <cellStyle name="Heading 2" xfId="14"/>
    <cellStyle name="Heading 2 2" xfId="65"/>
    <cellStyle name="Heading 2 2 2" xfId="104"/>
    <cellStyle name="Heading 2 3" xfId="94"/>
    <cellStyle name="Heading 3" xfId="15"/>
    <cellStyle name="Heading 4" xfId="16"/>
    <cellStyle name="Input" xfId="20"/>
    <cellStyle name="Input0" xfId="56"/>
    <cellStyle name="Input0 2" xfId="95"/>
    <cellStyle name="Linked Cell" xfId="23"/>
    <cellStyle name="Neutral" xfId="19"/>
    <cellStyle name="Normal" xfId="0" builtinId="0"/>
    <cellStyle name="Normal 10" xfId="105"/>
    <cellStyle name="Normal 2" xfId="10"/>
    <cellStyle name="Normal 2 2" xfId="102"/>
    <cellStyle name="Normal 3" xfId="7"/>
    <cellStyle name="Normal 3 2" xfId="68"/>
    <cellStyle name="Normal 3 3" xfId="73"/>
    <cellStyle name="Normal 4" xfId="52"/>
    <cellStyle name="Normal 4 2" xfId="72"/>
    <cellStyle name="Normal 4 3" xfId="87"/>
    <cellStyle name="Normal 5" xfId="54"/>
    <cellStyle name="Normal 5 2" xfId="89"/>
    <cellStyle name="Normal 6" xfId="55"/>
    <cellStyle name="Normal 6 2" xfId="90"/>
    <cellStyle name="Normal 7" xfId="57"/>
    <cellStyle name="Normal 8" xfId="63"/>
    <cellStyle name="Normal 9" xfId="91"/>
    <cellStyle name="Note 2" xfId="53"/>
    <cellStyle name="Note 2 2" xfId="88"/>
    <cellStyle name="Output" xfId="21"/>
    <cellStyle name="Percent" xfId="1"/>
    <cellStyle name="Percent 2" xfId="61"/>
    <cellStyle name="Percent 3" xfId="100"/>
    <cellStyle name="STYLE1" xfId="6"/>
    <cellStyle name="Subtotal" xfId="62"/>
    <cellStyle name="Title" xfId="12"/>
    <cellStyle name="Title 2" xfId="59"/>
    <cellStyle name="Title 2 2" xfId="99"/>
    <cellStyle name="Title 3" xfId="96"/>
    <cellStyle name="Title 4" xfId="60"/>
    <cellStyle name="Total" xfId="27"/>
    <cellStyle name="Total 2" xfId="64"/>
    <cellStyle name="Warning Text" xfId="2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38</xdr:row>
          <xdr:rowOff>0</xdr:rowOff>
        </xdr:from>
        <xdr:to>
          <xdr:col>2</xdr:col>
          <xdr:colOff>2466975</xdr:colOff>
          <xdr:row>39</xdr:row>
          <xdr:rowOff>142875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rojects\Analytical\COS\CO\Tri_State_ATRR_2014\08%20Formula%20Calc\Tri-State%202014%20ATRR%20Formula_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%20Schedules%20ad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st"/>
      <sheetName val="cash"/>
      <sheetName val="bal"/>
      <sheetName val="ratio"/>
      <sheetName val="rev1"/>
      <sheetName val="WP01-Radials (1)"/>
      <sheetName val="WP01-Radials (2)"/>
      <sheetName val="WP01-Radials (3)"/>
      <sheetName val="Cover Page"/>
      <sheetName val="Apx A - Rates"/>
      <sheetName val="Apx E - ATRR - Total"/>
      <sheetName val="Apx F - Loads"/>
      <sheetName val="InputGeneral"/>
      <sheetName val="RUS Form 12"/>
      <sheetName val="RUS Form 12 O&amp;M"/>
      <sheetName val="WP01-Radials"/>
      <sheetName val="WP02-GSUs"/>
      <sheetName val="WP03-Future Use"/>
      <sheetName val="WP04-Deferred Taxes"/>
      <sheetName val="WP05-Tran by Others"/>
      <sheetName val="WP06-A&amp;G Exp"/>
      <sheetName val="WP07-Labor"/>
      <sheetName val="WP08-Taxes"/>
      <sheetName val="WP09-Lease"/>
      <sheetName val="WP10-Other Opr Rev"/>
      <sheetName val="WP11-Contributions"/>
      <sheetName val="WP12-Load"/>
      <sheetName val="WP13-QualSubs"/>
      <sheetName val="WP14-QualLines"/>
      <sheetName val="WP15-RTO ISO"/>
      <sheetName val="SPP Ordered P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5">
          <cell r="L335" t="str">
            <v>CM</v>
          </cell>
          <cell r="M335">
            <v>0</v>
          </cell>
          <cell r="N335">
            <v>1</v>
          </cell>
          <cell r="O335">
            <v>0</v>
          </cell>
          <cell r="P335">
            <v>0.9529529529529529</v>
          </cell>
          <cell r="Q335">
            <v>4.7047047047047048E-2</v>
          </cell>
        </row>
        <row r="336">
          <cell r="L336" t="str">
            <v>DA</v>
          </cell>
          <cell r="M336">
            <v>0</v>
          </cell>
          <cell r="N336">
            <v>1</v>
          </cell>
          <cell r="O336">
            <v>0</v>
          </cell>
          <cell r="P336">
            <v>0</v>
          </cell>
          <cell r="Q336">
            <v>0</v>
          </cell>
        </row>
        <row r="337">
          <cell r="L337" t="str">
            <v>DAe</v>
          </cell>
          <cell r="M337">
            <v>0</v>
          </cell>
          <cell r="N337">
            <v>1</v>
          </cell>
          <cell r="O337">
            <v>0</v>
          </cell>
          <cell r="P337">
            <v>0</v>
          </cell>
          <cell r="Q337">
            <v>1</v>
          </cell>
        </row>
        <row r="338">
          <cell r="L338" t="str">
            <v>DAw</v>
          </cell>
          <cell r="M338">
            <v>0</v>
          </cell>
          <cell r="N338">
            <v>1</v>
          </cell>
          <cell r="O338">
            <v>0</v>
          </cell>
          <cell r="P338">
            <v>1</v>
          </cell>
          <cell r="Q338">
            <v>0</v>
          </cell>
        </row>
        <row r="339">
          <cell r="L339" t="str">
            <v>GP</v>
          </cell>
          <cell r="M339">
            <v>0</v>
          </cell>
          <cell r="N339">
            <v>0.25753561227666028</v>
          </cell>
          <cell r="O339">
            <v>0</v>
          </cell>
          <cell r="P339">
            <v>0.245373769007241</v>
          </cell>
          <cell r="Q339">
            <v>1.2161843269419227E-2</v>
          </cell>
        </row>
        <row r="340">
          <cell r="L340" t="str">
            <v>NA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L341" t="str">
            <v>NP</v>
          </cell>
          <cell r="M341">
            <v>0</v>
          </cell>
          <cell r="N341">
            <v>0.27689926643915863</v>
          </cell>
          <cell r="O341">
            <v>0</v>
          </cell>
          <cell r="P341">
            <v>0.2657106823172995</v>
          </cell>
          <cell r="Q341">
            <v>1.1188584121859031E-2</v>
          </cell>
        </row>
        <row r="342">
          <cell r="L342" t="str">
            <v>PH</v>
          </cell>
          <cell r="M342">
            <v>0</v>
          </cell>
          <cell r="N342">
            <v>1</v>
          </cell>
          <cell r="O342">
            <v>0</v>
          </cell>
          <cell r="P342">
            <v>1</v>
          </cell>
          <cell r="Q342">
            <v>0</v>
          </cell>
        </row>
        <row r="343">
          <cell r="L343" t="str">
            <v>TDl</v>
          </cell>
          <cell r="M343">
            <v>0</v>
          </cell>
          <cell r="N343">
            <v>0.78207280831008896</v>
          </cell>
          <cell r="O343">
            <v>0</v>
          </cell>
          <cell r="P343">
            <v>0.75074431829883082</v>
          </cell>
          <cell r="Q343">
            <v>3.1328490011258196E-2</v>
          </cell>
        </row>
        <row r="344">
          <cell r="L344" t="str">
            <v>TDs</v>
          </cell>
          <cell r="M344">
            <v>0</v>
          </cell>
          <cell r="N344">
            <v>0.7789949582184581</v>
          </cell>
          <cell r="O344">
            <v>0</v>
          </cell>
          <cell r="P344">
            <v>0.75074431829883082</v>
          </cell>
          <cell r="Q344">
            <v>2.8250639919627382E-2</v>
          </cell>
        </row>
        <row r="345">
          <cell r="L345" t="str">
            <v>TIe</v>
          </cell>
          <cell r="M345">
            <v>0</v>
          </cell>
          <cell r="N345">
            <v>1</v>
          </cell>
          <cell r="O345">
            <v>0</v>
          </cell>
          <cell r="P345">
            <v>0</v>
          </cell>
          <cell r="Q345">
            <v>1</v>
          </cell>
        </row>
        <row r="346">
          <cell r="L346" t="str">
            <v>TL</v>
          </cell>
          <cell r="M346">
            <v>0</v>
          </cell>
          <cell r="N346">
            <v>0.72887678967966796</v>
          </cell>
          <cell r="O346">
            <v>0</v>
          </cell>
          <cell r="P346">
            <v>0.68690518528893341</v>
          </cell>
          <cell r="Q346">
            <v>4.1971604390734593E-2</v>
          </cell>
        </row>
        <row r="347">
          <cell r="L347" t="str">
            <v>TP</v>
          </cell>
          <cell r="M347">
            <v>0</v>
          </cell>
          <cell r="N347">
            <v>0.78795505202057803</v>
          </cell>
          <cell r="O347">
            <v>0</v>
          </cell>
          <cell r="P347">
            <v>0.7507443182988307</v>
          </cell>
          <cell r="Q347">
            <v>3.7210733721747304E-2</v>
          </cell>
        </row>
        <row r="348">
          <cell r="L348" t="str">
            <v>TR</v>
          </cell>
          <cell r="M348">
            <v>0</v>
          </cell>
          <cell r="N348">
            <v>0.79653012297893744</v>
          </cell>
          <cell r="O348">
            <v>0</v>
          </cell>
          <cell r="P348">
            <v>0.75074431829883082</v>
          </cell>
          <cell r="Q348">
            <v>4.5785804680106665E-2</v>
          </cell>
        </row>
        <row r="349">
          <cell r="L349" t="str">
            <v>TRev</v>
          </cell>
          <cell r="N349">
            <v>1</v>
          </cell>
          <cell r="O349">
            <v>0</v>
          </cell>
          <cell r="P349">
            <v>0.98621949443083146</v>
          </cell>
          <cell r="Q349">
            <v>1.3780505569168501E-2</v>
          </cell>
        </row>
        <row r="350">
          <cell r="L350" t="str">
            <v>TS</v>
          </cell>
          <cell r="M350">
            <v>0</v>
          </cell>
          <cell r="N350">
            <v>0.8387497136577694</v>
          </cell>
          <cell r="O350">
            <v>0</v>
          </cell>
          <cell r="P350">
            <v>0.80563230978608058</v>
          </cell>
          <cell r="Q350">
            <v>3.3117403871688732E-2</v>
          </cell>
        </row>
        <row r="351">
          <cell r="L351" t="str">
            <v>TWheel</v>
          </cell>
          <cell r="M351">
            <v>0</v>
          </cell>
          <cell r="N351">
            <v>1</v>
          </cell>
          <cell r="O351">
            <v>0</v>
          </cell>
          <cell r="P351">
            <v>1</v>
          </cell>
          <cell r="Q351">
            <v>0</v>
          </cell>
        </row>
        <row r="352">
          <cell r="L352" t="str">
            <v>W/S</v>
          </cell>
          <cell r="M352">
            <v>0</v>
          </cell>
          <cell r="N352">
            <v>0.33892389147331053</v>
          </cell>
          <cell r="O352">
            <v>0</v>
          </cell>
          <cell r="P352">
            <v>0.32291932845102694</v>
          </cell>
          <cell r="Q352">
            <v>1.6004563022283588E-2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"/>
      <sheetName val="B2"/>
      <sheetName val="B3"/>
      <sheetName val="B-6"/>
      <sheetName val="Trans Rpt"/>
      <sheetName val="BPS Rpt"/>
      <sheetName val="Elect rpt "/>
      <sheetName val="Electric 1000"/>
      <sheetName val="BPS 1000 "/>
      <sheetName val="Trans 1000"/>
      <sheetName val="Co 34 1000"/>
      <sheetName val="Co 35-1000"/>
      <sheetName val="BPS Afton"/>
      <sheetName val="BPS Algodones"/>
      <sheetName val="BPS Four Corners"/>
      <sheetName val="BPS General"/>
      <sheetName val="BPS Las Vegas"/>
      <sheetName val="BPS Lordsburg"/>
      <sheetName val="BPS Luna"/>
      <sheetName val="BPS Palo Verde Tot"/>
      <sheetName val="BPS Reeves"/>
      <sheetName val="BPS SJ"/>
      <sheetName val="CK BPS station"/>
      <sheetName val="Energy Del"/>
      <sheetName val="PNMR Services"/>
      <sheetName val="PNMR Inc"/>
      <sheetName val="Co J"/>
      <sheetName val="PNMR Dev and Mgmnt"/>
      <sheetName val="106001"/>
      <sheetName val="GL"/>
      <sheetName val="ALLOC FAC"/>
      <sheetName val="AlloctoElec Co6,7,8,J only"/>
      <sheetName val="Allocation to Co 34 and 35 "/>
      <sheetName val="ck tot all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2">
          <cell r="N22">
            <v>0.44700000000000001</v>
          </cell>
        </row>
        <row r="23">
          <cell r="N23">
            <v>0.4698</v>
          </cell>
        </row>
        <row r="24">
          <cell r="N24">
            <v>0</v>
          </cell>
        </row>
        <row r="30">
          <cell r="N30">
            <v>0.46669999999999995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L39"/>
  <sheetViews>
    <sheetView tabSelected="1" workbookViewId="0"/>
  </sheetViews>
  <sheetFormatPr defaultColWidth="9.25" defaultRowHeight="14.25"/>
  <cols>
    <col min="1" max="1" width="9.25" style="2"/>
    <col min="2" max="2" width="23.25" style="2" customWidth="1"/>
    <col min="3" max="3" width="53.625" style="2" customWidth="1"/>
    <col min="4" max="16384" width="9.25" style="2"/>
  </cols>
  <sheetData>
    <row r="1" spans="1:12">
      <c r="A1" s="13"/>
      <c r="B1" s="13"/>
      <c r="C1" s="13"/>
      <c r="D1" s="93" t="s">
        <v>569</v>
      </c>
      <c r="F1" s="3" t="s">
        <v>18</v>
      </c>
      <c r="G1" s="4"/>
    </row>
    <row r="2" spans="1:12">
      <c r="A2" s="13"/>
      <c r="B2" s="13"/>
      <c r="C2" s="13"/>
      <c r="D2" s="70" t="s">
        <v>467</v>
      </c>
      <c r="G2" s="4"/>
    </row>
    <row r="3" spans="1:12" ht="15">
      <c r="A3" s="13"/>
      <c r="B3" s="13"/>
      <c r="C3" s="5" t="s">
        <v>18</v>
      </c>
      <c r="D3" s="13"/>
      <c r="L3" s="4"/>
    </row>
    <row r="4" spans="1:12" ht="20.25">
      <c r="A4" s="13"/>
      <c r="B4" s="102" t="s">
        <v>199</v>
      </c>
      <c r="C4" s="13"/>
      <c r="D4" s="13"/>
    </row>
    <row r="5" spans="1:12">
      <c r="A5" s="13"/>
      <c r="B5" s="13"/>
      <c r="C5" s="13"/>
      <c r="D5" s="13"/>
      <c r="F5" s="2" t="s">
        <v>18</v>
      </c>
    </row>
    <row r="6" spans="1:12" ht="15">
      <c r="A6" s="13"/>
      <c r="B6" s="6" t="s">
        <v>36</v>
      </c>
      <c r="C6" s="13"/>
      <c r="D6" s="13"/>
    </row>
    <row r="7" spans="1:12" ht="15.75">
      <c r="A7" s="13"/>
      <c r="B7" s="101" t="s">
        <v>574</v>
      </c>
      <c r="C7" s="13"/>
      <c r="F7" s="7"/>
    </row>
    <row r="8" spans="1:12">
      <c r="A8" s="68" t="s">
        <v>376</v>
      </c>
      <c r="B8" s="13"/>
      <c r="C8" s="13"/>
      <c r="D8" s="68"/>
      <c r="F8" s="3"/>
    </row>
    <row r="9" spans="1:12">
      <c r="A9" s="13">
        <v>1</v>
      </c>
      <c r="B9" s="69" t="s">
        <v>35</v>
      </c>
      <c r="C9" s="13" t="str">
        <f>' Summary Page'!B7</f>
        <v>Summary of Total ATRR Revenue Requirement</v>
      </c>
      <c r="D9" s="68"/>
      <c r="F9" s="3"/>
    </row>
    <row r="10" spans="1:12">
      <c r="A10" s="13">
        <f t="shared" ref="A10:A17" si="0">A9+1</f>
        <v>2</v>
      </c>
      <c r="B10" s="69" t="str">
        <f>'Worksheet A, Rate Base'!$J$3</f>
        <v>Worksheet A</v>
      </c>
      <c r="C10" s="13" t="str">
        <f>'Worksheet A, Rate Base'!B7</f>
        <v>Calculation of Rate Base</v>
      </c>
      <c r="D10" s="68"/>
      <c r="F10" s="3"/>
    </row>
    <row r="11" spans="1:12">
      <c r="A11" s="13">
        <f t="shared" si="0"/>
        <v>3</v>
      </c>
      <c r="B11" s="69" t="str">
        <f>'Worksheet B Expenses'!I3</f>
        <v>Worksheet B</v>
      </c>
      <c r="C11" s="8" t="str">
        <f>'Worksheet B Expenses'!B7</f>
        <v>O&amp;M, Depreciation, and Return Expenses</v>
      </c>
      <c r="D11" s="68"/>
      <c r="F11" s="3"/>
    </row>
    <row r="12" spans="1:12">
      <c r="A12" s="13">
        <f t="shared" si="0"/>
        <v>4</v>
      </c>
      <c r="B12" s="69" t="str">
        <f>'Worksheet C, Return'!J3</f>
        <v>Worksheet C</v>
      </c>
      <c r="C12" s="13" t="str">
        <f>'Worksheet C, Return'!B7</f>
        <v>Capital Structure, Rate of Return and Target Return</v>
      </c>
      <c r="D12" s="68"/>
      <c r="F12" s="3"/>
    </row>
    <row r="13" spans="1:12">
      <c r="A13" s="13">
        <f t="shared" si="0"/>
        <v>5</v>
      </c>
      <c r="B13" s="69" t="str">
        <f>'Worksheet D, Load'!F3</f>
        <v>Worksheet D</v>
      </c>
      <c r="C13" s="13" t="str">
        <f>'Worksheet D, Load'!B7</f>
        <v>Load</v>
      </c>
      <c r="D13" s="68"/>
      <c r="F13" s="3"/>
    </row>
    <row r="14" spans="1:12">
      <c r="A14" s="13">
        <f t="shared" si="0"/>
        <v>6</v>
      </c>
      <c r="B14" s="69" t="str">
        <f>'Worksheet E, Alloc. Factor'!F3</f>
        <v>Worksheet E</v>
      </c>
      <c r="C14" s="13" t="str">
        <f>'Worksheet E, Alloc. Factor'!B7</f>
        <v>Allocation Factors</v>
      </c>
      <c r="D14" s="68"/>
      <c r="F14" s="3"/>
    </row>
    <row r="15" spans="1:12">
      <c r="A15" s="13">
        <f t="shared" si="0"/>
        <v>7</v>
      </c>
      <c r="B15" s="69" t="str">
        <f>'Worksheet F, Inputs'!F3</f>
        <v>Worksheet F</v>
      </c>
      <c r="C15" s="13" t="str">
        <f>'Worksheet F, Inputs'!B7</f>
        <v>General INPUT SECTION</v>
      </c>
      <c r="D15" s="68"/>
      <c r="F15" s="3"/>
    </row>
    <row r="16" spans="1:12">
      <c r="A16" s="13">
        <f t="shared" si="0"/>
        <v>8</v>
      </c>
      <c r="B16" s="69" t="str">
        <f>'Worksheet G O&amp;M Input'!F3</f>
        <v>Worksheet G</v>
      </c>
      <c r="C16" s="13" t="s">
        <v>191</v>
      </c>
      <c r="D16" s="68"/>
      <c r="F16" s="3"/>
    </row>
    <row r="17" spans="1:6">
      <c r="A17" s="13">
        <f t="shared" si="0"/>
        <v>9</v>
      </c>
      <c r="B17" s="2" t="str">
        <f>'Worksheet H SPP Upgrade Project'!O3</f>
        <v>Worksheet H</v>
      </c>
      <c r="C17" s="2" t="str">
        <f>'Worksheet H SPP Upgrade Project'!B7</f>
        <v>SPP Upgrade Projects</v>
      </c>
    </row>
    <row r="19" spans="1:6">
      <c r="D19" s="68"/>
      <c r="F19" s="3"/>
    </row>
    <row r="20" spans="1:6">
      <c r="D20" s="68"/>
      <c r="F20" s="3"/>
    </row>
    <row r="21" spans="1:6">
      <c r="D21" s="68"/>
      <c r="F21" s="3"/>
    </row>
    <row r="22" spans="1:6">
      <c r="D22" s="68"/>
    </row>
    <row r="23" spans="1:6">
      <c r="D23" s="68"/>
    </row>
    <row r="24" spans="1:6">
      <c r="D24" s="68"/>
    </row>
    <row r="25" spans="1:6">
      <c r="D25" s="68"/>
    </row>
    <row r="26" spans="1:6">
      <c r="D26" s="68"/>
    </row>
    <row r="27" spans="1:6">
      <c r="D27" s="68"/>
    </row>
    <row r="28" spans="1:6">
      <c r="D28" s="68"/>
    </row>
    <row r="29" spans="1:6">
      <c r="D29" s="68"/>
    </row>
    <row r="30" spans="1:6">
      <c r="D30" s="68"/>
    </row>
    <row r="32" spans="1:6">
      <c r="A32" s="13"/>
    </row>
    <row r="33" spans="1:4">
      <c r="A33" s="13"/>
      <c r="B33" s="13"/>
    </row>
    <row r="34" spans="1:4">
      <c r="A34" s="13"/>
      <c r="B34" s="85"/>
    </row>
    <row r="35" spans="1:4">
      <c r="A35" s="13"/>
    </row>
    <row r="36" spans="1:4">
      <c r="A36" s="13"/>
    </row>
    <row r="37" spans="1:4">
      <c r="A37" s="13"/>
    </row>
    <row r="39" spans="1:4">
      <c r="D39" s="13" t="str">
        <f>"Total "</f>
        <v xml:space="preserve">Total </v>
      </c>
    </row>
  </sheetData>
  <pageMargins left="0.7" right="0.7" top="0.75" bottom="0.75" header="0.3" footer="0.3"/>
  <pageSetup firstPageNumber="0" fitToHeight="0" orientation="landscape" useFirstPageNumber="1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2</xdr:col>
                <xdr:colOff>142875</xdr:colOff>
                <xdr:row>38</xdr:row>
                <xdr:rowOff>0</xdr:rowOff>
              </from>
              <to>
                <xdr:col>2</xdr:col>
                <xdr:colOff>2466975</xdr:colOff>
                <xdr:row>39</xdr:row>
                <xdr:rowOff>142875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7"/>
  <sheetViews>
    <sheetView workbookViewId="0">
      <selection activeCell="J33" sqref="J33"/>
    </sheetView>
  </sheetViews>
  <sheetFormatPr defaultColWidth="9" defaultRowHeight="14.25"/>
  <cols>
    <col min="1" max="16384" width="9" style="10"/>
  </cols>
  <sheetData>
    <row r="1" spans="1:15">
      <c r="O1" s="288" t="str">
        <f>Index!D1</f>
        <v>Exhibit No. SPP-12</v>
      </c>
    </row>
    <row r="2" spans="1:15">
      <c r="O2" s="280" t="s">
        <v>370</v>
      </c>
    </row>
    <row r="3" spans="1:15">
      <c r="O3" s="280" t="s">
        <v>547</v>
      </c>
    </row>
    <row r="5" spans="1:15" ht="21">
      <c r="B5" s="114" t="str">
        <f>Index!B4</f>
        <v>Tri-State Generation and Transmission Association, Inc.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5" ht="15">
      <c r="B6" s="287"/>
      <c r="C6" s="284"/>
      <c r="D6" s="284"/>
      <c r="E6" s="339"/>
      <c r="F6" s="339"/>
      <c r="G6" s="11"/>
      <c r="H6" s="11"/>
      <c r="I6" s="11"/>
      <c r="J6" s="11"/>
      <c r="K6" s="11"/>
      <c r="L6" s="11"/>
      <c r="M6" s="11"/>
      <c r="N6" s="11"/>
    </row>
    <row r="7" spans="1:15" ht="15.75">
      <c r="B7" s="286" t="s">
        <v>546</v>
      </c>
      <c r="C7" s="285"/>
      <c r="D7" s="285"/>
      <c r="E7" s="283"/>
      <c r="F7" s="283"/>
      <c r="G7" s="11"/>
      <c r="H7" s="11"/>
      <c r="I7" s="11"/>
      <c r="J7" s="11"/>
      <c r="K7" s="11"/>
      <c r="L7" s="11"/>
      <c r="M7" s="11"/>
      <c r="N7" s="11"/>
    </row>
    <row r="8" spans="1:15" ht="15.75">
      <c r="B8" s="112" t="str">
        <f>Index!B7</f>
        <v>Year Ending December 31, 2016</v>
      </c>
      <c r="C8" s="284"/>
      <c r="D8" s="284"/>
      <c r="E8" s="283"/>
      <c r="F8" s="283"/>
      <c r="G8" s="11"/>
      <c r="H8" s="11"/>
      <c r="I8" s="11"/>
      <c r="J8" s="11"/>
      <c r="K8" s="11"/>
      <c r="L8" s="11"/>
      <c r="M8" s="11"/>
      <c r="N8" s="11"/>
    </row>
    <row r="9" spans="1: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5" ht="15">
      <c r="A10" s="282" t="s">
        <v>20</v>
      </c>
      <c r="B10" s="282" t="s">
        <v>21</v>
      </c>
      <c r="C10" s="282" t="s">
        <v>22</v>
      </c>
      <c r="D10" s="282" t="s">
        <v>23</v>
      </c>
      <c r="E10" s="282" t="s">
        <v>24</v>
      </c>
      <c r="F10" s="282" t="s">
        <v>25</v>
      </c>
      <c r="G10" s="282" t="s">
        <v>26</v>
      </c>
      <c r="H10" s="282" t="s">
        <v>27</v>
      </c>
      <c r="I10" s="282" t="s">
        <v>151</v>
      </c>
      <c r="J10" s="282" t="s">
        <v>152</v>
      </c>
      <c r="K10" s="282" t="s">
        <v>545</v>
      </c>
      <c r="L10" s="282" t="s">
        <v>544</v>
      </c>
      <c r="M10" s="282" t="s">
        <v>543</v>
      </c>
      <c r="N10" s="282" t="s">
        <v>542</v>
      </c>
      <c r="O10" s="282" t="s">
        <v>541</v>
      </c>
    </row>
    <row r="11" spans="1:15">
      <c r="A11" s="281" t="s">
        <v>19</v>
      </c>
    </row>
    <row r="12" spans="1:15">
      <c r="A12" s="280">
        <v>1</v>
      </c>
    </row>
    <row r="13" spans="1:15">
      <c r="A13" s="280">
        <f t="shared" ref="A13:A44" si="0">A12+1</f>
        <v>2</v>
      </c>
    </row>
    <row r="14" spans="1:15">
      <c r="A14" s="280">
        <f t="shared" si="0"/>
        <v>3</v>
      </c>
    </row>
    <row r="15" spans="1:15">
      <c r="A15" s="280">
        <f t="shared" si="0"/>
        <v>4</v>
      </c>
    </row>
    <row r="16" spans="1:15">
      <c r="A16" s="280">
        <f t="shared" si="0"/>
        <v>5</v>
      </c>
    </row>
    <row r="17" spans="1:1">
      <c r="A17" s="280">
        <f t="shared" si="0"/>
        <v>6</v>
      </c>
    </row>
    <row r="18" spans="1:1">
      <c r="A18" s="280">
        <f t="shared" si="0"/>
        <v>7</v>
      </c>
    </row>
    <row r="19" spans="1:1">
      <c r="A19" s="280">
        <f t="shared" si="0"/>
        <v>8</v>
      </c>
    </row>
    <row r="20" spans="1:1">
      <c r="A20" s="280">
        <f t="shared" si="0"/>
        <v>9</v>
      </c>
    </row>
    <row r="21" spans="1:1">
      <c r="A21" s="280">
        <f t="shared" si="0"/>
        <v>10</v>
      </c>
    </row>
    <row r="22" spans="1:1">
      <c r="A22" s="280">
        <f t="shared" si="0"/>
        <v>11</v>
      </c>
    </row>
    <row r="23" spans="1:1">
      <c r="A23" s="280">
        <f t="shared" si="0"/>
        <v>12</v>
      </c>
    </row>
    <row r="24" spans="1:1">
      <c r="A24" s="280">
        <f t="shared" si="0"/>
        <v>13</v>
      </c>
    </row>
    <row r="25" spans="1:1">
      <c r="A25" s="280">
        <f t="shared" si="0"/>
        <v>14</v>
      </c>
    </row>
    <row r="26" spans="1:1">
      <c r="A26" s="280">
        <f t="shared" si="0"/>
        <v>15</v>
      </c>
    </row>
    <row r="27" spans="1:1">
      <c r="A27" s="280">
        <f t="shared" si="0"/>
        <v>16</v>
      </c>
    </row>
    <row r="28" spans="1:1">
      <c r="A28" s="280">
        <f t="shared" si="0"/>
        <v>17</v>
      </c>
    </row>
    <row r="29" spans="1:1">
      <c r="A29" s="280">
        <f t="shared" si="0"/>
        <v>18</v>
      </c>
    </row>
    <row r="30" spans="1:1">
      <c r="A30" s="280">
        <f t="shared" si="0"/>
        <v>19</v>
      </c>
    </row>
    <row r="31" spans="1:1">
      <c r="A31" s="280">
        <f t="shared" si="0"/>
        <v>20</v>
      </c>
    </row>
    <row r="32" spans="1:1">
      <c r="A32" s="280">
        <f t="shared" si="0"/>
        <v>21</v>
      </c>
    </row>
    <row r="33" spans="1:15">
      <c r="A33" s="280">
        <f t="shared" si="0"/>
        <v>22</v>
      </c>
    </row>
    <row r="34" spans="1:15">
      <c r="A34" s="280">
        <f t="shared" si="0"/>
        <v>23</v>
      </c>
    </row>
    <row r="35" spans="1:15">
      <c r="A35" s="280">
        <f t="shared" si="0"/>
        <v>24</v>
      </c>
    </row>
    <row r="36" spans="1:15">
      <c r="A36" s="280">
        <f t="shared" si="0"/>
        <v>25</v>
      </c>
    </row>
    <row r="37" spans="1:15">
      <c r="A37" s="280">
        <f t="shared" si="0"/>
        <v>26</v>
      </c>
    </row>
    <row r="38" spans="1:15">
      <c r="A38" s="280">
        <f t="shared" si="0"/>
        <v>27</v>
      </c>
    </row>
    <row r="39" spans="1:15">
      <c r="A39" s="280">
        <f t="shared" si="0"/>
        <v>28</v>
      </c>
    </row>
    <row r="40" spans="1:15">
      <c r="A40" s="280">
        <f t="shared" si="0"/>
        <v>29</v>
      </c>
    </row>
    <row r="41" spans="1:15">
      <c r="A41" s="280">
        <f t="shared" si="0"/>
        <v>30</v>
      </c>
    </row>
    <row r="42" spans="1:15">
      <c r="A42" s="280">
        <f t="shared" si="0"/>
        <v>31</v>
      </c>
    </row>
    <row r="43" spans="1:15">
      <c r="A43" s="280">
        <f t="shared" si="0"/>
        <v>32</v>
      </c>
    </row>
    <row r="44" spans="1:15">
      <c r="A44" s="280">
        <f t="shared" si="0"/>
        <v>33</v>
      </c>
      <c r="B44" s="10" t="s">
        <v>2</v>
      </c>
      <c r="O44" s="11"/>
    </row>
    <row r="45" spans="1:15">
      <c r="A45" s="280"/>
    </row>
    <row r="46" spans="1:15">
      <c r="A46" s="278">
        <f>A44+1</f>
        <v>34</v>
      </c>
      <c r="B46" s="279" t="s">
        <v>33</v>
      </c>
    </row>
    <row r="47" spans="1:15">
      <c r="A47" s="278">
        <f>A46+1</f>
        <v>35</v>
      </c>
      <c r="B47" s="277" t="s">
        <v>540</v>
      </c>
    </row>
  </sheetData>
  <mergeCells count="1">
    <mergeCell ref="E6:F6"/>
  </mergeCells>
  <printOptions horizontalCentered="1"/>
  <pageMargins left="0.7" right="0.7" top="0.75" bottom="0.75" header="0.3" footer="0.3"/>
  <pageSetup scale="77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L32"/>
  <sheetViews>
    <sheetView topLeftCell="E13" workbookViewId="0">
      <selection activeCell="J26" sqref="J26"/>
    </sheetView>
  </sheetViews>
  <sheetFormatPr defaultColWidth="9.25" defaultRowHeight="14.25"/>
  <cols>
    <col min="1" max="1" width="5.625" style="13" customWidth="1"/>
    <col min="2" max="2" width="12.125" style="13" customWidth="1"/>
    <col min="3" max="3" width="43.625" style="13" customWidth="1"/>
    <col min="4" max="4" width="28.375" style="13" customWidth="1"/>
    <col min="5" max="5" width="15.625" style="13" customWidth="1"/>
    <col min="6" max="6" width="11.875" style="13" customWidth="1"/>
    <col min="7" max="9" width="15.625" style="13" customWidth="1"/>
    <col min="10" max="10" width="20.875" style="13" customWidth="1"/>
    <col min="11" max="11" width="9.25" style="13"/>
    <col min="12" max="12" width="9.625" style="13" bestFit="1" customWidth="1"/>
    <col min="13" max="16384" width="9.25" style="13"/>
  </cols>
  <sheetData>
    <row r="1" spans="1:10" ht="15">
      <c r="J1" s="225" t="str">
        <f>Index!$D$1</f>
        <v>Exhibit No. SPP-12</v>
      </c>
    </row>
    <row r="2" spans="1:10" ht="15">
      <c r="J2" s="225" t="s">
        <v>375</v>
      </c>
    </row>
    <row r="3" spans="1:10" ht="15">
      <c r="J3" s="225" t="s">
        <v>35</v>
      </c>
    </row>
    <row r="5" spans="1:10" ht="21">
      <c r="B5" s="103" t="str">
        <f>Index!B4</f>
        <v>Tri-State Generation and Transmission Association, Inc.</v>
      </c>
    </row>
    <row r="6" spans="1:10">
      <c r="J6" s="13" t="s">
        <v>18</v>
      </c>
    </row>
    <row r="7" spans="1:10" ht="15.75">
      <c r="B7" s="104" t="s">
        <v>190</v>
      </c>
    </row>
    <row r="8" spans="1:10" ht="15.75">
      <c r="B8" s="109" t="str">
        <f>Index!$B$7</f>
        <v>Year Ending December 31, 2016</v>
      </c>
    </row>
    <row r="10" spans="1:10" ht="15">
      <c r="A10" s="5" t="s">
        <v>20</v>
      </c>
      <c r="B10" s="5"/>
      <c r="C10" s="5" t="s">
        <v>21</v>
      </c>
      <c r="D10" s="5" t="s">
        <v>22</v>
      </c>
      <c r="E10" s="5" t="s">
        <v>23</v>
      </c>
      <c r="F10" s="5" t="s">
        <v>24</v>
      </c>
      <c r="G10" s="5" t="s">
        <v>25</v>
      </c>
      <c r="H10" s="5" t="s">
        <v>26</v>
      </c>
      <c r="I10" s="5" t="s">
        <v>27</v>
      </c>
      <c r="J10" s="5" t="s">
        <v>151</v>
      </c>
    </row>
    <row r="11" spans="1:10" ht="42.75" customHeight="1">
      <c r="A11" s="58" t="s">
        <v>19</v>
      </c>
      <c r="B11" s="58" t="s">
        <v>31</v>
      </c>
      <c r="C11" s="58" t="s">
        <v>0</v>
      </c>
      <c r="D11" s="58" t="s">
        <v>1</v>
      </c>
      <c r="E11" s="58" t="s">
        <v>4</v>
      </c>
      <c r="F11" s="58" t="s">
        <v>140</v>
      </c>
      <c r="G11" s="58" t="s">
        <v>141</v>
      </c>
      <c r="H11" s="58" t="s">
        <v>5</v>
      </c>
      <c r="I11" s="58" t="s">
        <v>28</v>
      </c>
      <c r="J11" s="58" t="s">
        <v>8</v>
      </c>
    </row>
    <row r="12" spans="1:10">
      <c r="A12" s="89"/>
      <c r="B12" s="89"/>
      <c r="C12" s="89"/>
      <c r="D12" s="89"/>
      <c r="E12" s="89"/>
      <c r="F12" s="89"/>
      <c r="G12" s="89"/>
      <c r="H12" s="89"/>
      <c r="I12" s="89"/>
    </row>
    <row r="13" spans="1:10" ht="15.75">
      <c r="A13" s="172">
        <v>1</v>
      </c>
      <c r="B13" s="172"/>
      <c r="C13" s="173" t="s">
        <v>160</v>
      </c>
      <c r="D13" s="119"/>
      <c r="E13" s="119"/>
      <c r="F13" s="119"/>
      <c r="G13" s="119"/>
      <c r="H13" s="119"/>
      <c r="I13" s="119"/>
      <c r="J13" s="126"/>
    </row>
    <row r="14" spans="1:10" ht="15">
      <c r="A14" s="172">
        <f>A13+1</f>
        <v>2</v>
      </c>
      <c r="B14" s="172"/>
      <c r="C14" s="119" t="s">
        <v>159</v>
      </c>
      <c r="D14" s="119" t="str">
        <f>'Worksheet B Expenses'!I3&amp;" Line "&amp;'Worksheet B Expenses'!A60&amp;", Col "&amp;'Worksheet B Expenses'!I10</f>
        <v>Worksheet B Line 40, Col I</v>
      </c>
      <c r="E14" s="119"/>
      <c r="F14" s="119"/>
      <c r="G14" s="119"/>
      <c r="H14" s="119"/>
      <c r="I14" s="119"/>
      <c r="J14" s="174">
        <f>'Worksheet B Expenses'!I60</f>
        <v>8392586.203493081</v>
      </c>
    </row>
    <row r="15" spans="1:10" ht="15.75">
      <c r="A15" s="172"/>
      <c r="B15" s="172"/>
      <c r="C15" s="173"/>
      <c r="D15" s="119"/>
      <c r="E15" s="119"/>
      <c r="F15" s="119"/>
      <c r="G15" s="119"/>
      <c r="H15" s="119"/>
      <c r="I15" s="119"/>
      <c r="J15" s="174"/>
    </row>
    <row r="16" spans="1:10" ht="15">
      <c r="A16" s="172">
        <f>A14+1</f>
        <v>3</v>
      </c>
      <c r="B16" s="172"/>
      <c r="C16" s="119" t="s">
        <v>154</v>
      </c>
      <c r="D16" s="175"/>
      <c r="E16" s="175"/>
      <c r="F16" s="175"/>
      <c r="G16" s="175"/>
      <c r="H16" s="175"/>
      <c r="I16" s="176"/>
      <c r="J16" s="174"/>
    </row>
    <row r="17" spans="1:12" ht="15">
      <c r="A17" s="172">
        <f>A16+1</f>
        <v>4</v>
      </c>
      <c r="B17" s="177">
        <v>454</v>
      </c>
      <c r="C17" s="178" t="s">
        <v>323</v>
      </c>
      <c r="D17" s="175" t="s">
        <v>555</v>
      </c>
      <c r="E17" s="179">
        <f>'Worksheet F, Inputs'!F47</f>
        <v>3817494.040000001</v>
      </c>
      <c r="F17" s="180"/>
      <c r="G17" s="179">
        <f>SUM(E17:F17)</f>
        <v>3817494.040000001</v>
      </c>
      <c r="H17" s="125" t="s">
        <v>277</v>
      </c>
      <c r="I17" s="181">
        <f>VLOOKUP($H17,AlloFactors,5)</f>
        <v>5.9153988882193502E-3</v>
      </c>
      <c r="J17" s="179">
        <f>G17*I17</f>
        <v>22582</v>
      </c>
    </row>
    <row r="18" spans="1:12" ht="15">
      <c r="A18" s="172">
        <f>A17+1</f>
        <v>5</v>
      </c>
      <c r="B18" s="177">
        <v>456</v>
      </c>
      <c r="C18" s="182" t="s">
        <v>324</v>
      </c>
      <c r="D18" s="175" t="s">
        <v>556</v>
      </c>
      <c r="E18" s="179">
        <f>'Worksheet F, Inputs'!F49</f>
        <v>0</v>
      </c>
      <c r="F18" s="180">
        <v>0</v>
      </c>
      <c r="G18" s="179">
        <f>SUM(E18:F18)</f>
        <v>0</v>
      </c>
      <c r="H18" s="125" t="str">
        <f>'Worksheet E, Alloc. Factor'!$B$29</f>
        <v>T-Tran Plant</v>
      </c>
      <c r="I18" s="181">
        <f>VLOOKUP($H18,AlloFactors,5)</f>
        <v>3.2030604425698279E-2</v>
      </c>
      <c r="J18" s="179">
        <f>G18*I18</f>
        <v>0</v>
      </c>
    </row>
    <row r="19" spans="1:12" ht="15">
      <c r="A19" s="172">
        <f>A18+1</f>
        <v>6</v>
      </c>
      <c r="B19" s="177">
        <v>456</v>
      </c>
      <c r="C19" s="182" t="s">
        <v>379</v>
      </c>
      <c r="D19" s="175" t="s">
        <v>557</v>
      </c>
      <c r="E19" s="179">
        <f>'Worksheet F, Inputs'!F50</f>
        <v>766731.95</v>
      </c>
      <c r="F19" s="180"/>
      <c r="G19" s="179">
        <f>SUM(E19:F19)</f>
        <v>766731.95</v>
      </c>
      <c r="H19" s="125" t="s">
        <v>363</v>
      </c>
      <c r="I19" s="181">
        <f>VLOOKUP($H19,AlloFactors,5)</f>
        <v>1</v>
      </c>
      <c r="J19" s="179">
        <f>G19*I19</f>
        <v>766731.95</v>
      </c>
    </row>
    <row r="20" spans="1:12" ht="15">
      <c r="A20" s="172">
        <f>A19+1</f>
        <v>7</v>
      </c>
      <c r="B20" s="177">
        <v>456</v>
      </c>
      <c r="C20" s="182" t="s">
        <v>322</v>
      </c>
      <c r="D20" s="175" t="s">
        <v>558</v>
      </c>
      <c r="E20" s="179">
        <f>'Worksheet F, Inputs'!F51</f>
        <v>20570461.460000001</v>
      </c>
      <c r="F20" s="180">
        <v>0</v>
      </c>
      <c r="G20" s="179">
        <f>SUM(E20:F20)</f>
        <v>20570461.460000001</v>
      </c>
      <c r="H20" s="183" t="s">
        <v>362</v>
      </c>
      <c r="I20" s="181">
        <f>VLOOKUP($H20,AlloFactors,5)</f>
        <v>0</v>
      </c>
      <c r="J20" s="179">
        <f>G20*I20</f>
        <v>0</v>
      </c>
    </row>
    <row r="21" spans="1:12" ht="15">
      <c r="A21" s="172">
        <f>A20+1</f>
        <v>8</v>
      </c>
      <c r="B21" s="172"/>
      <c r="C21" s="182" t="s">
        <v>154</v>
      </c>
      <c r="D21" s="175" t="s">
        <v>16</v>
      </c>
      <c r="E21" s="184"/>
      <c r="F21" s="184">
        <f>SUM(F17:F20)</f>
        <v>0</v>
      </c>
      <c r="G21" s="184"/>
      <c r="H21" s="175"/>
      <c r="I21" s="176"/>
      <c r="J21" s="174">
        <f>SUM(J17:J20)</f>
        <v>789313.95</v>
      </c>
    </row>
    <row r="22" spans="1:12" ht="15">
      <c r="A22" s="172"/>
      <c r="B22" s="172"/>
      <c r="C22" s="119"/>
      <c r="D22" s="175"/>
      <c r="E22" s="184"/>
      <c r="F22" s="184"/>
      <c r="G22" s="184"/>
      <c r="H22" s="175"/>
      <c r="I22" s="176"/>
      <c r="J22" s="174"/>
    </row>
    <row r="23" spans="1:12" ht="15">
      <c r="A23" s="172">
        <f>+A21+1</f>
        <v>9</v>
      </c>
      <c r="B23" s="172"/>
      <c r="C23" s="119" t="s">
        <v>466</v>
      </c>
      <c r="D23" s="185" t="str">
        <f>"Line "&amp;A14&amp;" - Line "&amp;A21</f>
        <v>Line 2 - Line 8</v>
      </c>
      <c r="E23" s="186"/>
      <c r="F23" s="186"/>
      <c r="G23" s="186"/>
      <c r="H23" s="186"/>
      <c r="I23" s="186"/>
      <c r="J23" s="174">
        <f>SUM(J14,-J21)</f>
        <v>7603272.2534930808</v>
      </c>
    </row>
    <row r="24" spans="1:12" ht="15">
      <c r="A24" s="172">
        <f>A23+1</f>
        <v>10</v>
      </c>
      <c r="B24" s="172"/>
      <c r="C24" s="119" t="s">
        <v>464</v>
      </c>
      <c r="D24" s="185" t="s">
        <v>378</v>
      </c>
      <c r="E24" s="186"/>
      <c r="F24" s="186"/>
      <c r="G24" s="186"/>
      <c r="H24" s="186"/>
      <c r="I24" s="186"/>
      <c r="J24" s="174">
        <v>0</v>
      </c>
    </row>
    <row r="25" spans="1:12" ht="15">
      <c r="A25" s="172">
        <f t="shared" ref="A25:A26" si="0">A24+1</f>
        <v>11</v>
      </c>
      <c r="B25" s="172"/>
      <c r="C25" s="119" t="s">
        <v>198</v>
      </c>
      <c r="D25" s="119" t="s">
        <v>549</v>
      </c>
      <c r="E25" s="186"/>
      <c r="F25" s="186"/>
      <c r="G25" s="186"/>
      <c r="H25" s="186"/>
      <c r="I25" s="186"/>
      <c r="J25" s="174">
        <f>'Worksheet F, Inputs'!F54</f>
        <v>0</v>
      </c>
    </row>
    <row r="26" spans="1:12" ht="18.75" customHeight="1">
      <c r="A26" s="172">
        <f t="shared" si="0"/>
        <v>12</v>
      </c>
      <c r="B26" s="172"/>
      <c r="C26" s="119" t="s">
        <v>468</v>
      </c>
      <c r="D26" s="185" t="str">
        <f>"Sum(Line "&amp;A23&amp;" Thru Line "&amp;A25&amp;")"</f>
        <v>Sum(Line 9 Thru Line 11)</v>
      </c>
      <c r="E26" s="186"/>
      <c r="F26" s="186"/>
      <c r="G26" s="186"/>
      <c r="H26" s="186"/>
      <c r="I26" s="186"/>
      <c r="J26" s="174">
        <f>SUM(J23:J25)</f>
        <v>7603272.2534930808</v>
      </c>
    </row>
    <row r="27" spans="1:12" ht="15">
      <c r="A27" s="187"/>
      <c r="B27" s="187"/>
      <c r="C27" s="126"/>
      <c r="D27" s="126"/>
      <c r="E27" s="126"/>
      <c r="F27" s="126"/>
      <c r="G27" s="126"/>
      <c r="H27" s="126"/>
      <c r="I27" s="126"/>
      <c r="J27" s="124"/>
      <c r="L27" s="305"/>
    </row>
    <row r="28" spans="1:12" ht="15">
      <c r="A28" s="187"/>
      <c r="B28" s="187"/>
      <c r="C28" s="126"/>
      <c r="D28" s="126"/>
      <c r="E28" s="126"/>
      <c r="F28" s="126"/>
      <c r="G28" s="126"/>
      <c r="H28" s="126"/>
      <c r="I28" s="126"/>
      <c r="J28" s="124"/>
    </row>
    <row r="29" spans="1:12" ht="15">
      <c r="A29" s="187"/>
      <c r="B29" s="187"/>
      <c r="C29" s="126"/>
      <c r="D29" s="126"/>
      <c r="E29" s="126"/>
      <c r="F29" s="126"/>
      <c r="G29" s="126"/>
      <c r="H29" s="126"/>
      <c r="I29" s="126"/>
      <c r="J29" s="124"/>
    </row>
    <row r="30" spans="1:12" ht="15">
      <c r="A30" s="187"/>
      <c r="B30" s="187"/>
      <c r="C30" s="126"/>
      <c r="D30" s="126"/>
      <c r="E30" s="126"/>
      <c r="F30" s="126"/>
      <c r="G30" s="126"/>
      <c r="H30" s="126"/>
      <c r="I30" s="126"/>
      <c r="J30" s="124"/>
    </row>
    <row r="31" spans="1:12" ht="15">
      <c r="A31" s="187"/>
      <c r="B31" s="187"/>
      <c r="C31" s="126"/>
      <c r="D31" s="120"/>
      <c r="E31" s="120"/>
      <c r="F31" s="120"/>
      <c r="G31" s="120"/>
      <c r="H31" s="120"/>
      <c r="I31" s="120"/>
      <c r="J31" s="124"/>
    </row>
    <row r="32" spans="1:12" ht="15">
      <c r="A32" s="187"/>
      <c r="B32" s="187"/>
      <c r="C32" s="126"/>
      <c r="D32" s="126"/>
      <c r="E32" s="126"/>
      <c r="F32" s="126"/>
      <c r="G32" s="126"/>
      <c r="H32" s="126"/>
      <c r="I32" s="126"/>
      <c r="J32" s="124"/>
    </row>
  </sheetData>
  <conditionalFormatting sqref="B19:C19 E19:J19">
    <cfRule type="containsErrors" dxfId="1" priority="2">
      <formula>ISERROR(B19)</formula>
    </cfRule>
  </conditionalFormatting>
  <conditionalFormatting sqref="I20">
    <cfRule type="containsErrors" dxfId="0" priority="1">
      <formula>ISERROR(I20)</formula>
    </cfRule>
  </conditionalFormatting>
  <printOptions horizontalCentered="1"/>
  <pageMargins left="0.7" right="0.7" top="0.75" bottom="0.75" header="0.3" footer="0.3"/>
  <pageSetup scale="61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N137"/>
  <sheetViews>
    <sheetView zoomScale="85" zoomScaleNormal="85" workbookViewId="0">
      <selection activeCell="G43" sqref="G43"/>
    </sheetView>
  </sheetViews>
  <sheetFormatPr defaultColWidth="9.25" defaultRowHeight="14.25"/>
  <cols>
    <col min="1" max="1" width="7.25" style="2" customWidth="1"/>
    <col min="2" max="2" width="45.875" style="2" customWidth="1"/>
    <col min="3" max="3" width="34" style="2" customWidth="1"/>
    <col min="4" max="4" width="18.75" style="2" customWidth="1"/>
    <col min="5" max="5" width="18" style="2" customWidth="1"/>
    <col min="6" max="6" width="17.875" style="2" customWidth="1"/>
    <col min="7" max="7" width="17" style="2" customWidth="1"/>
    <col min="8" max="8" width="12.875" style="2" customWidth="1"/>
    <col min="9" max="9" width="7.875" style="2" customWidth="1"/>
    <col min="10" max="10" width="16.75" style="2" customWidth="1"/>
    <col min="11" max="11" width="3.75" style="2" customWidth="1"/>
    <col min="12" max="12" width="13.5" style="2" customWidth="1"/>
    <col min="13" max="13" width="15.625" style="2" customWidth="1"/>
    <col min="14" max="14" width="14.875" style="2" customWidth="1"/>
    <col min="15" max="16384" width="9.25" style="2"/>
  </cols>
  <sheetData>
    <row r="1" spans="1:11" ht="15">
      <c r="J1" s="225" t="str">
        <f>Index!$D$1</f>
        <v>Exhibit No. SPP-12</v>
      </c>
    </row>
    <row r="2" spans="1:11" ht="15">
      <c r="A2" s="13"/>
      <c r="B2" s="13"/>
      <c r="C2" s="13"/>
      <c r="D2" s="13"/>
      <c r="E2" s="13"/>
      <c r="F2" s="13"/>
      <c r="G2" s="13"/>
      <c r="H2" s="13"/>
      <c r="I2" s="13"/>
      <c r="J2" s="225" t="s">
        <v>373</v>
      </c>
    </row>
    <row r="3" spans="1:11" ht="15">
      <c r="A3" s="13"/>
      <c r="B3" s="13"/>
      <c r="C3" s="13"/>
      <c r="D3" s="13"/>
      <c r="E3" s="13"/>
      <c r="F3" s="13"/>
      <c r="G3" s="13"/>
      <c r="H3" s="13"/>
      <c r="I3" s="13"/>
      <c r="J3" s="225" t="s">
        <v>6</v>
      </c>
    </row>
    <row r="4" spans="1:1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1" ht="21">
      <c r="A5" s="13"/>
      <c r="B5" s="103" t="str">
        <f>Index!B4</f>
        <v>Tri-State Generation and Transmission Association, Inc.</v>
      </c>
      <c r="C5" s="13"/>
      <c r="D5" s="13"/>
      <c r="E5" s="13"/>
      <c r="F5" s="13"/>
      <c r="G5" s="13"/>
      <c r="H5" s="13"/>
      <c r="I5" s="13"/>
      <c r="J5" s="13"/>
    </row>
    <row r="6" spans="1:1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1" ht="15.75">
      <c r="A7" s="13"/>
      <c r="B7" s="104" t="s">
        <v>366</v>
      </c>
      <c r="C7" s="13"/>
      <c r="D7" s="13"/>
      <c r="E7" s="13"/>
      <c r="F7" s="13"/>
      <c r="G7" s="13"/>
      <c r="H7" s="13"/>
      <c r="I7" s="13"/>
      <c r="J7" s="13"/>
    </row>
    <row r="8" spans="1:11" ht="15.75">
      <c r="A8" s="13"/>
      <c r="B8" s="104" t="str">
        <f>' Summary Page'!$B$8</f>
        <v>Year Ending December 31, 2016</v>
      </c>
      <c r="C8" s="13"/>
      <c r="D8" s="13"/>
      <c r="E8" s="13"/>
      <c r="F8" s="13"/>
      <c r="G8" s="13"/>
      <c r="H8" s="13"/>
      <c r="I8" s="13"/>
      <c r="J8" s="13"/>
    </row>
    <row r="9" spans="1:1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1" ht="15">
      <c r="A10" s="5" t="s">
        <v>20</v>
      </c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5" t="s">
        <v>26</v>
      </c>
      <c r="H10" s="5" t="s">
        <v>27</v>
      </c>
      <c r="I10" s="5" t="s">
        <v>151</v>
      </c>
      <c r="J10" s="5" t="s">
        <v>152</v>
      </c>
      <c r="K10" s="5"/>
    </row>
    <row r="11" spans="1:11" ht="31.5">
      <c r="A11" s="188" t="s">
        <v>19</v>
      </c>
      <c r="B11" s="188" t="s">
        <v>0</v>
      </c>
      <c r="C11" s="188" t="s">
        <v>1</v>
      </c>
      <c r="D11" s="188" t="s">
        <v>58</v>
      </c>
      <c r="E11" s="188" t="s">
        <v>55</v>
      </c>
      <c r="F11" s="188" t="s">
        <v>4</v>
      </c>
      <c r="G11" s="188" t="s">
        <v>5</v>
      </c>
      <c r="H11" s="188" t="s">
        <v>30</v>
      </c>
      <c r="I11" s="188" t="s">
        <v>33</v>
      </c>
      <c r="J11" s="188" t="s">
        <v>8</v>
      </c>
      <c r="K11" s="189"/>
    </row>
    <row r="12" spans="1:11" ht="15.75">
      <c r="A12" s="190">
        <v>1</v>
      </c>
      <c r="B12" s="191" t="s">
        <v>9</v>
      </c>
      <c r="C12" s="192"/>
      <c r="D12" s="170"/>
      <c r="E12" s="170"/>
      <c r="F12" s="193"/>
      <c r="G12" s="193"/>
      <c r="H12" s="193"/>
      <c r="I12" s="193"/>
      <c r="J12" s="193"/>
      <c r="K12" s="119"/>
    </row>
    <row r="13" spans="1:11" ht="15">
      <c r="A13" s="190">
        <f>A12+1</f>
        <v>2</v>
      </c>
      <c r="B13" s="121" t="s">
        <v>59</v>
      </c>
      <c r="C13" s="127" t="str">
        <f>'Worksheet F, Inputs'!$F$3&amp;" Line "&amp;'Worksheet F, Inputs'!A183&amp;", Columns "&amp;'Worksheet F, Inputs'!$D$10&amp;" thru "&amp;'Worksheet F, Inputs'!$F$10</f>
        <v>Worksheet F Line 142, Columns D thru F</v>
      </c>
      <c r="D13" s="164">
        <f>'Worksheet F, Inputs'!D183</f>
        <v>146790220</v>
      </c>
      <c r="E13" s="164">
        <f>'Worksheet F, Inputs'!E183</f>
        <v>152771585</v>
      </c>
      <c r="F13" s="164">
        <f>'Worksheet F, Inputs'!F183</f>
        <v>149780902.5</v>
      </c>
      <c r="G13" s="183" t="s">
        <v>124</v>
      </c>
      <c r="H13" s="181">
        <f>VLOOKUP($G13,AlloFactors,5)</f>
        <v>1.6684417124725869E-2</v>
      </c>
      <c r="I13" s="194"/>
      <c r="J13" s="179">
        <f>H13*F13</f>
        <v>2499007.0546278958</v>
      </c>
      <c r="K13" s="125"/>
    </row>
    <row r="14" spans="1:11" ht="15">
      <c r="A14" s="190"/>
      <c r="B14" s="121"/>
      <c r="C14" s="127"/>
      <c r="D14" s="164"/>
      <c r="E14" s="164"/>
      <c r="F14" s="164"/>
      <c r="G14" s="183"/>
      <c r="H14" s="181"/>
      <c r="I14" s="194"/>
      <c r="J14" s="179"/>
      <c r="K14" s="125"/>
    </row>
    <row r="15" spans="1:11" ht="15">
      <c r="A15" s="190">
        <f>A13+1</f>
        <v>3</v>
      </c>
      <c r="B15" s="153" t="s">
        <v>306</v>
      </c>
      <c r="C15" s="127" t="str">
        <f>'Worksheet F, Inputs'!$F$3&amp;" Line "&amp;'Worksheet F, Inputs'!A185&amp;", Columns "&amp;'Worksheet F, Inputs'!$D$10&amp;" thru "&amp;'Worksheet F, Inputs'!$F$10</f>
        <v>Worksheet F Line 143, Columns D thru F</v>
      </c>
      <c r="D15" s="164">
        <f>'Worksheet F, Inputs'!D185</f>
        <v>1957914089</v>
      </c>
      <c r="E15" s="164">
        <f>'Worksheet F, Inputs'!E185</f>
        <v>1990832699</v>
      </c>
      <c r="F15" s="164">
        <f>'Worksheet F, Inputs'!F185</f>
        <v>1974373394</v>
      </c>
      <c r="G15" s="183" t="s">
        <v>362</v>
      </c>
      <c r="H15" s="181">
        <f>VLOOKUP($G15,AlloFactors,5)</f>
        <v>0</v>
      </c>
      <c r="I15" s="194"/>
      <c r="J15" s="179">
        <f>H15*F15</f>
        <v>0</v>
      </c>
      <c r="K15" s="125"/>
    </row>
    <row r="16" spans="1:11" ht="15">
      <c r="A16" s="190">
        <f>A15+1</f>
        <v>4</v>
      </c>
      <c r="B16" s="153" t="s">
        <v>307</v>
      </c>
      <c r="C16" s="127" t="str">
        <f>'Worksheet F, Inputs'!$F$3&amp;" Line "&amp;'Worksheet F, Inputs'!A186&amp;", Columns "&amp;'Worksheet F, Inputs'!$D$10&amp;" thru "&amp;'Worksheet F, Inputs'!$F$10</f>
        <v>Worksheet F Line 144, Columns D thru F</v>
      </c>
      <c r="D16" s="164">
        <f>'Worksheet F, Inputs'!D186</f>
        <v>0</v>
      </c>
      <c r="E16" s="164">
        <f>'Worksheet F, Inputs'!E186</f>
        <v>0</v>
      </c>
      <c r="F16" s="164">
        <f>'Worksheet F, Inputs'!F186</f>
        <v>0</v>
      </c>
      <c r="G16" s="183" t="s">
        <v>362</v>
      </c>
      <c r="H16" s="181">
        <f>VLOOKUP($G16,AlloFactors,5)</f>
        <v>0</v>
      </c>
      <c r="I16" s="194"/>
      <c r="J16" s="179">
        <f>H16*F16</f>
        <v>0</v>
      </c>
      <c r="K16" s="125"/>
    </row>
    <row r="17" spans="1:14" ht="15">
      <c r="A17" s="190">
        <f>A16+1</f>
        <v>5</v>
      </c>
      <c r="B17" s="153" t="s">
        <v>308</v>
      </c>
      <c r="C17" s="127" t="str">
        <f>'Worksheet F, Inputs'!$F$3&amp;" Line "&amp;'Worksheet F, Inputs'!A187&amp;", Columns "&amp;'Worksheet F, Inputs'!$D$10&amp;" thru "&amp;'Worksheet F, Inputs'!$F$10</f>
        <v>Worksheet F Line 145, Columns D thru F</v>
      </c>
      <c r="D17" s="164">
        <f>'Worksheet F, Inputs'!D187</f>
        <v>0</v>
      </c>
      <c r="E17" s="164">
        <f>'Worksheet F, Inputs'!E187</f>
        <v>0</v>
      </c>
      <c r="F17" s="164">
        <f>'Worksheet F, Inputs'!F187</f>
        <v>0</v>
      </c>
      <c r="G17" s="183" t="s">
        <v>362</v>
      </c>
      <c r="H17" s="181">
        <f>VLOOKUP($G17,AlloFactors,5)</f>
        <v>0</v>
      </c>
      <c r="I17" s="194"/>
      <c r="J17" s="179">
        <f>H17*F17</f>
        <v>0</v>
      </c>
      <c r="K17" s="125"/>
    </row>
    <row r="18" spans="1:14" ht="15">
      <c r="A18" s="190">
        <f>A17+1</f>
        <v>6</v>
      </c>
      <c r="B18" s="153" t="s">
        <v>309</v>
      </c>
      <c r="C18" s="127" t="str">
        <f>'Worksheet F, Inputs'!$F$3&amp;" Line "&amp;'Worksheet F, Inputs'!A188&amp;", Columns "&amp;'Worksheet F, Inputs'!$D$10&amp;" thru "&amp;'Worksheet F, Inputs'!$F$10</f>
        <v>Worksheet F Line 146, Columns D thru F</v>
      </c>
      <c r="D18" s="164">
        <f>'Worksheet F, Inputs'!D188</f>
        <v>282613405</v>
      </c>
      <c r="E18" s="164">
        <f>'Worksheet F, Inputs'!E188</f>
        <v>282817711</v>
      </c>
      <c r="F18" s="164">
        <f>'Worksheet F, Inputs'!F188</f>
        <v>282715558</v>
      </c>
      <c r="G18" s="183" t="s">
        <v>362</v>
      </c>
      <c r="H18" s="181">
        <f>VLOOKUP($G18,AlloFactors,5)</f>
        <v>0</v>
      </c>
      <c r="I18" s="194"/>
      <c r="J18" s="179">
        <f>H18*F18</f>
        <v>0</v>
      </c>
      <c r="K18" s="125"/>
    </row>
    <row r="19" spans="1:14" ht="15">
      <c r="A19" s="190">
        <f>A18+1</f>
        <v>7</v>
      </c>
      <c r="B19" s="121" t="s">
        <v>60</v>
      </c>
      <c r="C19" s="127" t="s">
        <v>16</v>
      </c>
      <c r="D19" s="164">
        <f>SUM(D15:D18)</f>
        <v>2240527494</v>
      </c>
      <c r="E19" s="164">
        <f>SUM(E15:E18)</f>
        <v>2273650410</v>
      </c>
      <c r="F19" s="164">
        <f>SUM(F15:F18)</f>
        <v>2257088952</v>
      </c>
      <c r="G19" s="183"/>
      <c r="H19" s="181"/>
      <c r="I19" s="194"/>
      <c r="J19" s="164">
        <f>SUM(J15:J18)</f>
        <v>0</v>
      </c>
      <c r="K19" s="125"/>
      <c r="L19" s="59"/>
    </row>
    <row r="20" spans="1:14" ht="15">
      <c r="A20" s="190"/>
      <c r="B20" s="121"/>
      <c r="C20" s="122"/>
      <c r="D20" s="164"/>
      <c r="E20" s="164"/>
      <c r="F20" s="195"/>
      <c r="G20" s="183"/>
      <c r="H20" s="181"/>
      <c r="I20" s="194"/>
      <c r="J20" s="179"/>
      <c r="K20" s="125"/>
      <c r="L20" s="59"/>
    </row>
    <row r="21" spans="1:14" ht="15">
      <c r="A21" s="190">
        <f>A19+1</f>
        <v>8</v>
      </c>
      <c r="B21" s="121" t="s">
        <v>61</v>
      </c>
      <c r="C21" s="127" t="str">
        <f>'Worksheet F, Inputs'!$F$3&amp;" Line "&amp;'Worksheet F, Inputs'!A191&amp;", Columns "&amp;'Worksheet F, Inputs'!$D$10&amp;" thru "&amp;'Worksheet F, Inputs'!$F$10</f>
        <v>Worksheet F Line 148, Columns D thru F</v>
      </c>
      <c r="D21" s="164">
        <f>'Worksheet F, Inputs'!D191</f>
        <v>96521575</v>
      </c>
      <c r="E21" s="164">
        <f>'Worksheet F, Inputs'!E191</f>
        <v>102483522</v>
      </c>
      <c r="F21" s="164">
        <f>'Worksheet F, Inputs'!F191</f>
        <v>99502548.5</v>
      </c>
      <c r="G21" s="183" t="s">
        <v>125</v>
      </c>
      <c r="H21" s="181">
        <f>VLOOKUP($G21,AlloFactors,5)</f>
        <v>2.6965081637855898E-2</v>
      </c>
      <c r="I21" s="194"/>
      <c r="J21" s="179">
        <f>H21*F21</f>
        <v>2683094.3434772161</v>
      </c>
      <c r="K21" s="125"/>
    </row>
    <row r="22" spans="1:14" ht="15">
      <c r="A22" s="190">
        <f t="shared" ref="A22:A73" si="0">A21+1</f>
        <v>9</v>
      </c>
      <c r="B22" s="119" t="s">
        <v>62</v>
      </c>
      <c r="C22" s="127" t="str">
        <f>'Worksheet F, Inputs'!$F$3&amp;" Line "&amp;'Worksheet F, Inputs'!A192&amp;", Columns "&amp;'Worksheet F, Inputs'!$D$10&amp;" thru "&amp;'Worksheet F, Inputs'!$F$10</f>
        <v>Worksheet F Line 149, Columns D thru F</v>
      </c>
      <c r="D22" s="196">
        <f>'Worksheet F, Inputs'!D192</f>
        <v>32221586</v>
      </c>
      <c r="E22" s="196">
        <f>'Worksheet F, Inputs'!E192</f>
        <v>40531406</v>
      </c>
      <c r="F22" s="196">
        <f>'Worksheet F, Inputs'!F192</f>
        <v>36376496</v>
      </c>
      <c r="G22" s="183" t="s">
        <v>125</v>
      </c>
      <c r="H22" s="181">
        <f>VLOOKUP($G22,AlloFactors,5)</f>
        <v>2.6965081637855898E-2</v>
      </c>
      <c r="I22" s="194"/>
      <c r="J22" s="179">
        <f>H22*F22</f>
        <v>980895.18433913856</v>
      </c>
      <c r="K22" s="125"/>
    </row>
    <row r="23" spans="1:14" ht="15">
      <c r="A23" s="190">
        <f t="shared" si="0"/>
        <v>10</v>
      </c>
      <c r="B23" s="119" t="s">
        <v>63</v>
      </c>
      <c r="C23" s="127" t="str">
        <f>'Worksheet F, Inputs'!$F$3&amp;" Line "&amp;'Worksheet F, Inputs'!A193&amp;", Columns "&amp;'Worksheet F, Inputs'!$D$10&amp;" thru "&amp;'Worksheet F, Inputs'!$F$10</f>
        <v>Worksheet F Line 150, Columns D thru F</v>
      </c>
      <c r="D23" s="196">
        <f>'Worksheet F, Inputs'!D193</f>
        <v>443400198</v>
      </c>
      <c r="E23" s="196">
        <f>'Worksheet F, Inputs'!E193</f>
        <v>484306009</v>
      </c>
      <c r="F23" s="196">
        <f>'Worksheet F, Inputs'!F193</f>
        <v>463853103.5</v>
      </c>
      <c r="G23" s="183" t="s">
        <v>125</v>
      </c>
      <c r="H23" s="181">
        <f>VLOOKUP($G23,AlloFactors,5)</f>
        <v>2.6965081637855898E-2</v>
      </c>
      <c r="I23" s="194"/>
      <c r="J23" s="179">
        <f>H23*F23</f>
        <v>12507836.803850321</v>
      </c>
      <c r="K23" s="125"/>
      <c r="L23" s="59"/>
      <c r="M23" s="38"/>
      <c r="N23" s="38"/>
    </row>
    <row r="24" spans="1:14" ht="15">
      <c r="A24" s="190">
        <f t="shared" si="0"/>
        <v>11</v>
      </c>
      <c r="B24" s="121" t="s">
        <v>64</v>
      </c>
      <c r="C24" s="127" t="str">
        <f>'Worksheet F, Inputs'!$F$3&amp;" Line "&amp;'Worksheet F, Inputs'!A194&amp;", Columns "&amp;'Worksheet F, Inputs'!$D$10&amp;" thru "&amp;'Worksheet F, Inputs'!$F$10</f>
        <v>Worksheet F Line 151, Columns D thru F</v>
      </c>
      <c r="D24" s="164">
        <f>'Worksheet F, Inputs'!D194</f>
        <v>456343037</v>
      </c>
      <c r="E24" s="164">
        <f>'Worksheet F, Inputs'!E194</f>
        <v>475537590</v>
      </c>
      <c r="F24" s="164">
        <f>'Worksheet F, Inputs'!F194</f>
        <v>465940313.5</v>
      </c>
      <c r="G24" s="125" t="s">
        <v>244</v>
      </c>
      <c r="H24" s="181">
        <f>VLOOKUP($G24,AlloFactors,5)</f>
        <v>3.8550660266060036E-2</v>
      </c>
      <c r="I24" s="194"/>
      <c r="J24" s="179">
        <f>H24*F24</f>
        <v>17962306.730000008</v>
      </c>
      <c r="K24" s="125"/>
      <c r="L24" s="59"/>
      <c r="M24" s="38"/>
      <c r="N24" s="38"/>
    </row>
    <row r="25" spans="1:14" ht="15">
      <c r="A25" s="190">
        <f t="shared" si="0"/>
        <v>12</v>
      </c>
      <c r="B25" s="121" t="s">
        <v>83</v>
      </c>
      <c r="C25" s="122" t="s">
        <v>165</v>
      </c>
      <c r="D25" s="164">
        <f>SUM(D21:D24)</f>
        <v>1028486396</v>
      </c>
      <c r="E25" s="164">
        <f>SUM(E21:E24)</f>
        <v>1102858527</v>
      </c>
      <c r="F25" s="164">
        <f>SUM(F21:F24)</f>
        <v>1065672461.5</v>
      </c>
      <c r="G25" s="125"/>
      <c r="H25" s="181"/>
      <c r="I25" s="194"/>
      <c r="J25" s="195">
        <f>SUM(J21:J24)</f>
        <v>34134133.061666682</v>
      </c>
      <c r="K25" s="125"/>
      <c r="L25" s="59"/>
      <c r="M25" s="38"/>
      <c r="N25" s="38"/>
    </row>
    <row r="26" spans="1:14" ht="15">
      <c r="A26" s="190"/>
      <c r="B26" s="121"/>
      <c r="C26" s="122"/>
      <c r="D26" s="164"/>
      <c r="E26" s="164"/>
      <c r="F26" s="195"/>
      <c r="G26" s="125"/>
      <c r="H26" s="181"/>
      <c r="I26" s="194"/>
      <c r="J26" s="179"/>
      <c r="K26" s="125"/>
      <c r="L26" s="59"/>
      <c r="M26" s="38"/>
      <c r="N26" s="38"/>
    </row>
    <row r="27" spans="1:14" ht="15">
      <c r="A27" s="190">
        <f>A25+1</f>
        <v>13</v>
      </c>
      <c r="B27" s="153" t="s">
        <v>311</v>
      </c>
      <c r="C27" s="127" t="str">
        <f>'Worksheet F, Inputs'!$F$3&amp;" Line "&amp;'Worksheet F, Inputs'!A197&amp;", Columns "&amp;'Worksheet F, Inputs'!$D$10&amp;" thru "&amp;'Worksheet F, Inputs'!$F$10</f>
        <v>Worksheet F Line 153, Columns D thru F</v>
      </c>
      <c r="D27" s="164">
        <f>'Worksheet F, Inputs'!D197</f>
        <v>1574044</v>
      </c>
      <c r="E27" s="164">
        <f>'Worksheet F, Inputs'!E197</f>
        <v>1563936</v>
      </c>
      <c r="F27" s="195">
        <f>'Worksheet F, Inputs'!F197</f>
        <v>1568990</v>
      </c>
      <c r="G27" s="183" t="s">
        <v>362</v>
      </c>
      <c r="H27" s="181">
        <f>VLOOKUP($G27,AlloFactors,5)</f>
        <v>0</v>
      </c>
      <c r="I27" s="194"/>
      <c r="J27" s="179">
        <f>H27*F27</f>
        <v>0</v>
      </c>
      <c r="K27" s="125"/>
      <c r="L27" s="59"/>
      <c r="M27" s="38"/>
      <c r="N27" s="38"/>
    </row>
    <row r="28" spans="1:14" ht="15">
      <c r="A28" s="190">
        <f>A27+1</f>
        <v>14</v>
      </c>
      <c r="B28" s="153" t="s">
        <v>312</v>
      </c>
      <c r="C28" s="127" t="str">
        <f>'Worksheet F, Inputs'!$F$3&amp;" Line "&amp;'Worksheet F, Inputs'!A198&amp;", Columns "&amp;'Worksheet F, Inputs'!$D$10&amp;" thru "&amp;'Worksheet F, Inputs'!$F$10</f>
        <v>Worksheet F Line 154, Columns D thru F</v>
      </c>
      <c r="D28" s="164">
        <f>'Worksheet F, Inputs'!D198</f>
        <v>9211719</v>
      </c>
      <c r="E28" s="164">
        <f>'Worksheet F, Inputs'!E198</f>
        <v>9314357</v>
      </c>
      <c r="F28" s="195">
        <f>'Worksheet F, Inputs'!F198</f>
        <v>9263038</v>
      </c>
      <c r="G28" s="183" t="s">
        <v>362</v>
      </c>
      <c r="H28" s="181">
        <f>VLOOKUP($G28,AlloFactors,5)</f>
        <v>0</v>
      </c>
      <c r="I28" s="194"/>
      <c r="J28" s="179">
        <f>H28*F28</f>
        <v>0</v>
      </c>
      <c r="K28" s="125"/>
      <c r="L28" s="59"/>
      <c r="M28" s="38"/>
      <c r="N28" s="38"/>
    </row>
    <row r="29" spans="1:14" ht="15">
      <c r="A29" s="190">
        <f t="shared" ref="A29:A31" si="1">A28+1</f>
        <v>15</v>
      </c>
      <c r="B29" s="153" t="s">
        <v>313</v>
      </c>
      <c r="C29" s="127" t="str">
        <f>'Worksheet F, Inputs'!$F$3&amp;" Line "&amp;'Worksheet F, Inputs'!A199&amp;", Columns "&amp;'Worksheet F, Inputs'!$D$10&amp;" thru "&amp;'Worksheet F, Inputs'!$F$10</f>
        <v>Worksheet F Line 155, Columns D thru F</v>
      </c>
      <c r="D29" s="164">
        <f>'Worksheet F, Inputs'!D199</f>
        <v>74064910</v>
      </c>
      <c r="E29" s="164">
        <f>'Worksheet F, Inputs'!E199</f>
        <v>77779574</v>
      </c>
      <c r="F29" s="195">
        <f>'Worksheet F, Inputs'!F199</f>
        <v>75922242</v>
      </c>
      <c r="G29" s="183" t="s">
        <v>362</v>
      </c>
      <c r="H29" s="181">
        <f>VLOOKUP($G29,AlloFactors,5)</f>
        <v>0</v>
      </c>
      <c r="I29" s="194"/>
      <c r="J29" s="179">
        <f>H29*F29</f>
        <v>0</v>
      </c>
      <c r="K29" s="125"/>
      <c r="L29" s="59"/>
      <c r="M29" s="38"/>
      <c r="N29" s="38"/>
    </row>
    <row r="30" spans="1:14" ht="15">
      <c r="A30" s="190">
        <f t="shared" si="1"/>
        <v>16</v>
      </c>
      <c r="B30" s="153" t="s">
        <v>314</v>
      </c>
      <c r="C30" s="127" t="str">
        <f>'Worksheet F, Inputs'!$F$3&amp;" Line "&amp;'Worksheet F, Inputs'!A200&amp;", Columns "&amp;'Worksheet F, Inputs'!$D$10&amp;" thru "&amp;'Worksheet F, Inputs'!$F$10</f>
        <v>Worksheet F Line 156, Columns D thru F</v>
      </c>
      <c r="D30" s="164">
        <f>'Worksheet F, Inputs'!D200</f>
        <v>0</v>
      </c>
      <c r="E30" s="164">
        <f>'Worksheet F, Inputs'!E200</f>
        <v>0</v>
      </c>
      <c r="F30" s="195">
        <f>'Worksheet F, Inputs'!F200</f>
        <v>0</v>
      </c>
      <c r="G30" s="183" t="s">
        <v>362</v>
      </c>
      <c r="H30" s="181">
        <f>VLOOKUP($G30,AlloFactors,5)</f>
        <v>0</v>
      </c>
      <c r="I30" s="194"/>
      <c r="J30" s="179">
        <f>H30*F30</f>
        <v>0</v>
      </c>
      <c r="K30" s="125"/>
      <c r="L30" s="59"/>
      <c r="M30" s="38"/>
      <c r="N30" s="38"/>
    </row>
    <row r="31" spans="1:14" ht="15">
      <c r="A31" s="190">
        <f t="shared" si="1"/>
        <v>17</v>
      </c>
      <c r="B31" s="121" t="s">
        <v>39</v>
      </c>
      <c r="C31" s="127" t="s">
        <v>16</v>
      </c>
      <c r="D31" s="164">
        <f>SUM(D27:D30)</f>
        <v>84850673</v>
      </c>
      <c r="E31" s="164">
        <f>SUM(E27:E30)</f>
        <v>88657867</v>
      </c>
      <c r="F31" s="164">
        <f>SUM(F27:F30)</f>
        <v>86754270</v>
      </c>
      <c r="G31" s="183"/>
      <c r="H31" s="181"/>
      <c r="I31" s="194"/>
      <c r="J31" s="164">
        <f>SUM(J27:J30)</f>
        <v>0</v>
      </c>
      <c r="K31" s="125"/>
      <c r="L31" s="59"/>
      <c r="M31" s="38"/>
      <c r="N31" s="38"/>
    </row>
    <row r="32" spans="1:14" ht="15">
      <c r="A32" s="190"/>
      <c r="B32" s="121"/>
      <c r="C32" s="127"/>
      <c r="D32" s="164"/>
      <c r="E32" s="164"/>
      <c r="F32" s="164"/>
      <c r="G32" s="183"/>
      <c r="H32" s="181"/>
      <c r="I32" s="194"/>
      <c r="J32" s="179"/>
      <c r="K32" s="125"/>
      <c r="L32" s="59"/>
      <c r="M32" s="38"/>
      <c r="N32" s="38"/>
    </row>
    <row r="33" spans="1:14" ht="15">
      <c r="A33" s="190">
        <f>A31+1</f>
        <v>18</v>
      </c>
      <c r="B33" s="121" t="str">
        <f>'Worksheet F, Inputs'!B203</f>
        <v>380-386 RTO/ISO Plant</v>
      </c>
      <c r="C33" s="127" t="str">
        <f>CONCATENATE('Worksheet F, Inputs'!$F$3,", Line ",'Worksheet F, Inputs'!A203," Col ",'Worksheet F, Inputs'!$F$10)</f>
        <v>Worksheet F, Line 158 Col F</v>
      </c>
      <c r="D33" s="164">
        <f>'Worksheet F, Inputs'!D203</f>
        <v>0</v>
      </c>
      <c r="E33" s="164">
        <f>'Worksheet F, Inputs'!E203</f>
        <v>0</v>
      </c>
      <c r="F33" s="164">
        <f>'Worksheet F, Inputs'!F203</f>
        <v>0</v>
      </c>
      <c r="G33" s="125" t="s">
        <v>339</v>
      </c>
      <c r="H33" s="181">
        <f>VLOOKUP($G33,AlloFactors,5)</f>
        <v>0</v>
      </c>
      <c r="I33" s="194"/>
      <c r="J33" s="179">
        <f>H33*F33</f>
        <v>0</v>
      </c>
      <c r="K33" s="125"/>
      <c r="L33" s="59"/>
      <c r="M33" s="38"/>
      <c r="N33" s="38"/>
    </row>
    <row r="34" spans="1:14" ht="15">
      <c r="A34" s="190">
        <f t="shared" si="0"/>
        <v>19</v>
      </c>
      <c r="B34" s="121" t="s">
        <v>65</v>
      </c>
      <c r="C34" s="127" t="str">
        <f>CONCATENATE('Worksheet F, Inputs'!$F$3,", Line ",'Worksheet F, Inputs'!A204," Col ",'Worksheet F, Inputs'!$F$10)</f>
        <v>Worksheet F, Line 159 Col F</v>
      </c>
      <c r="D34" s="164">
        <f>'Worksheet F, Inputs'!D204</f>
        <v>418084246</v>
      </c>
      <c r="E34" s="164">
        <f>'Worksheet F, Inputs'!E204</f>
        <v>444946342</v>
      </c>
      <c r="F34" s="164">
        <f>'Worksheet F, Inputs'!F204</f>
        <v>431515294</v>
      </c>
      <c r="G34" s="183" t="s">
        <v>10</v>
      </c>
      <c r="H34" s="181">
        <f>VLOOKUP($G34,AlloFactors,5)</f>
        <v>1.6684417124725869E-2</v>
      </c>
      <c r="I34" s="194"/>
      <c r="J34" s="179">
        <f>H34*F34</f>
        <v>7199581.1607947182</v>
      </c>
      <c r="K34" s="125"/>
      <c r="L34" s="59"/>
      <c r="M34" s="38"/>
      <c r="N34" s="38"/>
    </row>
    <row r="35" spans="1:14" ht="15">
      <c r="A35" s="190">
        <f t="shared" si="0"/>
        <v>20</v>
      </c>
      <c r="B35" s="121" t="s">
        <v>161</v>
      </c>
      <c r="C35" s="122" t="s">
        <v>16</v>
      </c>
      <c r="D35" s="164">
        <f>SUM(D13,D19,D25,D31:D34)</f>
        <v>3918739029</v>
      </c>
      <c r="E35" s="164">
        <f>SUM(E13,E19,E25,E31:E34)</f>
        <v>4062884731</v>
      </c>
      <c r="F35" s="164">
        <f>SUM(F13,F19,F25,F31:F34)</f>
        <v>3990811880</v>
      </c>
      <c r="G35" s="183"/>
      <c r="H35" s="181"/>
      <c r="I35" s="194"/>
      <c r="J35" s="164">
        <f>SUM(J13,J19,J25,J31:J34)</f>
        <v>43832721.277089298</v>
      </c>
      <c r="K35" s="125"/>
      <c r="L35" s="59"/>
      <c r="M35" s="38"/>
      <c r="N35" s="38"/>
    </row>
    <row r="36" spans="1:14" ht="15">
      <c r="A36" s="190"/>
      <c r="B36" s="121"/>
      <c r="C36" s="122"/>
      <c r="D36" s="164"/>
      <c r="E36" s="164"/>
      <c r="F36" s="195"/>
      <c r="G36" s="183"/>
      <c r="H36" s="181"/>
      <c r="I36" s="194"/>
      <c r="J36" s="179"/>
      <c r="K36" s="125"/>
      <c r="L36" s="59"/>
      <c r="M36" s="38"/>
      <c r="N36" s="38"/>
    </row>
    <row r="37" spans="1:14" ht="15">
      <c r="A37" s="190">
        <f>A35+1</f>
        <v>21</v>
      </c>
      <c r="B37" s="121" t="s">
        <v>245</v>
      </c>
      <c r="C37" s="127" t="s">
        <v>550</v>
      </c>
      <c r="D37" s="164">
        <f>'Worksheet F, Inputs'!D99</f>
        <v>74567532.409999996</v>
      </c>
      <c r="E37" s="164">
        <f>'Worksheet F, Inputs'!E99</f>
        <v>74567532.409999996</v>
      </c>
      <c r="F37" s="164">
        <f>(D37+E37)/2</f>
        <v>74567532.409999996</v>
      </c>
      <c r="G37" s="183" t="s">
        <v>362</v>
      </c>
      <c r="H37" s="181">
        <f t="shared" ref="H37:H44" si="2">VLOOKUP($G37,AlloFactors,5)</f>
        <v>0</v>
      </c>
      <c r="I37" s="194"/>
      <c r="J37" s="179">
        <f t="shared" ref="J37:J44" si="3">H37*F37</f>
        <v>0</v>
      </c>
      <c r="K37" s="125"/>
      <c r="L37" s="59"/>
      <c r="M37" s="38"/>
      <c r="N37" s="38"/>
    </row>
    <row r="38" spans="1:14" ht="15">
      <c r="A38" s="190">
        <f t="shared" ref="A38:A45" si="4">A37+1</f>
        <v>22</v>
      </c>
      <c r="B38" s="121" t="s">
        <v>246</v>
      </c>
      <c r="C38" s="127" t="s">
        <v>551</v>
      </c>
      <c r="D38" s="164">
        <f>'Worksheet F, Inputs'!D100</f>
        <v>2656619.4200000004</v>
      </c>
      <c r="E38" s="164">
        <f>'Worksheet F, Inputs'!E100</f>
        <v>2656619.4200000004</v>
      </c>
      <c r="F38" s="164">
        <f t="shared" ref="F38:F40" si="5">(D38+E38)/2</f>
        <v>2656619.4200000004</v>
      </c>
      <c r="G38" s="183" t="s">
        <v>273</v>
      </c>
      <c r="H38" s="181">
        <f t="shared" si="2"/>
        <v>0</v>
      </c>
      <c r="I38" s="194"/>
      <c r="J38" s="179">
        <f t="shared" si="3"/>
        <v>0</v>
      </c>
      <c r="K38" s="125"/>
      <c r="L38" s="59"/>
      <c r="M38" s="38"/>
      <c r="N38" s="38"/>
    </row>
    <row r="39" spans="1:14" ht="15">
      <c r="A39" s="190">
        <f t="shared" si="4"/>
        <v>23</v>
      </c>
      <c r="B39" s="121" t="s">
        <v>248</v>
      </c>
      <c r="C39" s="127" t="s">
        <v>552</v>
      </c>
      <c r="D39" s="164">
        <f>'Worksheet F, Inputs'!D101</f>
        <v>0</v>
      </c>
      <c r="E39" s="164">
        <f>'Worksheet F, Inputs'!E101</f>
        <v>0</v>
      </c>
      <c r="F39" s="164">
        <f t="shared" si="5"/>
        <v>0</v>
      </c>
      <c r="G39" s="183" t="s">
        <v>362</v>
      </c>
      <c r="H39" s="181">
        <f t="shared" si="2"/>
        <v>0</v>
      </c>
      <c r="I39" s="194"/>
      <c r="J39" s="179">
        <f t="shared" si="3"/>
        <v>0</v>
      </c>
      <c r="K39" s="125"/>
      <c r="L39" s="59"/>
      <c r="M39" s="38"/>
      <c r="N39" s="38"/>
    </row>
    <row r="40" spans="1:14" ht="15">
      <c r="A40" s="190">
        <f t="shared" si="4"/>
        <v>24</v>
      </c>
      <c r="B40" s="121" t="s">
        <v>247</v>
      </c>
      <c r="C40" s="127" t="s">
        <v>553</v>
      </c>
      <c r="D40" s="164">
        <f>'Worksheet F, Inputs'!D102</f>
        <v>0</v>
      </c>
      <c r="E40" s="164">
        <f>'Worksheet F, Inputs'!E102</f>
        <v>0</v>
      </c>
      <c r="F40" s="164">
        <f t="shared" si="5"/>
        <v>0</v>
      </c>
      <c r="G40" s="197" t="s">
        <v>124</v>
      </c>
      <c r="H40" s="181">
        <f t="shared" si="2"/>
        <v>1.6684417124725869E-2</v>
      </c>
      <c r="I40" s="194"/>
      <c r="J40" s="179">
        <f t="shared" si="3"/>
        <v>0</v>
      </c>
      <c r="K40" s="125"/>
      <c r="L40" s="59"/>
      <c r="M40" s="38"/>
      <c r="N40" s="38"/>
    </row>
    <row r="41" spans="1:14" ht="15">
      <c r="A41" s="190">
        <f t="shared" si="4"/>
        <v>25</v>
      </c>
      <c r="B41" s="121" t="s">
        <v>361</v>
      </c>
      <c r="C41" s="127" t="s">
        <v>554</v>
      </c>
      <c r="D41" s="164">
        <f>'Worksheet F, Inputs'!D103</f>
        <v>0</v>
      </c>
      <c r="E41" s="164">
        <f>'Worksheet F, Inputs'!E103</f>
        <v>0</v>
      </c>
      <c r="F41" s="164">
        <f t="shared" ref="F41" si="6">(D41+E41)/2</f>
        <v>0</v>
      </c>
      <c r="G41" s="197" t="s">
        <v>124</v>
      </c>
      <c r="H41" s="181">
        <f t="shared" si="2"/>
        <v>1.6684417124725869E-2</v>
      </c>
      <c r="I41" s="194"/>
      <c r="J41" s="179">
        <f t="shared" ref="J41" si="7">H41*F41</f>
        <v>0</v>
      </c>
      <c r="K41" s="125"/>
      <c r="L41" s="59"/>
      <c r="M41" s="38"/>
      <c r="N41" s="38"/>
    </row>
    <row r="42" spans="1:14" ht="15.75">
      <c r="A42" s="190">
        <f t="shared" si="4"/>
        <v>26</v>
      </c>
      <c r="B42" s="121" t="s">
        <v>67</v>
      </c>
      <c r="C42" s="127" t="str">
        <f>CONCATENATE('Worksheet F, Inputs'!$F$3,", Line ",'Worksheet F, Inputs'!A210," Col ",'Worksheet F, Inputs'!$D$10&amp;" thru "&amp;'Worksheet F, Inputs'!$F$10)</f>
        <v>Worksheet F, Line 164 Col D thru F</v>
      </c>
      <c r="D42" s="164">
        <f>'Worksheet F, Inputs'!D210</f>
        <v>226302527</v>
      </c>
      <c r="E42" s="164">
        <f>'Worksheet F, Inputs'!E210</f>
        <v>266047723</v>
      </c>
      <c r="F42" s="164">
        <f>'Worksheet F, Inputs'!F210</f>
        <v>246175125</v>
      </c>
      <c r="G42" s="125" t="s">
        <v>326</v>
      </c>
      <c r="H42" s="181">
        <f t="shared" si="2"/>
        <v>1.4325109005225446E-2</v>
      </c>
      <c r="I42" s="194"/>
      <c r="J42" s="179">
        <f t="shared" si="3"/>
        <v>3526485.5</v>
      </c>
      <c r="K42" s="146"/>
      <c r="L42" s="59"/>
      <c r="M42" s="38"/>
      <c r="N42" s="38"/>
    </row>
    <row r="43" spans="1:14" ht="15.75">
      <c r="A43" s="190">
        <f t="shared" si="4"/>
        <v>27</v>
      </c>
      <c r="B43" s="121" t="s">
        <v>239</v>
      </c>
      <c r="C43" s="127" t="str">
        <f>CONCATENATE('Worksheet F, Inputs'!$F$3,", Line ",'Worksheet F, Inputs'!A211," Col ",'Worksheet F, Inputs'!$D$10&amp;" thru "&amp;'Worksheet F, Inputs'!$F$10)</f>
        <v>Worksheet F, Line 165 Col D thru F</v>
      </c>
      <c r="D43" s="164">
        <f>'Worksheet F, Inputs'!D211</f>
        <v>39163114</v>
      </c>
      <c r="E43" s="164">
        <f>'Worksheet F, Inputs'!E211</f>
        <v>41045432</v>
      </c>
      <c r="F43" s="164">
        <f>'Worksheet F, Inputs'!F211</f>
        <v>40104273</v>
      </c>
      <c r="G43" s="183" t="s">
        <v>362</v>
      </c>
      <c r="H43" s="181">
        <f t="shared" si="2"/>
        <v>0</v>
      </c>
      <c r="I43" s="194"/>
      <c r="J43" s="179">
        <f t="shared" si="3"/>
        <v>0</v>
      </c>
      <c r="K43" s="146"/>
      <c r="L43" s="59"/>
      <c r="M43" s="38"/>
      <c r="N43" s="38"/>
    </row>
    <row r="44" spans="1:14" ht="15.75">
      <c r="A44" s="190">
        <f t="shared" si="4"/>
        <v>28</v>
      </c>
      <c r="B44" s="121" t="s">
        <v>68</v>
      </c>
      <c r="C44" s="127" t="str">
        <f>CONCATENATE('Worksheet F, Inputs'!$F$3,", Line ",'Worksheet F, Inputs'!A214," Col ",'Worksheet F, Inputs'!$D$10&amp;" thru "&amp;'Worksheet F, Inputs'!$F$10)</f>
        <v>Worksheet F, Line 168 Col D thru F</v>
      </c>
      <c r="D44" s="164">
        <f>'Worksheet F, Inputs'!D214</f>
        <v>199319369</v>
      </c>
      <c r="E44" s="164">
        <f>'Worksheet F, Inputs'!E214</f>
        <v>208779897</v>
      </c>
      <c r="F44" s="164">
        <f>'Worksheet F, Inputs'!F214</f>
        <v>204049633</v>
      </c>
      <c r="G44" s="125" t="s">
        <v>328</v>
      </c>
      <c r="H44" s="181">
        <f t="shared" si="2"/>
        <v>1.1304798573198119E-3</v>
      </c>
      <c r="I44" s="194"/>
      <c r="J44" s="179">
        <f t="shared" si="3"/>
        <v>230674</v>
      </c>
      <c r="K44" s="146"/>
      <c r="L44" s="59"/>
      <c r="M44" s="38"/>
      <c r="N44" s="38"/>
    </row>
    <row r="45" spans="1:14" ht="15">
      <c r="A45" s="190">
        <f t="shared" si="4"/>
        <v>29</v>
      </c>
      <c r="B45" s="182" t="s">
        <v>88</v>
      </c>
      <c r="C45" s="175" t="s">
        <v>166</v>
      </c>
      <c r="D45" s="198">
        <f>SUM(D35,D37:D44)</f>
        <v>4460748190.8299999</v>
      </c>
      <c r="E45" s="198">
        <f>SUM(E35,E37:E44)</f>
        <v>4655981934.8299999</v>
      </c>
      <c r="F45" s="198">
        <f>SUM(F35,F37:F44)</f>
        <v>4558365062.8299999</v>
      </c>
      <c r="G45" s="119"/>
      <c r="H45" s="199"/>
      <c r="I45" s="194"/>
      <c r="J45" s="198">
        <f>SUM(J35,J37:J44)</f>
        <v>47589880.777089298</v>
      </c>
      <c r="K45" s="119"/>
      <c r="M45" s="38"/>
      <c r="N45" s="38"/>
    </row>
    <row r="46" spans="1:14" ht="15">
      <c r="A46" s="190" t="s">
        <v>18</v>
      </c>
      <c r="B46" s="119"/>
      <c r="C46" s="175"/>
      <c r="D46" s="175"/>
      <c r="E46" s="175"/>
      <c r="F46" s="179"/>
      <c r="G46" s="119"/>
      <c r="H46" s="199"/>
      <c r="I46" s="194"/>
      <c r="J46" s="179"/>
      <c r="K46" s="125"/>
      <c r="M46" s="38"/>
      <c r="N46" s="38"/>
    </row>
    <row r="47" spans="1:14" ht="15.75">
      <c r="A47" s="190">
        <f>A45+1</f>
        <v>30</v>
      </c>
      <c r="B47" s="191" t="s">
        <v>11</v>
      </c>
      <c r="C47" s="200"/>
      <c r="D47" s="200"/>
      <c r="E47" s="200"/>
      <c r="F47" s="201" t="s">
        <v>18</v>
      </c>
      <c r="G47" s="193"/>
      <c r="H47" s="202"/>
      <c r="I47" s="194"/>
      <c r="J47" s="201"/>
      <c r="K47" s="125"/>
      <c r="M47" s="38"/>
      <c r="N47" s="38"/>
    </row>
    <row r="48" spans="1:14" ht="15">
      <c r="A48" s="190">
        <f t="shared" si="0"/>
        <v>31</v>
      </c>
      <c r="B48" s="121" t="s">
        <v>344</v>
      </c>
      <c r="C48" s="127" t="str">
        <f>CONCATENATE('Worksheet F, Inputs'!$F$3,", Line ",'Worksheet F, Inputs'!A218," Col ",'Worksheet F, Inputs'!$D$10&amp;" thru "&amp;'Worksheet F, Inputs'!$F$10)</f>
        <v>Worksheet F, Line 171 Col D thru F</v>
      </c>
      <c r="D48" s="164">
        <f>'Worksheet F, Inputs'!D218</f>
        <v>1006273377</v>
      </c>
      <c r="E48" s="164">
        <f>'Worksheet F, Inputs'!E218</f>
        <v>1043827020</v>
      </c>
      <c r="F48" s="164">
        <f>'Worksheet F, Inputs'!F218</f>
        <v>1025050198.5</v>
      </c>
      <c r="G48" s="183" t="s">
        <v>362</v>
      </c>
      <c r="H48" s="181">
        <f t="shared" ref="H48:H59" si="8">VLOOKUP($G48,AlloFactors,5)</f>
        <v>0</v>
      </c>
      <c r="I48" s="119"/>
      <c r="J48" s="179">
        <f t="shared" ref="J48:J59" si="9">H48*F48</f>
        <v>0</v>
      </c>
      <c r="K48" s="119"/>
      <c r="M48" s="38"/>
      <c r="N48" s="38"/>
    </row>
    <row r="49" spans="1:14" ht="15">
      <c r="A49" s="190">
        <f t="shared" si="0"/>
        <v>32</v>
      </c>
      <c r="B49" s="121" t="s">
        <v>345</v>
      </c>
      <c r="C49" s="127" t="str">
        <f>CONCATENATE('Worksheet F, Inputs'!$F$3,", Line ",'Worksheet F, Inputs'!A219," Col ",'Worksheet F, Inputs'!$D$10&amp;" thru "&amp;'Worksheet F, Inputs'!$F$10)</f>
        <v>Worksheet F, Line 172 Col D thru F</v>
      </c>
      <c r="D49" s="164">
        <f>'Worksheet F, Inputs'!D219</f>
        <v>0</v>
      </c>
      <c r="E49" s="164">
        <f>'Worksheet F, Inputs'!E219</f>
        <v>0</v>
      </c>
      <c r="F49" s="164">
        <f>'Worksheet F, Inputs'!F219</f>
        <v>0</v>
      </c>
      <c r="G49" s="183" t="s">
        <v>362</v>
      </c>
      <c r="H49" s="181">
        <f t="shared" si="8"/>
        <v>0</v>
      </c>
      <c r="I49" s="119"/>
      <c r="J49" s="179">
        <f t="shared" si="9"/>
        <v>0</v>
      </c>
      <c r="K49" s="119"/>
      <c r="M49" s="38"/>
      <c r="N49" s="38"/>
    </row>
    <row r="50" spans="1:14" ht="15">
      <c r="A50" s="190">
        <f t="shared" si="0"/>
        <v>33</v>
      </c>
      <c r="B50" s="121" t="s">
        <v>346</v>
      </c>
      <c r="C50" s="127" t="str">
        <f>CONCATENATE('Worksheet F, Inputs'!$F$3,", Line ",'Worksheet F, Inputs'!A220," Col ",'Worksheet F, Inputs'!$D$10&amp;" thru "&amp;'Worksheet F, Inputs'!$F$10)</f>
        <v>Worksheet F, Line 173 Col D thru F</v>
      </c>
      <c r="D50" s="164">
        <f>'Worksheet F, Inputs'!D220</f>
        <v>0</v>
      </c>
      <c r="E50" s="164">
        <f>'Worksheet F, Inputs'!E220</f>
        <v>0</v>
      </c>
      <c r="F50" s="164">
        <f>'Worksheet F, Inputs'!F220</f>
        <v>0</v>
      </c>
      <c r="G50" s="183" t="s">
        <v>362</v>
      </c>
      <c r="H50" s="181">
        <f t="shared" si="8"/>
        <v>0</v>
      </c>
      <c r="I50" s="119"/>
      <c r="J50" s="179">
        <f t="shared" si="9"/>
        <v>0</v>
      </c>
      <c r="K50" s="119"/>
      <c r="M50" s="38"/>
      <c r="N50" s="38"/>
    </row>
    <row r="51" spans="1:14" ht="15">
      <c r="A51" s="190">
        <f t="shared" si="0"/>
        <v>34</v>
      </c>
      <c r="B51" s="121" t="s">
        <v>347</v>
      </c>
      <c r="C51" s="127" t="str">
        <f>CONCATENATE('Worksheet F, Inputs'!$F$3,", Line ",'Worksheet F, Inputs'!A221," Col ",'Worksheet F, Inputs'!$D$10&amp;" thru "&amp;'Worksheet F, Inputs'!$F$10)</f>
        <v>Worksheet F, Line 174 Col D thru F</v>
      </c>
      <c r="D51" s="164">
        <f>'Worksheet F, Inputs'!D221</f>
        <v>103508386</v>
      </c>
      <c r="E51" s="164">
        <f>'Worksheet F, Inputs'!E221</f>
        <v>108736878</v>
      </c>
      <c r="F51" s="164">
        <f>'Worksheet F, Inputs'!F221</f>
        <v>106122632</v>
      </c>
      <c r="G51" s="183" t="s">
        <v>362</v>
      </c>
      <c r="H51" s="181">
        <f t="shared" si="8"/>
        <v>0</v>
      </c>
      <c r="I51" s="194"/>
      <c r="J51" s="179">
        <f t="shared" si="9"/>
        <v>0</v>
      </c>
      <c r="K51" s="125"/>
      <c r="M51" s="38"/>
      <c r="N51" s="38"/>
    </row>
    <row r="52" spans="1:14" ht="15">
      <c r="A52" s="190">
        <f t="shared" si="0"/>
        <v>35</v>
      </c>
      <c r="B52" s="121" t="s">
        <v>377</v>
      </c>
      <c r="C52" s="127" t="s">
        <v>166</v>
      </c>
      <c r="D52" s="164">
        <f>SUM(D48:D51)</f>
        <v>1109781763</v>
      </c>
      <c r="E52" s="164">
        <f>SUM(E48:E51)</f>
        <v>1152563898</v>
      </c>
      <c r="F52" s="164">
        <f>SUM(F48:F51)</f>
        <v>1131172830.5</v>
      </c>
      <c r="G52" s="183"/>
      <c r="H52" s="181"/>
      <c r="I52" s="194"/>
      <c r="J52" s="164">
        <f>SUM(J48:J51)</f>
        <v>0</v>
      </c>
      <c r="K52" s="125"/>
      <c r="M52" s="38"/>
      <c r="N52" s="38"/>
    </row>
    <row r="53" spans="1:14" ht="15">
      <c r="A53" s="190"/>
      <c r="B53" s="121"/>
      <c r="C53" s="127"/>
      <c r="D53" s="164"/>
      <c r="E53" s="164"/>
      <c r="F53" s="164"/>
      <c r="G53" s="183"/>
      <c r="H53" s="181"/>
      <c r="I53" s="194"/>
      <c r="J53" s="179"/>
      <c r="K53" s="125"/>
      <c r="M53" s="38"/>
      <c r="N53" s="38"/>
    </row>
    <row r="54" spans="1:14" ht="15">
      <c r="A54" s="190">
        <f>A52+1</f>
        <v>36</v>
      </c>
      <c r="B54" s="121" t="s">
        <v>69</v>
      </c>
      <c r="C54" s="127" t="str">
        <f>CONCATENATE('Worksheet F, Inputs'!$F$3,", Line ",'Worksheet F, Inputs'!A222," Col ",'Worksheet F, Inputs'!$D$10&amp;" thru "&amp;'Worksheet F, Inputs'!$F$10)</f>
        <v>Worksheet F, Line 175 Col D thru F</v>
      </c>
      <c r="D54" s="164">
        <f>'Worksheet F, Inputs'!D222</f>
        <v>446515690</v>
      </c>
      <c r="E54" s="164">
        <f>'Worksheet F, Inputs'!E222</f>
        <v>473843880</v>
      </c>
      <c r="F54" s="164">
        <f>'Worksheet F, Inputs'!F222</f>
        <v>460179785</v>
      </c>
      <c r="G54" s="125" t="str">
        <f>'Worksheet E, Alloc. Factor'!B44</f>
        <v xml:space="preserve">T-Depr Reserv </v>
      </c>
      <c r="H54" s="181">
        <f t="shared" si="8"/>
        <v>4.3009595851036052E-2</v>
      </c>
      <c r="I54" s="194"/>
      <c r="J54" s="179">
        <f t="shared" si="9"/>
        <v>19792146.571666662</v>
      </c>
      <c r="K54" s="125"/>
      <c r="M54" s="38"/>
      <c r="N54" s="38"/>
    </row>
    <row r="55" spans="1:14" ht="15">
      <c r="A55" s="190">
        <f t="shared" si="0"/>
        <v>37</v>
      </c>
      <c r="B55" s="121" t="s">
        <v>70</v>
      </c>
      <c r="C55" s="127" t="str">
        <f>CONCATENATE('Worksheet F, Inputs'!$F$3,", Line ",'Worksheet F, Inputs'!A223," Col ",'Worksheet F, Inputs'!$D$10&amp;" thru "&amp;'Worksheet F, Inputs'!$F$10)</f>
        <v>Worksheet F, Line 176 Col D thru F</v>
      </c>
      <c r="D55" s="164">
        <f>'Worksheet F, Inputs'!D223</f>
        <v>37738500</v>
      </c>
      <c r="E55" s="164">
        <f>'Worksheet F, Inputs'!E223</f>
        <v>39641409</v>
      </c>
      <c r="F55" s="164">
        <f>'Worksheet F, Inputs'!F223</f>
        <v>38689954.5</v>
      </c>
      <c r="G55" s="183" t="s">
        <v>362</v>
      </c>
      <c r="H55" s="181">
        <f t="shared" si="8"/>
        <v>0</v>
      </c>
      <c r="I55" s="194"/>
      <c r="J55" s="179">
        <f t="shared" si="9"/>
        <v>0</v>
      </c>
      <c r="K55" s="125"/>
      <c r="M55" s="38"/>
      <c r="N55" s="38"/>
    </row>
    <row r="56" spans="1:14" ht="15">
      <c r="A56" s="190">
        <f t="shared" si="0"/>
        <v>38</v>
      </c>
      <c r="B56" s="121" t="s">
        <v>71</v>
      </c>
      <c r="C56" s="127" t="str">
        <f>CONCATENATE('Worksheet F, Inputs'!$F$3,", Line ",'Worksheet F, Inputs'!A224," Col ",'Worksheet F, Inputs'!$D$10&amp;" thru "&amp;'Worksheet F, Inputs'!$F$10)</f>
        <v>Worksheet F, Line 177 Col D thru F</v>
      </c>
      <c r="D56" s="164">
        <f>'Worksheet F, Inputs'!D224</f>
        <v>260526212</v>
      </c>
      <c r="E56" s="164">
        <f>'Worksheet F, Inputs'!E224</f>
        <v>286923684</v>
      </c>
      <c r="F56" s="164">
        <f>'Worksheet F, Inputs'!F224</f>
        <v>273724948</v>
      </c>
      <c r="G56" s="197" t="s">
        <v>124</v>
      </c>
      <c r="H56" s="181">
        <f t="shared" si="8"/>
        <v>1.6684417124725869E-2</v>
      </c>
      <c r="I56" s="194"/>
      <c r="J56" s="179">
        <f t="shared" si="9"/>
        <v>4566941.2098758975</v>
      </c>
      <c r="K56" s="125"/>
      <c r="M56" s="38"/>
      <c r="N56" s="38"/>
    </row>
    <row r="57" spans="1:14" ht="15.75">
      <c r="A57" s="190">
        <f t="shared" si="0"/>
        <v>39</v>
      </c>
      <c r="B57" s="121" t="s">
        <v>72</v>
      </c>
      <c r="C57" s="127" t="str">
        <f>CONCATENATE('Worksheet F, Inputs'!$F$3,", Line ",'Worksheet F, Inputs'!A225," Col ",'Worksheet F, Inputs'!$D$10&amp;" thru "&amp;'Worksheet F, Inputs'!$F$10)</f>
        <v>Worksheet F, Line 178 Col D thru F</v>
      </c>
      <c r="D57" s="164">
        <f>'Worksheet F, Inputs'!D225</f>
        <v>-908761</v>
      </c>
      <c r="E57" s="164">
        <f>'Worksheet F, Inputs'!E225</f>
        <v>-801347</v>
      </c>
      <c r="F57" s="164">
        <f>'Worksheet F, Inputs'!F225</f>
        <v>-855054</v>
      </c>
      <c r="G57" s="125" t="s">
        <v>326</v>
      </c>
      <c r="H57" s="181">
        <f t="shared" si="8"/>
        <v>1.4325109005225446E-2</v>
      </c>
      <c r="I57" s="194"/>
      <c r="J57" s="179">
        <f t="shared" si="9"/>
        <v>-12248.741755354038</v>
      </c>
      <c r="K57" s="146"/>
      <c r="M57" s="38"/>
      <c r="N57" s="38"/>
    </row>
    <row r="58" spans="1:14" ht="15.75">
      <c r="A58" s="190">
        <f t="shared" si="0"/>
        <v>40</v>
      </c>
      <c r="B58" s="121" t="s">
        <v>73</v>
      </c>
      <c r="C58" s="127" t="str">
        <f>CONCATENATE('Worksheet F, Inputs'!$F$3,", Line ",'Worksheet F, Inputs'!A226," Col ",'Worksheet F, Inputs'!$D$10&amp;" thru "&amp;'Worksheet F, Inputs'!$F$10)</f>
        <v>Worksheet F, Line 179 Col D thru F</v>
      </c>
      <c r="D58" s="164">
        <f>'Worksheet F, Inputs'!D226</f>
        <v>84119245</v>
      </c>
      <c r="E58" s="164">
        <f>'Worksheet F, Inputs'!E226</f>
        <v>88160589</v>
      </c>
      <c r="F58" s="164">
        <f>'Worksheet F, Inputs'!F226</f>
        <v>86139917</v>
      </c>
      <c r="G58" s="197" t="s">
        <v>124</v>
      </c>
      <c r="H58" s="181">
        <f t="shared" si="8"/>
        <v>1.6684417124725869E-2</v>
      </c>
      <c r="I58" s="194"/>
      <c r="J58" s="179">
        <f t="shared" si="9"/>
        <v>1437194.3063172649</v>
      </c>
      <c r="K58" s="146"/>
      <c r="M58" s="38"/>
      <c r="N58" s="38"/>
    </row>
    <row r="59" spans="1:14" ht="15">
      <c r="A59" s="190">
        <f t="shared" si="0"/>
        <v>41</v>
      </c>
      <c r="B59" s="121" t="s">
        <v>348</v>
      </c>
      <c r="C59" s="127" t="str">
        <f>CONCATENATE('Worksheet F, Inputs'!$F$3,", Line ",'Worksheet F, Inputs'!A227," Col ",'Worksheet F, Inputs'!$D$10&amp;" thru "&amp;'Worksheet F, Inputs'!$F$10)</f>
        <v>Worksheet F, Line 180 Col D thru F</v>
      </c>
      <c r="D59" s="164">
        <f>'Worksheet F, Inputs'!D227</f>
        <v>30679354</v>
      </c>
      <c r="E59" s="164">
        <f>'Worksheet F, Inputs'!E227</f>
        <v>31938012</v>
      </c>
      <c r="F59" s="164">
        <f>'Worksheet F, Inputs'!F227</f>
        <v>31308683</v>
      </c>
      <c r="G59" s="183" t="s">
        <v>362</v>
      </c>
      <c r="H59" s="181">
        <f t="shared" si="8"/>
        <v>0</v>
      </c>
      <c r="I59" s="194"/>
      <c r="J59" s="179">
        <f t="shared" si="9"/>
        <v>0</v>
      </c>
      <c r="K59" s="125"/>
      <c r="M59" s="38"/>
      <c r="N59" s="38"/>
    </row>
    <row r="60" spans="1:14" ht="15">
      <c r="A60" s="190"/>
      <c r="B60" s="121"/>
      <c r="C60" s="127"/>
      <c r="D60" s="164"/>
      <c r="E60" s="164"/>
      <c r="F60" s="164"/>
      <c r="G60" s="183"/>
      <c r="H60" s="181"/>
      <c r="I60" s="194"/>
      <c r="J60" s="179"/>
      <c r="K60" s="125"/>
      <c r="M60" s="38"/>
      <c r="N60" s="38"/>
    </row>
    <row r="61" spans="1:14" ht="15">
      <c r="A61" s="190">
        <f>A59+1</f>
        <v>42</v>
      </c>
      <c r="B61" s="119" t="s">
        <v>76</v>
      </c>
      <c r="C61" s="185" t="s">
        <v>166</v>
      </c>
      <c r="D61" s="203">
        <f>SUM(D52:D59)</f>
        <v>1968452003</v>
      </c>
      <c r="E61" s="203">
        <f t="shared" ref="E61:F61" si="10">SUM(E52:E59)</f>
        <v>2072270125</v>
      </c>
      <c r="F61" s="203">
        <f t="shared" si="10"/>
        <v>2020361064</v>
      </c>
      <c r="G61" s="125"/>
      <c r="H61" s="181"/>
      <c r="I61" s="194"/>
      <c r="J61" s="203">
        <f>SUM(J52:J59)</f>
        <v>25784033.346104469</v>
      </c>
      <c r="K61" s="125"/>
      <c r="M61" s="38"/>
      <c r="N61" s="38"/>
    </row>
    <row r="62" spans="1:14" ht="15">
      <c r="A62" s="190"/>
      <c r="B62" s="119"/>
      <c r="C62" s="185"/>
      <c r="D62" s="185"/>
      <c r="E62" s="185"/>
      <c r="F62" s="195"/>
      <c r="G62" s="125"/>
      <c r="H62" s="181"/>
      <c r="I62" s="194"/>
      <c r="J62" s="204"/>
      <c r="K62" s="125"/>
      <c r="M62" s="38"/>
      <c r="N62" s="38"/>
    </row>
    <row r="63" spans="1:14" ht="15.75">
      <c r="A63" s="190">
        <f>+A61+1</f>
        <v>43</v>
      </c>
      <c r="B63" s="205" t="s">
        <v>40</v>
      </c>
      <c r="C63" s="185"/>
      <c r="D63" s="185"/>
      <c r="E63" s="185"/>
      <c r="F63" s="165"/>
      <c r="G63" s="125"/>
      <c r="H63" s="181"/>
      <c r="I63" s="194"/>
      <c r="J63" s="179"/>
      <c r="K63" s="125"/>
      <c r="M63" s="38"/>
      <c r="N63" s="38"/>
    </row>
    <row r="64" spans="1:14" ht="15">
      <c r="A64" s="190">
        <f t="shared" si="0"/>
        <v>44</v>
      </c>
      <c r="B64" s="121" t="s">
        <v>77</v>
      </c>
      <c r="C64" s="175" t="str">
        <f>"Line "&amp;A13</f>
        <v>Line 2</v>
      </c>
      <c r="D64" s="198">
        <f>D13</f>
        <v>146790220</v>
      </c>
      <c r="E64" s="198">
        <f>E13</f>
        <v>152771585</v>
      </c>
      <c r="F64" s="198">
        <f>F13</f>
        <v>149780902.5</v>
      </c>
      <c r="G64" s="119"/>
      <c r="H64" s="199"/>
      <c r="I64" s="119"/>
      <c r="J64" s="198">
        <f>J13</f>
        <v>2499007.0546278958</v>
      </c>
      <c r="K64" s="125"/>
      <c r="M64" s="38"/>
      <c r="N64" s="38"/>
    </row>
    <row r="65" spans="1:14" ht="15">
      <c r="A65" s="190">
        <f t="shared" si="0"/>
        <v>45</v>
      </c>
      <c r="B65" s="121" t="s">
        <v>78</v>
      </c>
      <c r="C65" s="175" t="str">
        <f>"Line "&amp;A19&amp;" - Line "&amp;A52</f>
        <v>Line 7 - Line 35</v>
      </c>
      <c r="D65" s="198">
        <f>D19-D52</f>
        <v>1130745731</v>
      </c>
      <c r="E65" s="198">
        <f t="shared" ref="E65:F65" si="11">E19-E52</f>
        <v>1121086512</v>
      </c>
      <c r="F65" s="198">
        <f t="shared" si="11"/>
        <v>1125916121.5</v>
      </c>
      <c r="G65" s="196"/>
      <c r="H65" s="199"/>
      <c r="I65" s="119"/>
      <c r="J65" s="198">
        <f>J19-J52</f>
        <v>0</v>
      </c>
      <c r="K65" s="119"/>
      <c r="M65" s="38"/>
      <c r="N65" s="38"/>
    </row>
    <row r="66" spans="1:14" ht="15">
      <c r="A66" s="190">
        <f t="shared" si="0"/>
        <v>46</v>
      </c>
      <c r="B66" s="121" t="s">
        <v>79</v>
      </c>
      <c r="C66" s="175" t="str">
        <f>"Line "&amp;A25&amp;" + Line "&amp;A33&amp;" - Line "&amp;A54</f>
        <v>Line 12 + Line 18 - Line 36</v>
      </c>
      <c r="D66" s="198">
        <f>D25+D33-D54</f>
        <v>581970706</v>
      </c>
      <c r="E66" s="198">
        <f>E25+E33-E54</f>
        <v>629014647</v>
      </c>
      <c r="F66" s="198">
        <f>F25+F33-F54</f>
        <v>605492676.5</v>
      </c>
      <c r="G66" s="119"/>
      <c r="H66" s="199"/>
      <c r="I66" s="119"/>
      <c r="J66" s="198">
        <f>J25+J33-J54</f>
        <v>14341986.490000021</v>
      </c>
      <c r="K66" s="119"/>
      <c r="M66" s="38"/>
      <c r="N66" s="38"/>
    </row>
    <row r="67" spans="1:14" ht="15">
      <c r="A67" s="190">
        <f t="shared" si="0"/>
        <v>47</v>
      </c>
      <c r="B67" s="121" t="s">
        <v>80</v>
      </c>
      <c r="C67" s="175" t="str">
        <f>"Line "&amp;A31&amp;" - Line "&amp;A55</f>
        <v>Line 17 - Line 37</v>
      </c>
      <c r="D67" s="198">
        <f>D31-D55</f>
        <v>47112173</v>
      </c>
      <c r="E67" s="198">
        <f>E31-E55</f>
        <v>49016458</v>
      </c>
      <c r="F67" s="198">
        <f>F31-F55</f>
        <v>48064315.5</v>
      </c>
      <c r="G67" s="119"/>
      <c r="H67" s="199"/>
      <c r="I67" s="119"/>
      <c r="J67" s="198">
        <f>J31-J55</f>
        <v>0</v>
      </c>
      <c r="K67" s="119"/>
      <c r="M67" s="38"/>
      <c r="N67" s="38"/>
    </row>
    <row r="68" spans="1:14" ht="15">
      <c r="A68" s="190">
        <f t="shared" si="0"/>
        <v>48</v>
      </c>
      <c r="B68" s="121" t="s">
        <v>81</v>
      </c>
      <c r="C68" s="175" t="str">
        <f>"Line "&amp;A34&amp;" - Line "&amp;A56</f>
        <v>Line 19 - Line 38</v>
      </c>
      <c r="D68" s="198">
        <f>D34-D56</f>
        <v>157558034</v>
      </c>
      <c r="E68" s="198">
        <f>E34-E56</f>
        <v>158022658</v>
      </c>
      <c r="F68" s="198">
        <f>F34-F56</f>
        <v>157790346</v>
      </c>
      <c r="G68" s="119"/>
      <c r="H68" s="199"/>
      <c r="I68" s="119"/>
      <c r="J68" s="198">
        <f>J34-J56</f>
        <v>2632639.9509188207</v>
      </c>
      <c r="K68" s="119"/>
      <c r="M68" s="38"/>
      <c r="N68" s="38"/>
    </row>
    <row r="69" spans="1:14" ht="15">
      <c r="A69" s="190">
        <f t="shared" si="0"/>
        <v>49</v>
      </c>
      <c r="B69" s="121" t="s">
        <v>351</v>
      </c>
      <c r="C69" s="175" t="str">
        <f>"Sum (Line "&amp;A37&amp;" Thru "&amp;A41&amp;") - Line "&amp;A58</f>
        <v>Sum (Line 21 Thru 25) - Line 40</v>
      </c>
      <c r="D69" s="198">
        <f>SUM(D37:D41)-D58</f>
        <v>-6895093.1700000018</v>
      </c>
      <c r="E69" s="198">
        <f t="shared" ref="E69:F69" si="12">SUM(E37:E41)-E58</f>
        <v>-10936437.170000002</v>
      </c>
      <c r="F69" s="198">
        <f t="shared" si="12"/>
        <v>-8915765.1700000018</v>
      </c>
      <c r="G69" s="119"/>
      <c r="H69" s="199"/>
      <c r="I69" s="119"/>
      <c r="J69" s="198">
        <f>SUM(J37:J41)-J58</f>
        <v>-1437194.3063172649</v>
      </c>
      <c r="K69" s="119"/>
      <c r="M69" s="38"/>
      <c r="N69" s="38"/>
    </row>
    <row r="70" spans="1:14" ht="15">
      <c r="A70" s="190">
        <f t="shared" si="0"/>
        <v>50</v>
      </c>
      <c r="B70" s="121" t="s">
        <v>349</v>
      </c>
      <c r="C70" s="175" t="str">
        <f>"Line "&amp;A42&amp;" - Line "&amp;A57</f>
        <v>Line 26 - Line 39</v>
      </c>
      <c r="D70" s="198">
        <f>D42-D57</f>
        <v>227211288</v>
      </c>
      <c r="E70" s="198">
        <f>E42-E57</f>
        <v>266849070</v>
      </c>
      <c r="F70" s="198">
        <f>F42-F57</f>
        <v>247030179</v>
      </c>
      <c r="G70" s="119"/>
      <c r="H70" s="199"/>
      <c r="I70" s="119"/>
      <c r="J70" s="198">
        <f>J42-J57</f>
        <v>3538734.2417553542</v>
      </c>
      <c r="K70" s="119"/>
      <c r="M70" s="38"/>
      <c r="N70" s="38"/>
    </row>
    <row r="71" spans="1:14" ht="15">
      <c r="A71" s="190">
        <f t="shared" si="0"/>
        <v>51</v>
      </c>
      <c r="B71" s="121" t="s">
        <v>350</v>
      </c>
      <c r="C71" s="175" t="str">
        <f>"Line "&amp;A43&amp;" - Line "&amp;A59</f>
        <v>Line 27 - Line 41</v>
      </c>
      <c r="D71" s="198">
        <f>D43-D59</f>
        <v>8483760</v>
      </c>
      <c r="E71" s="198">
        <f>E43-E59</f>
        <v>9107420</v>
      </c>
      <c r="F71" s="198">
        <f>F43-F59</f>
        <v>8795590</v>
      </c>
      <c r="G71" s="119"/>
      <c r="H71" s="199"/>
      <c r="I71" s="119"/>
      <c r="J71" s="198">
        <f>J43-J59</f>
        <v>0</v>
      </c>
      <c r="K71" s="119"/>
      <c r="M71" s="38"/>
      <c r="N71" s="38"/>
    </row>
    <row r="72" spans="1:14" ht="15">
      <c r="A72" s="190">
        <f t="shared" si="0"/>
        <v>52</v>
      </c>
      <c r="B72" s="121" t="s">
        <v>327</v>
      </c>
      <c r="C72" s="175" t="str">
        <f>"Line "&amp;A44</f>
        <v>Line 28</v>
      </c>
      <c r="D72" s="198">
        <f>D44</f>
        <v>199319369</v>
      </c>
      <c r="E72" s="198">
        <f>E44</f>
        <v>208779897</v>
      </c>
      <c r="F72" s="198">
        <f>F44</f>
        <v>204049633</v>
      </c>
      <c r="G72" s="119"/>
      <c r="H72" s="199"/>
      <c r="I72" s="119"/>
      <c r="J72" s="198">
        <f>J44</f>
        <v>230674</v>
      </c>
      <c r="K72" s="119"/>
      <c r="M72" s="38"/>
      <c r="N72" s="38"/>
    </row>
    <row r="73" spans="1:14" ht="15">
      <c r="A73" s="190">
        <f t="shared" si="0"/>
        <v>53</v>
      </c>
      <c r="B73" s="121" t="s">
        <v>40</v>
      </c>
      <c r="C73" s="175" t="s">
        <v>197</v>
      </c>
      <c r="D73" s="198">
        <f>SUM(D64:D72)</f>
        <v>2492296187.8299999</v>
      </c>
      <c r="E73" s="198">
        <f>SUM(E64:E72)</f>
        <v>2583711809.8299999</v>
      </c>
      <c r="F73" s="198">
        <f>SUM(F64:F72)</f>
        <v>2538003998.8299999</v>
      </c>
      <c r="G73" s="119"/>
      <c r="H73" s="199"/>
      <c r="I73" s="119"/>
      <c r="J73" s="198">
        <f>SUM(J64:J72)</f>
        <v>21805847.430984825</v>
      </c>
      <c r="K73" s="119"/>
      <c r="M73" s="38"/>
      <c r="N73" s="38"/>
    </row>
    <row r="74" spans="1:14" ht="15">
      <c r="A74" s="190"/>
      <c r="B74" s="182"/>
      <c r="C74" s="185"/>
      <c r="D74" s="185"/>
      <c r="E74" s="206"/>
      <c r="F74" s="165"/>
      <c r="G74" s="119"/>
      <c r="H74" s="199"/>
      <c r="I74" s="119"/>
      <c r="J74" s="174"/>
      <c r="K74" s="125"/>
      <c r="M74" s="38"/>
      <c r="N74" s="38"/>
    </row>
    <row r="75" spans="1:14" ht="15">
      <c r="A75" s="190">
        <f>A73+1</f>
        <v>54</v>
      </c>
      <c r="B75" s="182" t="s">
        <v>162</v>
      </c>
      <c r="C75" s="185"/>
      <c r="D75" s="185"/>
      <c r="E75" s="203"/>
      <c r="F75" s="165"/>
      <c r="G75" s="119"/>
      <c r="H75" s="199"/>
      <c r="I75" s="119"/>
      <c r="J75" s="174"/>
      <c r="K75" s="125"/>
      <c r="M75" s="38"/>
      <c r="N75" s="38"/>
    </row>
    <row r="76" spans="1:14" ht="15">
      <c r="A76" s="190">
        <f>A75+1</f>
        <v>55</v>
      </c>
      <c r="B76" s="119" t="s">
        <v>49</v>
      </c>
      <c r="C76" s="175"/>
      <c r="D76" s="175"/>
      <c r="E76" s="175"/>
      <c r="F76" s="119"/>
      <c r="G76" s="119"/>
      <c r="H76" s="199"/>
      <c r="I76" s="119"/>
      <c r="J76" s="119"/>
      <c r="K76" s="125"/>
      <c r="M76" s="38"/>
      <c r="N76" s="38"/>
    </row>
    <row r="77" spans="1:14" ht="15">
      <c r="A77" s="190">
        <f>A76+1</f>
        <v>56</v>
      </c>
      <c r="B77" s="182" t="s">
        <v>153</v>
      </c>
      <c r="C77" s="127" t="str">
        <f>'Worksheet B Expenses'!I3&amp;", Line "&amp;'Worksheet B Expenses'!A42&amp;", Columns "&amp;'Worksheet B Expenses'!F10&amp;" and "&amp;'Worksheet B Expenses'!I10</f>
        <v>Worksheet B, Line 27, Columns F and I</v>
      </c>
      <c r="D77" s="185"/>
      <c r="E77" s="185"/>
      <c r="F77" s="165">
        <f>'Worksheet B Expenses'!F42</f>
        <v>182026732</v>
      </c>
      <c r="G77" s="119"/>
      <c r="H77" s="199"/>
      <c r="I77" s="119"/>
      <c r="J77" s="174">
        <f>'Worksheet B Expenses'!I42</f>
        <v>5381714.984286231</v>
      </c>
      <c r="K77" s="125"/>
      <c r="M77" s="38"/>
      <c r="N77" s="38"/>
    </row>
    <row r="78" spans="1:14" ht="15">
      <c r="A78" s="190">
        <f>A77+1</f>
        <v>57</v>
      </c>
      <c r="B78" s="182" t="s">
        <v>48</v>
      </c>
      <c r="C78" s="127" t="str">
        <f>CONCATENATE('Worksheet F, Inputs'!$F$3,", Line ",'Worksheet F, Inputs'!A15," Col ",'Worksheet F, Inputs'!$F$10)</f>
        <v>Worksheet F, Line 3 Col F</v>
      </c>
      <c r="D78" s="185"/>
      <c r="E78" s="185"/>
      <c r="F78" s="207">
        <f>'Worksheet F, Inputs'!$F$15</f>
        <v>45</v>
      </c>
      <c r="G78" s="208"/>
      <c r="H78" s="199"/>
      <c r="I78" s="208"/>
      <c r="J78" s="207">
        <f>'Worksheet F, Inputs'!$F$15</f>
        <v>45</v>
      </c>
      <c r="K78" s="125"/>
      <c r="M78" s="38"/>
      <c r="N78" s="38"/>
    </row>
    <row r="79" spans="1:14" ht="15">
      <c r="A79" s="190">
        <f>A78+1</f>
        <v>58</v>
      </c>
      <c r="B79" s="182" t="s">
        <v>49</v>
      </c>
      <c r="C79" s="185" t="str">
        <f>"Line "&amp;A77&amp;" * Line "&amp;A78&amp;" / 365"</f>
        <v>Line 56 * Line 57 / 365</v>
      </c>
      <c r="D79" s="185"/>
      <c r="E79" s="185"/>
      <c r="F79" s="165">
        <f>F77*F78/365</f>
        <v>22441651.89041096</v>
      </c>
      <c r="G79" s="125"/>
      <c r="H79" s="181"/>
      <c r="I79" s="194"/>
      <c r="J79" s="165">
        <f>J77*J78/365</f>
        <v>663499.10765172704</v>
      </c>
      <c r="K79" s="125"/>
      <c r="M79" s="38"/>
      <c r="N79" s="38"/>
    </row>
    <row r="80" spans="1:14" ht="15">
      <c r="A80" s="190"/>
      <c r="B80" s="182"/>
      <c r="C80" s="185"/>
      <c r="D80" s="185"/>
      <c r="E80" s="185"/>
      <c r="F80" s="165"/>
      <c r="G80" s="119"/>
      <c r="H80" s="199"/>
      <c r="I80" s="119"/>
      <c r="J80" s="165"/>
      <c r="K80" s="125"/>
      <c r="M80" s="38"/>
      <c r="N80" s="38"/>
    </row>
    <row r="81" spans="1:14" ht="15">
      <c r="A81" s="190">
        <f>+A79+1</f>
        <v>59</v>
      </c>
      <c r="B81" s="182" t="s">
        <v>50</v>
      </c>
      <c r="C81" s="127" t="str">
        <f>'Worksheet F, Inputs'!F3&amp;", Line "&amp;'Worksheet F, Inputs'!A168&amp;", Col "&amp;'Worksheet F, Inputs'!D10&amp;" Thru "&amp;'Worksheet F, Inputs'!F10</f>
        <v>Worksheet F, Line 131, Col D Thru F</v>
      </c>
      <c r="D81" s="165">
        <f>'Worksheet F, Inputs'!D168</f>
        <v>12158177</v>
      </c>
      <c r="E81" s="165">
        <f>'Worksheet F, Inputs'!E168</f>
        <v>15220316</v>
      </c>
      <c r="F81" s="165">
        <f>'Worksheet F, Inputs'!F168</f>
        <v>13689246.5</v>
      </c>
      <c r="G81" s="125" t="str">
        <f>'Worksheet E, Alloc. Factor'!B$37</f>
        <v>T-Plant Allocation</v>
      </c>
      <c r="H81" s="181">
        <f>VLOOKUP($G81,AlloFactors,5)</f>
        <v>1.0983409540489115E-2</v>
      </c>
      <c r="I81" s="194" t="s">
        <v>29</v>
      </c>
      <c r="J81" s="174">
        <f>H81*F81</f>
        <v>150354.60061020721</v>
      </c>
      <c r="K81" s="119"/>
      <c r="M81" s="38"/>
      <c r="N81" s="38"/>
    </row>
    <row r="82" spans="1:14" ht="15">
      <c r="A82" s="172"/>
      <c r="B82" s="182"/>
      <c r="C82" s="185"/>
      <c r="D82" s="185"/>
      <c r="E82" s="185"/>
      <c r="F82" s="165"/>
      <c r="G82" s="125"/>
      <c r="H82" s="181"/>
      <c r="I82" s="194"/>
      <c r="J82" s="174"/>
      <c r="K82" s="119"/>
      <c r="M82" s="38"/>
      <c r="N82" s="38"/>
    </row>
    <row r="83" spans="1:14" ht="15">
      <c r="A83" s="172">
        <f>+A81+1</f>
        <v>60</v>
      </c>
      <c r="B83" s="209" t="str">
        <f>'Worksheet F, Inputs'!B232</f>
        <v>M&amp;S Coal</v>
      </c>
      <c r="C83" s="127" t="str">
        <f>CONCATENATE('Worksheet F, Inputs'!$F$3,", Line ",'Worksheet F, Inputs'!A232," Col ",'Worksheet F, Inputs'!$D$10&amp;" thru "&amp;'Worksheet F, Inputs'!$F$10)</f>
        <v>Worksheet F, Line 183 Col D thru F</v>
      </c>
      <c r="D83" s="210">
        <f>'Worksheet F, Inputs'!D232</f>
        <v>48600766</v>
      </c>
      <c r="E83" s="210">
        <f>'Worksheet F, Inputs'!E232</f>
        <v>56189379</v>
      </c>
      <c r="F83" s="210">
        <f>'Worksheet F, Inputs'!F232</f>
        <v>52395072.5</v>
      </c>
      <c r="G83" s="183" t="s">
        <v>362</v>
      </c>
      <c r="H83" s="181">
        <f t="shared" ref="H83:H88" si="13">VLOOKUP($G83,AlloFactors,5)</f>
        <v>0</v>
      </c>
      <c r="I83" s="194"/>
      <c r="J83" s="174">
        <f t="shared" ref="J83:J88" si="14">F83*H83</f>
        <v>0</v>
      </c>
      <c r="K83" s="119"/>
      <c r="M83" s="38"/>
      <c r="N83" s="38"/>
    </row>
    <row r="84" spans="1:14" ht="15">
      <c r="A84" s="190">
        <f t="shared" ref="A84:A89" si="15">A83+1</f>
        <v>61</v>
      </c>
      <c r="B84" s="209" t="str">
        <f>'Worksheet F, Inputs'!B233</f>
        <v>M&amp;S Other Fuel</v>
      </c>
      <c r="C84" s="127" t="str">
        <f>CONCATENATE('Worksheet F, Inputs'!$F$3,", Line ",'Worksheet F, Inputs'!A233," Col ",'Worksheet F, Inputs'!$D$10&amp;" thru "&amp;'Worksheet F, Inputs'!$F$10)</f>
        <v>Worksheet F, Line 184 Col D thru F</v>
      </c>
      <c r="D84" s="210">
        <f>'Worksheet F, Inputs'!D233</f>
        <v>5905518</v>
      </c>
      <c r="E84" s="210">
        <f>'Worksheet F, Inputs'!E233</f>
        <v>5874682</v>
      </c>
      <c r="F84" s="210">
        <f>'Worksheet F, Inputs'!F233</f>
        <v>5890100</v>
      </c>
      <c r="G84" s="183" t="s">
        <v>362</v>
      </c>
      <c r="H84" s="181">
        <f t="shared" si="13"/>
        <v>0</v>
      </c>
      <c r="I84" s="194"/>
      <c r="J84" s="174">
        <f t="shared" si="14"/>
        <v>0</v>
      </c>
      <c r="K84" s="119"/>
      <c r="M84" s="38"/>
      <c r="N84" s="38"/>
    </row>
    <row r="85" spans="1:14" ht="15">
      <c r="A85" s="190">
        <f t="shared" si="15"/>
        <v>62</v>
      </c>
      <c r="B85" s="209" t="str">
        <f>'Worksheet F, Inputs'!B234</f>
        <v>M&amp;S Production Plant Parts</v>
      </c>
      <c r="C85" s="127" t="str">
        <f>CONCATENATE('Worksheet F, Inputs'!$F$3,", Line ",'Worksheet F, Inputs'!A234," Col ",'Worksheet F, Inputs'!$D$10&amp;" thru "&amp;'Worksheet F, Inputs'!$F$10)</f>
        <v>Worksheet F, Line 185 Col D thru F</v>
      </c>
      <c r="D85" s="210">
        <f>'Worksheet F, Inputs'!D234</f>
        <v>40036550</v>
      </c>
      <c r="E85" s="210">
        <f>'Worksheet F, Inputs'!E234</f>
        <v>42125737</v>
      </c>
      <c r="F85" s="210">
        <f>'Worksheet F, Inputs'!F234</f>
        <v>41081143.5</v>
      </c>
      <c r="G85" s="183" t="s">
        <v>362</v>
      </c>
      <c r="H85" s="181">
        <f t="shared" si="13"/>
        <v>0</v>
      </c>
      <c r="I85" s="194"/>
      <c r="J85" s="174">
        <f t="shared" si="14"/>
        <v>0</v>
      </c>
      <c r="K85" s="119"/>
      <c r="M85" s="38"/>
      <c r="N85" s="38"/>
    </row>
    <row r="86" spans="1:14" ht="15">
      <c r="A86" s="190">
        <f t="shared" si="15"/>
        <v>63</v>
      </c>
      <c r="B86" s="209" t="str">
        <f>'Worksheet F, Inputs'!B235</f>
        <v>M&amp;S Station Transformers &amp; Equipment</v>
      </c>
      <c r="C86" s="127" t="str">
        <f>CONCATENATE('Worksheet F, Inputs'!$F$3,", Line ",'Worksheet F, Inputs'!A235," Col ",'Worksheet F, Inputs'!$D$10&amp;" thru "&amp;'Worksheet F, Inputs'!$F$10)</f>
        <v>Worksheet F, Line 186 Col D thru F</v>
      </c>
      <c r="D86" s="210">
        <f>'Worksheet F, Inputs'!D235</f>
        <v>18913453</v>
      </c>
      <c r="E86" s="210">
        <f>'Worksheet F, Inputs'!E235</f>
        <v>19898163</v>
      </c>
      <c r="F86" s="210">
        <f>'Worksheet F, Inputs'!F235</f>
        <v>19405808</v>
      </c>
      <c r="G86" s="125" t="str">
        <f>'Worksheet E, Alloc. Factor'!B23</f>
        <v>T-Tran Stations</v>
      </c>
      <c r="H86" s="181">
        <f t="shared" si="13"/>
        <v>2.6965081637855898E-2</v>
      </c>
      <c r="I86" s="194"/>
      <c r="J86" s="174">
        <f t="shared" si="14"/>
        <v>523279.19696855708</v>
      </c>
      <c r="K86" s="119"/>
      <c r="M86" s="38"/>
      <c r="N86" s="38"/>
    </row>
    <row r="87" spans="1:14" ht="15">
      <c r="A87" s="190">
        <f t="shared" si="15"/>
        <v>64</v>
      </c>
      <c r="B87" s="209" t="str">
        <f>'Worksheet F, Inputs'!B236</f>
        <v>M&amp;S Line Materials &amp; Supplies</v>
      </c>
      <c r="C87" s="127" t="str">
        <f>CONCATENATE('Worksheet F, Inputs'!$F$3,", Line ",'Worksheet F, Inputs'!A236," Col ",'Worksheet F, Inputs'!$D$10&amp;" thru "&amp;'Worksheet F, Inputs'!$F$10)</f>
        <v>Worksheet F, Line 187 Col D thru F</v>
      </c>
      <c r="D87" s="210">
        <f>'Worksheet F, Inputs'!D236</f>
        <v>5751640</v>
      </c>
      <c r="E87" s="210">
        <f>'Worksheet F, Inputs'!E236</f>
        <v>6051093</v>
      </c>
      <c r="F87" s="210">
        <f>'Worksheet F, Inputs'!F236</f>
        <v>5901366.5</v>
      </c>
      <c r="G87" s="125" t="s">
        <v>244</v>
      </c>
      <c r="H87" s="181">
        <f t="shared" si="13"/>
        <v>3.8550660266060036E-2</v>
      </c>
      <c r="I87" s="194"/>
      <c r="J87" s="174">
        <f t="shared" si="14"/>
        <v>227501.57504700779</v>
      </c>
      <c r="K87" s="119"/>
      <c r="M87" s="38"/>
      <c r="N87" s="38"/>
    </row>
    <row r="88" spans="1:14" ht="15">
      <c r="A88" s="190">
        <f t="shared" si="15"/>
        <v>65</v>
      </c>
      <c r="B88" s="209" t="str">
        <f>'Worksheet F, Inputs'!B237</f>
        <v>M&amp;S Other</v>
      </c>
      <c r="C88" s="127" t="str">
        <f>CONCATENATE('Worksheet F, Inputs'!$F$3,", Line ",'Worksheet F, Inputs'!A237," Col ",'Worksheet F, Inputs'!$D$10&amp;" thru "&amp;'Worksheet F, Inputs'!$F$10)</f>
        <v>Worksheet F, Line 188 Col D thru F</v>
      </c>
      <c r="D88" s="210">
        <f>'Worksheet F, Inputs'!D237</f>
        <v>0</v>
      </c>
      <c r="E88" s="210">
        <f>'Worksheet F, Inputs'!E237</f>
        <v>0</v>
      </c>
      <c r="F88" s="210">
        <f>'Worksheet F, Inputs'!F237</f>
        <v>0</v>
      </c>
      <c r="G88" s="125" t="str">
        <f>'Worksheet E, Alloc. Factor'!B$37</f>
        <v>T-Plant Allocation</v>
      </c>
      <c r="H88" s="181">
        <f t="shared" si="13"/>
        <v>1.0983409540489115E-2</v>
      </c>
      <c r="I88" s="194"/>
      <c r="J88" s="174">
        <f t="shared" si="14"/>
        <v>0</v>
      </c>
      <c r="K88" s="119"/>
      <c r="M88" s="38"/>
      <c r="N88" s="38"/>
    </row>
    <row r="89" spans="1:14" ht="15">
      <c r="A89" s="190">
        <f t="shared" si="15"/>
        <v>66</v>
      </c>
      <c r="B89" s="182" t="s">
        <v>53</v>
      </c>
      <c r="C89" s="175" t="s">
        <v>197</v>
      </c>
      <c r="D89" s="171">
        <f>SUM(D83:D88)</f>
        <v>119207927</v>
      </c>
      <c r="E89" s="171">
        <f>SUM(E83:E88)</f>
        <v>130139054</v>
      </c>
      <c r="F89" s="171">
        <f>SUM(F83:F88)</f>
        <v>124673490.5</v>
      </c>
      <c r="G89" s="125"/>
      <c r="H89" s="211"/>
      <c r="I89" s="128"/>
      <c r="J89" s="171">
        <f>SUM(J83:J88)</f>
        <v>750780.77201556484</v>
      </c>
      <c r="K89" s="119"/>
      <c r="M89" s="38"/>
      <c r="N89" s="38"/>
    </row>
    <row r="90" spans="1:14" ht="15">
      <c r="A90" s="190"/>
      <c r="B90" s="182"/>
      <c r="C90" s="175"/>
      <c r="D90" s="171"/>
      <c r="E90" s="171"/>
      <c r="F90" s="171"/>
      <c r="G90" s="125"/>
      <c r="H90" s="211"/>
      <c r="I90" s="128"/>
      <c r="J90" s="171"/>
      <c r="K90" s="119"/>
      <c r="M90" s="38"/>
      <c r="N90" s="38"/>
    </row>
    <row r="91" spans="1:14" ht="15">
      <c r="A91" s="172">
        <f>+A89+1</f>
        <v>67</v>
      </c>
      <c r="B91" s="182" t="s">
        <v>44</v>
      </c>
      <c r="C91" s="185" t="s">
        <v>2</v>
      </c>
      <c r="D91" s="185"/>
      <c r="E91" s="165"/>
      <c r="F91" s="165">
        <f>SUM(F73,F79,F81,F89)</f>
        <v>2698808387.7204108</v>
      </c>
      <c r="G91" s="119"/>
      <c r="H91" s="119"/>
      <c r="I91" s="119"/>
      <c r="J91" s="165">
        <f>SUM(J73,J79,J81,J89)</f>
        <v>23370481.911262322</v>
      </c>
      <c r="K91" s="119"/>
      <c r="M91" s="38"/>
      <c r="N91" s="38"/>
    </row>
    <row r="92" spans="1:14">
      <c r="A92" s="13"/>
      <c r="B92" s="13"/>
      <c r="C92" s="13"/>
      <c r="D92" s="13"/>
      <c r="E92" s="13"/>
      <c r="F92" s="13"/>
      <c r="G92" s="13"/>
      <c r="H92" s="13"/>
      <c r="I92" s="13"/>
      <c r="J92" s="13"/>
      <c r="M92" s="38"/>
      <c r="N92" s="38"/>
    </row>
    <row r="93" spans="1:14">
      <c r="A93" s="13"/>
      <c r="B93" s="13"/>
      <c r="C93" s="13"/>
      <c r="D93" s="13"/>
      <c r="E93" s="13"/>
      <c r="F93" s="92"/>
      <c r="G93" s="13"/>
      <c r="H93" s="13"/>
      <c r="I93" s="13"/>
      <c r="J93" s="13"/>
      <c r="M93" s="38"/>
      <c r="N93" s="38"/>
    </row>
    <row r="94" spans="1:14">
      <c r="A94" s="13"/>
      <c r="B94" s="13"/>
      <c r="C94" s="13"/>
      <c r="D94" s="13"/>
      <c r="E94" s="13"/>
      <c r="F94" s="13"/>
      <c r="G94" s="13"/>
      <c r="H94" s="13"/>
      <c r="I94" s="13"/>
      <c r="J94" s="13"/>
      <c r="M94" s="38"/>
      <c r="N94" s="38"/>
    </row>
    <row r="95" spans="1:14">
      <c r="A95" s="13"/>
      <c r="B95" s="13"/>
      <c r="C95" s="13"/>
      <c r="D95" s="13"/>
      <c r="E95" s="13"/>
      <c r="F95" s="13"/>
      <c r="G95" s="13"/>
      <c r="H95" s="13"/>
      <c r="I95" s="13"/>
      <c r="J95" s="13"/>
      <c r="M95" s="38"/>
      <c r="N95" s="38"/>
    </row>
    <row r="96" spans="1:14">
      <c r="A96" s="13"/>
      <c r="B96" s="13"/>
      <c r="C96" s="13"/>
      <c r="D96" s="13"/>
      <c r="E96" s="13"/>
      <c r="F96" s="13"/>
      <c r="G96" s="13"/>
      <c r="H96" s="13"/>
      <c r="I96" s="13"/>
      <c r="J96" s="13"/>
      <c r="M96" s="38"/>
      <c r="N96" s="38"/>
    </row>
    <row r="97" spans="1:14">
      <c r="A97" s="13"/>
      <c r="B97" s="13"/>
      <c r="C97" s="13"/>
      <c r="D97" s="13"/>
      <c r="E97" s="13"/>
      <c r="F97" s="13"/>
      <c r="G97" s="13"/>
      <c r="H97" s="13"/>
      <c r="I97" s="13"/>
      <c r="J97" s="13"/>
      <c r="M97" s="38"/>
      <c r="N97" s="38"/>
    </row>
    <row r="98" spans="1:14">
      <c r="A98" s="13"/>
      <c r="B98" s="13"/>
      <c r="C98" s="13"/>
      <c r="D98" s="13"/>
      <c r="E98" s="13"/>
      <c r="F98" s="13"/>
      <c r="G98" s="13"/>
      <c r="H98" s="13"/>
      <c r="I98" s="13"/>
      <c r="J98" s="13"/>
      <c r="M98" s="38"/>
      <c r="N98" s="38"/>
    </row>
    <row r="99" spans="1:14">
      <c r="A99" s="13"/>
      <c r="B99" s="13"/>
      <c r="C99" s="13"/>
      <c r="D99" s="13"/>
      <c r="E99" s="13"/>
      <c r="F99" s="13"/>
      <c r="G99" s="13"/>
      <c r="H99" s="13"/>
      <c r="I99" s="13"/>
      <c r="J99" s="13"/>
      <c r="M99" s="38"/>
      <c r="N99" s="38"/>
    </row>
    <row r="100" spans="1:14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M100" s="38"/>
      <c r="N100" s="38"/>
    </row>
    <row r="101" spans="1:1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M101" s="38"/>
      <c r="N101" s="38"/>
    </row>
    <row r="102" spans="1:14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M102" s="38"/>
      <c r="N102" s="38"/>
    </row>
    <row r="103" spans="1:1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M103" s="38"/>
      <c r="N103" s="38"/>
    </row>
    <row r="104" spans="1:1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M104" s="38"/>
      <c r="N104" s="38"/>
    </row>
    <row r="105" spans="1:1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M105" s="38"/>
      <c r="N105" s="38"/>
    </row>
    <row r="106" spans="1:1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M106" s="38"/>
      <c r="N106" s="38"/>
    </row>
    <row r="107" spans="1:1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M107" s="38"/>
      <c r="N107" s="38"/>
    </row>
    <row r="108" spans="1:14">
      <c r="M108" s="38"/>
      <c r="N108" s="38"/>
    </row>
    <row r="109" spans="1:14">
      <c r="M109" s="38"/>
      <c r="N109" s="38"/>
    </row>
    <row r="110" spans="1:14">
      <c r="M110" s="38"/>
      <c r="N110" s="38"/>
    </row>
    <row r="111" spans="1:14">
      <c r="M111" s="38"/>
      <c r="N111" s="38"/>
    </row>
    <row r="112" spans="1:14">
      <c r="M112" s="38"/>
      <c r="N112" s="38"/>
    </row>
    <row r="113" spans="13:14">
      <c r="M113" s="38"/>
      <c r="N113" s="38"/>
    </row>
    <row r="114" spans="13:14">
      <c r="M114" s="38"/>
      <c r="N114" s="38"/>
    </row>
    <row r="115" spans="13:14">
      <c r="M115" s="38"/>
      <c r="N115" s="38"/>
    </row>
    <row r="116" spans="13:14">
      <c r="M116" s="38"/>
      <c r="N116" s="38"/>
    </row>
    <row r="117" spans="13:14">
      <c r="M117" s="38"/>
      <c r="N117" s="38"/>
    </row>
    <row r="118" spans="13:14">
      <c r="M118" s="38"/>
      <c r="N118" s="38"/>
    </row>
    <row r="119" spans="13:14">
      <c r="M119" s="38"/>
      <c r="N119" s="38"/>
    </row>
    <row r="120" spans="13:14">
      <c r="M120" s="38"/>
      <c r="N120" s="38"/>
    </row>
    <row r="121" spans="13:14">
      <c r="M121" s="38"/>
      <c r="N121" s="38"/>
    </row>
    <row r="122" spans="13:14">
      <c r="M122" s="38"/>
      <c r="N122" s="38"/>
    </row>
    <row r="123" spans="13:14">
      <c r="M123" s="38"/>
      <c r="N123" s="38"/>
    </row>
    <row r="124" spans="13:14">
      <c r="M124" s="38"/>
      <c r="N124" s="38"/>
    </row>
    <row r="125" spans="13:14">
      <c r="M125" s="38"/>
      <c r="N125" s="38"/>
    </row>
    <row r="126" spans="13:14">
      <c r="M126" s="38"/>
      <c r="N126" s="38"/>
    </row>
    <row r="127" spans="13:14">
      <c r="M127" s="38"/>
      <c r="N127" s="38"/>
    </row>
    <row r="128" spans="13:14">
      <c r="M128" s="38"/>
      <c r="N128" s="38"/>
    </row>
    <row r="129" spans="13:14">
      <c r="M129" s="38"/>
      <c r="N129" s="38"/>
    </row>
    <row r="130" spans="13:14">
      <c r="M130" s="38"/>
      <c r="N130" s="38"/>
    </row>
    <row r="131" spans="13:14">
      <c r="M131" s="38"/>
      <c r="N131" s="38"/>
    </row>
    <row r="132" spans="13:14">
      <c r="M132" s="38"/>
      <c r="N132" s="38"/>
    </row>
    <row r="133" spans="13:14">
      <c r="M133" s="38"/>
      <c r="N133" s="38"/>
    </row>
    <row r="134" spans="13:14">
      <c r="M134" s="38"/>
      <c r="N134" s="38"/>
    </row>
    <row r="135" spans="13:14">
      <c r="M135" s="38"/>
      <c r="N135" s="38"/>
    </row>
    <row r="136" spans="13:14">
      <c r="M136" s="38"/>
      <c r="N136" s="38"/>
    </row>
    <row r="137" spans="13:14">
      <c r="M137" s="38"/>
      <c r="N137" s="38"/>
    </row>
  </sheetData>
  <printOptions horizontalCentered="1"/>
  <pageMargins left="0.7" right="0.7" top="0.75" bottom="0.75" header="0.3" footer="0.3"/>
  <pageSetup scale="58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K124"/>
  <sheetViews>
    <sheetView topLeftCell="A25" zoomScale="75" zoomScaleNormal="75" workbookViewId="0">
      <selection activeCell="G43" sqref="G43"/>
    </sheetView>
  </sheetViews>
  <sheetFormatPr defaultColWidth="9.25" defaultRowHeight="14.25"/>
  <cols>
    <col min="1" max="1" width="5.5" style="2" customWidth="1"/>
    <col min="2" max="2" width="42.875" style="2" customWidth="1"/>
    <col min="3" max="3" width="33.125" style="2" customWidth="1"/>
    <col min="4" max="4" width="17.25" style="2" customWidth="1"/>
    <col min="5" max="5" width="15.5" style="10" customWidth="1"/>
    <col min="6" max="6" width="15" style="2" customWidth="1"/>
    <col min="7" max="7" width="22.75" style="2" customWidth="1"/>
    <col min="8" max="8" width="14.375" style="2" customWidth="1"/>
    <col min="9" max="9" width="19.25" style="2" customWidth="1"/>
    <col min="10" max="16384" width="9.25" style="2"/>
  </cols>
  <sheetData>
    <row r="1" spans="1:9" ht="15">
      <c r="I1" s="225" t="str">
        <f>Index!$D$1</f>
        <v>Exhibit No. SPP-12</v>
      </c>
    </row>
    <row r="2" spans="1:9" ht="15">
      <c r="A2" s="13"/>
      <c r="B2" s="13"/>
      <c r="C2" s="13"/>
      <c r="D2" s="13"/>
      <c r="F2" s="13"/>
      <c r="G2" s="13"/>
      <c r="H2" s="13"/>
      <c r="I2" s="225" t="s">
        <v>374</v>
      </c>
    </row>
    <row r="3" spans="1:9" ht="15">
      <c r="A3" s="13"/>
      <c r="B3" s="13"/>
      <c r="C3" s="13"/>
      <c r="D3" s="13"/>
      <c r="F3" s="13"/>
      <c r="G3" s="13"/>
      <c r="H3" s="13"/>
      <c r="I3" s="225" t="s">
        <v>12</v>
      </c>
    </row>
    <row r="4" spans="1:9">
      <c r="A4" s="13"/>
      <c r="B4" s="13"/>
      <c r="C4" s="13"/>
      <c r="D4" s="13"/>
      <c r="F4" s="13"/>
      <c r="G4" s="13"/>
      <c r="H4" s="13"/>
      <c r="I4" s="13"/>
    </row>
    <row r="5" spans="1:9" ht="21">
      <c r="A5" s="13"/>
      <c r="B5" s="103" t="str">
        <f>Index!B4</f>
        <v>Tri-State Generation and Transmission Association, Inc.</v>
      </c>
      <c r="C5" s="13"/>
      <c r="D5" s="13"/>
      <c r="F5" s="13"/>
      <c r="G5" s="13"/>
      <c r="H5" s="13"/>
      <c r="I5" s="13"/>
    </row>
    <row r="6" spans="1:9">
      <c r="A6" s="13"/>
      <c r="B6" s="13"/>
      <c r="C6" s="13"/>
      <c r="D6" s="13"/>
      <c r="F6" s="13"/>
      <c r="G6" s="13"/>
      <c r="H6" s="13"/>
      <c r="I6" s="13" t="s">
        <v>18</v>
      </c>
    </row>
    <row r="7" spans="1:9" ht="15.75">
      <c r="A7" s="13"/>
      <c r="B7" s="104" t="s">
        <v>188</v>
      </c>
      <c r="C7" s="13"/>
      <c r="D7" s="13"/>
      <c r="F7" s="13"/>
      <c r="G7" s="13"/>
      <c r="H7" s="13"/>
      <c r="I7" s="13"/>
    </row>
    <row r="8" spans="1:9" ht="15.75">
      <c r="A8" s="13"/>
      <c r="B8" s="104" t="str">
        <f>' Summary Page'!$B$8</f>
        <v>Year Ending December 31, 2016</v>
      </c>
      <c r="C8" s="13"/>
      <c r="D8" s="13"/>
      <c r="F8" s="13"/>
      <c r="G8" s="13"/>
      <c r="H8" s="13"/>
      <c r="I8" s="13"/>
    </row>
    <row r="9" spans="1:9">
      <c r="A9" s="13"/>
      <c r="B9" s="13"/>
      <c r="C9" s="13"/>
      <c r="D9" s="13"/>
      <c r="F9" s="13"/>
      <c r="G9" s="13"/>
      <c r="H9" s="13"/>
      <c r="I9" s="13"/>
    </row>
    <row r="10" spans="1:9" ht="15">
      <c r="A10" s="5" t="s">
        <v>20</v>
      </c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5" t="s">
        <v>26</v>
      </c>
      <c r="H10" s="5" t="s">
        <v>27</v>
      </c>
      <c r="I10" s="5" t="s">
        <v>151</v>
      </c>
    </row>
    <row r="11" spans="1:9" ht="30">
      <c r="A11" s="58" t="s">
        <v>19</v>
      </c>
      <c r="B11" s="58" t="s">
        <v>0</v>
      </c>
      <c r="C11" s="58" t="s">
        <v>1</v>
      </c>
      <c r="D11" s="58" t="s">
        <v>4</v>
      </c>
      <c r="E11" s="58"/>
      <c r="F11" s="58" t="s">
        <v>4</v>
      </c>
      <c r="G11" s="58" t="s">
        <v>5</v>
      </c>
      <c r="H11" s="58" t="s">
        <v>28</v>
      </c>
      <c r="I11" s="58" t="s">
        <v>242</v>
      </c>
    </row>
    <row r="12" spans="1:9" ht="15.75">
      <c r="A12" s="190">
        <v>1</v>
      </c>
      <c r="B12" s="192" t="s">
        <v>3</v>
      </c>
      <c r="C12" s="192"/>
      <c r="D12" s="138" t="s">
        <v>56</v>
      </c>
      <c r="E12" s="151" t="s">
        <v>57</v>
      </c>
      <c r="F12" s="116"/>
      <c r="G12" s="119"/>
      <c r="H12" s="119"/>
      <c r="I12" s="193"/>
    </row>
    <row r="13" spans="1:9" ht="15.75">
      <c r="A13" s="212"/>
      <c r="B13" s="192"/>
      <c r="C13" s="192"/>
      <c r="D13" s="192"/>
      <c r="E13" s="119"/>
      <c r="F13" s="116"/>
      <c r="G13" s="119"/>
      <c r="H13" s="119"/>
      <c r="I13" s="193"/>
    </row>
    <row r="14" spans="1:9" ht="15">
      <c r="A14" s="212">
        <f>A12+1</f>
        <v>2</v>
      </c>
      <c r="B14" s="213" t="str">
        <f>CONCATENATE('Worksheet G O&amp;M Input'!C14," ",'Worksheet G O&amp;M Input'!B14)</f>
        <v>560 Supervision and Engineering</v>
      </c>
      <c r="C14" s="213" t="str">
        <f>CONCATENATE('Worksheet G O&amp;M Input'!$F$3,", Line ",'Worksheet G O&amp;M Input'!A14," Cols ",'Worksheet G O&amp;M Input'!D9," Thru ",'Worksheet G O&amp;M Input'!F9)</f>
        <v>Worksheet G, Line 1 Cols D Thru F</v>
      </c>
      <c r="D14" s="214">
        <f>'Worksheet G O&amp;M Input'!D14</f>
        <v>6405346</v>
      </c>
      <c r="E14" s="215">
        <f>'Worksheet G O&amp;M Input'!E14</f>
        <v>11895643</v>
      </c>
      <c r="F14" s="215">
        <f>SUM(D14:E14)</f>
        <v>18300989</v>
      </c>
      <c r="G14" s="125" t="str">
        <f>'Worksheet E, Alloc. Factor'!$B$29</f>
        <v>T-Tran Plant</v>
      </c>
      <c r="H14" s="181">
        <f t="shared" ref="H14:H29" si="0">VLOOKUP($G14,AlloFactors,5)</f>
        <v>3.2030604425698279E-2</v>
      </c>
      <c r="I14" s="201">
        <f t="shared" ref="I14:I29" si="1">F14*H14</f>
        <v>586191.73925805558</v>
      </c>
    </row>
    <row r="15" spans="1:9" ht="15">
      <c r="A15" s="212">
        <f>A14+1</f>
        <v>3</v>
      </c>
      <c r="B15" s="213" t="str">
        <f>CONCATENATE('Worksheet G O&amp;M Input'!C15," ",'Worksheet G O&amp;M Input'!B15)</f>
        <v>561 Load Dispatching</v>
      </c>
      <c r="C15" s="213" t="str">
        <f>CONCATENATE('Worksheet G O&amp;M Input'!$F$3,", Line ",'Worksheet G O&amp;M Input'!A15," Cols ",'Worksheet G O&amp;M Input'!D9," and ",'Worksheet G O&amp;M Input'!F9)</f>
        <v>Worksheet G, Line 2 Cols D and F</v>
      </c>
      <c r="D15" s="214">
        <f>'Worksheet G O&amp;M Input'!D15</f>
        <v>9253409</v>
      </c>
      <c r="E15" s="215">
        <f>'Worksheet G O&amp;M Input'!E15</f>
        <v>0</v>
      </c>
      <c r="F15" s="215">
        <f t="shared" ref="F15:F29" si="2">SUM(D15:E15)</f>
        <v>9253409</v>
      </c>
      <c r="G15" s="125" t="str">
        <f>'Worksheet E, Alloc. Factor'!$B$29</f>
        <v>T-Tran Plant</v>
      </c>
      <c r="H15" s="181">
        <f t="shared" si="0"/>
        <v>3.2030604425698279E-2</v>
      </c>
      <c r="I15" s="201">
        <f t="shared" si="1"/>
        <v>296392.28326819628</v>
      </c>
    </row>
    <row r="16" spans="1:9" ht="15">
      <c r="A16" s="212">
        <f t="shared" ref="A16:A30" si="3">A15+1</f>
        <v>4</v>
      </c>
      <c r="B16" s="213" t="str">
        <f>CONCATENATE('Worksheet G O&amp;M Input'!C16," ",'Worksheet G O&amp;M Input'!B16)</f>
        <v>562 Station Expenses</v>
      </c>
      <c r="C16" s="213" t="str">
        <f>CONCATENATE('Worksheet G O&amp;M Input'!$F$3,", Line ",'Worksheet G O&amp;M Input'!A16," Cols ",'Worksheet G O&amp;M Input'!E9," Thru ",'Worksheet G O&amp;M Input'!F9)</f>
        <v>Worksheet G, Line 3 Cols E Thru F</v>
      </c>
      <c r="D16" s="214">
        <f>'Worksheet G O&amp;M Input'!D16</f>
        <v>0</v>
      </c>
      <c r="E16" s="215">
        <f>'Worksheet G O&amp;M Input'!E16</f>
        <v>15372051</v>
      </c>
      <c r="F16" s="215">
        <f t="shared" si="2"/>
        <v>15372051</v>
      </c>
      <c r="G16" s="125" t="str">
        <f>'Worksheet E, Alloc. Factor'!$B$23</f>
        <v>T-Tran Stations</v>
      </c>
      <c r="H16" s="181">
        <f t="shared" si="0"/>
        <v>2.6965081637855898E-2</v>
      </c>
      <c r="I16" s="201">
        <f t="shared" si="1"/>
        <v>414508.61015628441</v>
      </c>
    </row>
    <row r="17" spans="1:11" ht="15">
      <c r="A17" s="212">
        <f t="shared" si="3"/>
        <v>5</v>
      </c>
      <c r="B17" s="213" t="str">
        <f>CONCATENATE('Worksheet G O&amp;M Input'!C17," ",'Worksheet G O&amp;M Input'!B17)</f>
        <v>563 Overhead Line Expenses</v>
      </c>
      <c r="C17" s="213" t="str">
        <f>CONCATENATE('Worksheet G O&amp;M Input'!$F$3,", Line ",'Worksheet G O&amp;M Input'!A17," Cols ",'Worksheet G O&amp;M Input'!D9," and ",'Worksheet G O&amp;M Input'!F9)</f>
        <v>Worksheet G, Line 4 Cols D and F</v>
      </c>
      <c r="D17" s="214">
        <f>'Worksheet G O&amp;M Input'!D17</f>
        <v>7392584</v>
      </c>
      <c r="E17" s="215">
        <f>'Worksheet G O&amp;M Input'!E17</f>
        <v>0</v>
      </c>
      <c r="F17" s="215">
        <f t="shared" si="2"/>
        <v>7392584</v>
      </c>
      <c r="G17" s="125" t="s">
        <v>244</v>
      </c>
      <c r="H17" s="181">
        <f t="shared" si="0"/>
        <v>3.8550660266060036E-2</v>
      </c>
      <c r="I17" s="201">
        <f t="shared" si="1"/>
        <v>284988.99427231116</v>
      </c>
    </row>
    <row r="18" spans="1:11" ht="15">
      <c r="A18" s="212">
        <f t="shared" si="3"/>
        <v>6</v>
      </c>
      <c r="B18" s="213" t="str">
        <f>CONCATENATE('Worksheet G O&amp;M Input'!C18," ",'Worksheet G O&amp;M Input'!B18)</f>
        <v>564 Underground Line Expenses</v>
      </c>
      <c r="C18" s="213" t="str">
        <f>CONCATENATE('Worksheet G O&amp;M Input'!$F$3,", Line ",'Worksheet G O&amp;M Input'!A18," Cols ",'Worksheet G O&amp;M Input'!D9," and ",'Worksheet G O&amp;M Input'!F9)</f>
        <v>Worksheet G, Line 5 Cols D and F</v>
      </c>
      <c r="D18" s="214">
        <f>'Worksheet G O&amp;M Input'!D18</f>
        <v>0</v>
      </c>
      <c r="E18" s="215">
        <f>'Worksheet G O&amp;M Input'!E18</f>
        <v>0</v>
      </c>
      <c r="F18" s="215">
        <f t="shared" si="2"/>
        <v>0</v>
      </c>
      <c r="G18" s="125" t="s">
        <v>244</v>
      </c>
      <c r="H18" s="181">
        <f t="shared" si="0"/>
        <v>3.8550660266060036E-2</v>
      </c>
      <c r="I18" s="201">
        <f t="shared" si="1"/>
        <v>0</v>
      </c>
    </row>
    <row r="19" spans="1:11" ht="15">
      <c r="A19" s="212">
        <f t="shared" si="3"/>
        <v>7</v>
      </c>
      <c r="B19" s="213" t="str">
        <f>CONCATENATE('Worksheet G O&amp;M Input'!C19," ",'Worksheet G O&amp;M Input'!B19)</f>
        <v>566 Miscellaneous Expenses</v>
      </c>
      <c r="C19" s="213" t="str">
        <f>CONCATENATE('Worksheet G O&amp;M Input'!$F$3,", Line ",'Worksheet G O&amp;M Input'!A19," Cols ",'Worksheet G O&amp;M Input'!D9," Thru ",'Worksheet G O&amp;M Input'!F9)</f>
        <v>Worksheet G, Line 6 Cols D Thru F</v>
      </c>
      <c r="D19" s="214">
        <f>'Worksheet G O&amp;M Input'!D19</f>
        <v>7091195</v>
      </c>
      <c r="E19" s="215">
        <f>'Worksheet G O&amp;M Input'!E19</f>
        <v>16365452</v>
      </c>
      <c r="F19" s="215">
        <f t="shared" si="2"/>
        <v>23456647</v>
      </c>
      <c r="G19" s="125" t="str">
        <f>'Worksheet E, Alloc. Factor'!$B$29</f>
        <v>T-Tran Plant</v>
      </c>
      <c r="H19" s="181">
        <f t="shared" si="0"/>
        <v>3.2030604425698279E-2</v>
      </c>
      <c r="I19" s="201">
        <f t="shared" si="1"/>
        <v>751330.58121024224</v>
      </c>
    </row>
    <row r="20" spans="1:11" ht="15">
      <c r="A20" s="212">
        <f t="shared" si="3"/>
        <v>8</v>
      </c>
      <c r="B20" s="213" t="str">
        <f>CONCATENATE('Worksheet G O&amp;M Input'!C21," ",'Worksheet G O&amp;M Input'!B21)</f>
        <v>565 Transmission of Electricity by others</v>
      </c>
      <c r="C20" s="213" t="str">
        <f>CONCATENATE('Worksheet G O&amp;M Input'!$F$3,", Line ",'Worksheet G O&amp;M Input'!A21," Cols ",'Worksheet G O&amp;M Input'!D9," and ",'Worksheet G O&amp;M Input'!F9)</f>
        <v>Worksheet G, Line 8 Cols D and F</v>
      </c>
      <c r="D20" s="214">
        <f>'Worksheet G O&amp;M Input'!D21</f>
        <v>50949240</v>
      </c>
      <c r="E20" s="214">
        <f>'Worksheet G O&amp;M Input'!E21</f>
        <v>0</v>
      </c>
      <c r="F20" s="215">
        <f t="shared" si="2"/>
        <v>50949240</v>
      </c>
      <c r="G20" s="125" t="s">
        <v>278</v>
      </c>
      <c r="H20" s="181">
        <f t="shared" si="0"/>
        <v>3.2102420073623524E-2</v>
      </c>
      <c r="I20" s="201">
        <f t="shared" si="1"/>
        <v>1635593.9049118625</v>
      </c>
    </row>
    <row r="21" spans="1:11" ht="15">
      <c r="A21" s="212">
        <f t="shared" si="3"/>
        <v>9</v>
      </c>
      <c r="B21" s="213" t="str">
        <f>CONCATENATE('Worksheet G O&amp;M Input'!C22," ",'Worksheet G O&amp;M Input'!B22)</f>
        <v>567 Rents</v>
      </c>
      <c r="C21" s="213" t="str">
        <f>CONCATENATE('Worksheet G O&amp;M Input'!$F$3,", Line ",'Worksheet G O&amp;M Input'!A22," Cols ",'Worksheet G O&amp;M Input'!D9," Thru ",'Worksheet G O&amp;M Input'!F9)</f>
        <v>Worksheet G, Line 9 Cols D Thru F</v>
      </c>
      <c r="D21" s="214">
        <f>'Worksheet G O&amp;M Input'!D22</f>
        <v>84281</v>
      </c>
      <c r="E21" s="214">
        <f>'Worksheet G O&amp;M Input'!E22</f>
        <v>156522</v>
      </c>
      <c r="F21" s="215">
        <f t="shared" si="2"/>
        <v>240803</v>
      </c>
      <c r="G21" s="125" t="str">
        <f>'Worksheet E, Alloc. Factor'!$B$23</f>
        <v>T-Tran Stations</v>
      </c>
      <c r="H21" s="181">
        <f t="shared" si="0"/>
        <v>2.6965081637855898E-2</v>
      </c>
      <c r="I21" s="201">
        <f t="shared" si="1"/>
        <v>6493.2725536406142</v>
      </c>
    </row>
    <row r="22" spans="1:11" ht="15">
      <c r="A22" s="212">
        <f t="shared" si="3"/>
        <v>10</v>
      </c>
      <c r="B22" s="213" t="str">
        <f>CONCATENATE('Worksheet G O&amp;M Input'!C25," ",'Worksheet G O&amp;M Input'!B25)</f>
        <v>568 Supervision and Engineering</v>
      </c>
      <c r="C22" s="213" t="str">
        <f>CONCATENATE('Worksheet G O&amp;M Input'!$F$3,", Line ",'Worksheet G O&amp;M Input'!A25," Cols ",'Worksheet G O&amp;M Input'!D9," Thru ",'Worksheet G O&amp;M Input'!F9)</f>
        <v>Worksheet G, Line 11 Cols D Thru F</v>
      </c>
      <c r="D22" s="214">
        <f>'Worksheet G O&amp;M Input'!D25</f>
        <v>5706710</v>
      </c>
      <c r="E22" s="139">
        <f>'Worksheet G O&amp;M Input'!E25</f>
        <v>10598175</v>
      </c>
      <c r="F22" s="215">
        <f t="shared" si="2"/>
        <v>16304885</v>
      </c>
      <c r="G22" s="125" t="str">
        <f>'Worksheet E, Alloc. Factor'!$B$29</f>
        <v>T-Tran Plant</v>
      </c>
      <c r="H22" s="181">
        <f t="shared" si="0"/>
        <v>3.2030604425698279E-2</v>
      </c>
      <c r="I22" s="201">
        <f t="shared" si="1"/>
        <v>522255.3216415015</v>
      </c>
    </row>
    <row r="23" spans="1:11" ht="15">
      <c r="A23" s="212">
        <f t="shared" si="3"/>
        <v>11</v>
      </c>
      <c r="B23" s="213" t="str">
        <f>CONCATENATE('Worksheet G O&amp;M Input'!C26," ",'Worksheet G O&amp;M Input'!B26)</f>
        <v>569 Structures</v>
      </c>
      <c r="C23" s="213" t="str">
        <f>CONCATENATE('Worksheet G O&amp;M Input'!$F$3,", Line ",'Worksheet G O&amp;M Input'!A26," Cols ",'Worksheet G O&amp;M Input'!E$9," Thru ",'Worksheet G O&amp;M Input'!F$9)</f>
        <v>Worksheet G, Line 12 Cols E Thru F</v>
      </c>
      <c r="D23" s="214"/>
      <c r="E23" s="139">
        <f>'Worksheet G O&amp;M Input'!E26</f>
        <v>106018</v>
      </c>
      <c r="F23" s="215">
        <f t="shared" si="2"/>
        <v>106018</v>
      </c>
      <c r="G23" s="125" t="str">
        <f>'Worksheet E, Alloc. Factor'!$B$23</f>
        <v>T-Tran Stations</v>
      </c>
      <c r="H23" s="181">
        <f t="shared" si="0"/>
        <v>2.6965081637855898E-2</v>
      </c>
      <c r="I23" s="201">
        <f t="shared" si="1"/>
        <v>2858.7840250822064</v>
      </c>
    </row>
    <row r="24" spans="1:11" ht="15">
      <c r="A24" s="212">
        <f t="shared" si="3"/>
        <v>12</v>
      </c>
      <c r="B24" s="213" t="str">
        <f>CONCATENATE('Worksheet G O&amp;M Input'!C27," ",'Worksheet G O&amp;M Input'!B27)</f>
        <v>570 Station Equipment</v>
      </c>
      <c r="C24" s="213" t="str">
        <f>CONCATENATE('Worksheet G O&amp;M Input'!$F$3,", Line ",'Worksheet G O&amp;M Input'!A27," Cols ",'Worksheet G O&amp;M Input'!E$9," Thru ",'Worksheet G O&amp;M Input'!F$9)</f>
        <v>Worksheet G, Line 13 Cols E Thru F</v>
      </c>
      <c r="D24" s="214"/>
      <c r="E24" s="139">
        <f>'Worksheet G O&amp;M Input'!E27</f>
        <v>7408517</v>
      </c>
      <c r="F24" s="215">
        <f t="shared" si="2"/>
        <v>7408517</v>
      </c>
      <c r="G24" s="125" t="str">
        <f>'Worksheet E, Alloc. Factor'!$B$23</f>
        <v>T-Tran Stations</v>
      </c>
      <c r="H24" s="181">
        <f t="shared" si="0"/>
        <v>2.6965081637855898E-2</v>
      </c>
      <c r="I24" s="201">
        <f t="shared" si="1"/>
        <v>199771.26572044328</v>
      </c>
    </row>
    <row r="25" spans="1:11" ht="15">
      <c r="A25" s="212">
        <f t="shared" si="3"/>
        <v>13</v>
      </c>
      <c r="B25" s="213" t="str">
        <f>CONCATENATE('Worksheet G O&amp;M Input'!C28," ",'Worksheet G O&amp;M Input'!B28)</f>
        <v>571 Overhead Lines</v>
      </c>
      <c r="C25" s="213" t="str">
        <f>CONCATENATE('Worksheet G O&amp;M Input'!$F$3,", Line ",'Worksheet G O&amp;M Input'!A28," Cols ",'Worksheet G O&amp;M Input'!D$9," and ",'Worksheet G O&amp;M Input'!F$9)</f>
        <v>Worksheet G, Line 14 Cols D and F</v>
      </c>
      <c r="D25" s="214">
        <f>'Worksheet G O&amp;M Input'!D28</f>
        <v>3195490</v>
      </c>
      <c r="E25" s="139"/>
      <c r="F25" s="215">
        <f t="shared" si="2"/>
        <v>3195490</v>
      </c>
      <c r="G25" s="125" t="s">
        <v>244</v>
      </c>
      <c r="H25" s="181">
        <f t="shared" si="0"/>
        <v>3.8550660266060036E-2</v>
      </c>
      <c r="I25" s="201">
        <f t="shared" si="1"/>
        <v>123188.24937359219</v>
      </c>
    </row>
    <row r="26" spans="1:11" ht="15">
      <c r="A26" s="212">
        <f t="shared" si="3"/>
        <v>14</v>
      </c>
      <c r="B26" s="213" t="str">
        <f>CONCATENATE('Worksheet G O&amp;M Input'!C29," ",'Worksheet G O&amp;M Input'!B29)</f>
        <v>572 Underground Lines</v>
      </c>
      <c r="C26" s="213" t="str">
        <f>CONCATENATE('Worksheet G O&amp;M Input'!$F$3,", Line ",'Worksheet G O&amp;M Input'!A29," Cols ",'Worksheet G O&amp;M Input'!D$9," and ",'Worksheet G O&amp;M Input'!F$9)</f>
        <v>Worksheet G, Line 15 Cols D and F</v>
      </c>
      <c r="D26" s="214">
        <f>'Worksheet G O&amp;M Input'!D29</f>
        <v>0</v>
      </c>
      <c r="E26" s="139"/>
      <c r="F26" s="215">
        <f t="shared" si="2"/>
        <v>0</v>
      </c>
      <c r="G26" s="125" t="s">
        <v>244</v>
      </c>
      <c r="H26" s="181">
        <f t="shared" si="0"/>
        <v>3.8550660266060036E-2</v>
      </c>
      <c r="I26" s="201">
        <f t="shared" si="1"/>
        <v>0</v>
      </c>
    </row>
    <row r="27" spans="1:11" ht="15">
      <c r="A27" s="212">
        <f t="shared" si="3"/>
        <v>15</v>
      </c>
      <c r="B27" s="213" t="str">
        <f>CONCATENATE('Worksheet G O&amp;M Input'!C30," ",'Worksheet G O&amp;M Input'!B30)</f>
        <v>573 Miscellaneous Transmission Plant</v>
      </c>
      <c r="C27" s="213" t="str">
        <f>CONCATENATE('Worksheet G O&amp;M Input'!$F$3,", Line ",'Worksheet G O&amp;M Input'!A30," Cols ",'Worksheet G O&amp;M Input'!D9," Thru ",'Worksheet G O&amp;M Input'!F9)</f>
        <v>Worksheet G, Line 16 Cols D Thru F</v>
      </c>
      <c r="D27" s="214">
        <f>'Worksheet G O&amp;M Input'!D30</f>
        <v>1125185</v>
      </c>
      <c r="E27" s="139">
        <f>'Worksheet G O&amp;M Input'!E30</f>
        <v>2601325</v>
      </c>
      <c r="F27" s="215">
        <f t="shared" si="2"/>
        <v>3726510</v>
      </c>
      <c r="G27" s="125" t="str">
        <f>'Worksheet E, Alloc. Factor'!$B$29</f>
        <v>T-Tran Plant</v>
      </c>
      <c r="H27" s="181">
        <f t="shared" si="0"/>
        <v>3.2030604425698279E-2</v>
      </c>
      <c r="I27" s="201">
        <f t="shared" si="1"/>
        <v>119362.3676984089</v>
      </c>
    </row>
    <row r="28" spans="1:11" ht="15">
      <c r="A28" s="212">
        <f t="shared" si="3"/>
        <v>16</v>
      </c>
      <c r="B28" s="213" t="str">
        <f>CONCATENATE('Worksheet G O&amp;M Input'!C33," ",'Worksheet G O&amp;M Input'!B33)</f>
        <v>575.1-575.8 RTO/ISO Expense - Operation</v>
      </c>
      <c r="C28" s="213" t="str">
        <f>CONCATENATE('Worksheet G O&amp;M Input'!$F$3,", Line ",'Worksheet G O&amp;M Input'!A33," Cols ",'Worksheet G O&amp;M Input'!D9," Thru ",'Worksheet G O&amp;M Input'!F9)</f>
        <v>Worksheet G, Line 19 Cols D Thru F</v>
      </c>
      <c r="D28" s="214">
        <f>'Worksheet G O&amp;M Input'!D33</f>
        <v>0</v>
      </c>
      <c r="E28" s="214">
        <f>'Worksheet G O&amp;M Input'!E33</f>
        <v>0</v>
      </c>
      <c r="F28" s="215">
        <f>SUM(D28:E28)</f>
        <v>0</v>
      </c>
      <c r="G28" s="125" t="s">
        <v>334</v>
      </c>
      <c r="H28" s="181">
        <f t="shared" si="0"/>
        <v>0</v>
      </c>
      <c r="I28" s="201">
        <f t="shared" si="1"/>
        <v>0</v>
      </c>
    </row>
    <row r="29" spans="1:11" ht="15">
      <c r="A29" s="212">
        <f t="shared" si="3"/>
        <v>17</v>
      </c>
      <c r="B29" s="213" t="str">
        <f>CONCATENATE('Worksheet G O&amp;M Input'!C34," ",'Worksheet G O&amp;M Input'!B34)</f>
        <v xml:space="preserve">576.1-576.5 RTO/ISO Expense - Maintenance </v>
      </c>
      <c r="C29" s="213" t="str">
        <f>CONCATENATE('Worksheet G O&amp;M Input'!$F$3,", Line ",'Worksheet G O&amp;M Input'!A34," Cols ",'Worksheet G O&amp;M Input'!D9," Thru ",'Worksheet G O&amp;M Input'!F9)</f>
        <v>Worksheet G, Line 20 Cols D Thru F</v>
      </c>
      <c r="D29" s="214">
        <f>'Worksheet G O&amp;M Input'!D34</f>
        <v>0</v>
      </c>
      <c r="E29" s="214">
        <f>'Worksheet G O&amp;M Input'!E34</f>
        <v>0</v>
      </c>
      <c r="F29" s="215">
        <f t="shared" si="2"/>
        <v>0</v>
      </c>
      <c r="G29" s="125" t="s">
        <v>335</v>
      </c>
      <c r="H29" s="181">
        <f t="shared" si="0"/>
        <v>0</v>
      </c>
      <c r="I29" s="201">
        <f t="shared" si="1"/>
        <v>0</v>
      </c>
    </row>
    <row r="30" spans="1:11" ht="15">
      <c r="A30" s="212">
        <f t="shared" si="3"/>
        <v>18</v>
      </c>
      <c r="B30" s="119" t="s">
        <v>7</v>
      </c>
      <c r="C30" s="175" t="s">
        <v>16</v>
      </c>
      <c r="D30" s="180">
        <f>SUM(D14:D29)</f>
        <v>91203440</v>
      </c>
      <c r="E30" s="180">
        <f>SUM(E14:E29)</f>
        <v>64503703</v>
      </c>
      <c r="F30" s="180">
        <f>SUM(F14:F29)</f>
        <v>155707143</v>
      </c>
      <c r="G30" s="216"/>
      <c r="H30" s="211"/>
      <c r="I30" s="217">
        <f>SUM(I14:I29)</f>
        <v>4942935.3740896201</v>
      </c>
    </row>
    <row r="31" spans="1:11" ht="15">
      <c r="A31" s="212"/>
      <c r="B31" s="119"/>
      <c r="C31" s="125"/>
      <c r="D31" s="125"/>
      <c r="E31" s="119"/>
      <c r="F31" s="193"/>
      <c r="G31" s="216"/>
      <c r="H31" s="211"/>
      <c r="I31" s="201"/>
      <c r="K31" s="304"/>
    </row>
    <row r="32" spans="1:11" ht="15">
      <c r="A32" s="212">
        <f>A30+1</f>
        <v>19</v>
      </c>
      <c r="B32" s="119" t="s">
        <v>236</v>
      </c>
      <c r="C32" s="175" t="str">
        <f>CONCATENATE('Worksheet F, Inputs'!$F$3,", Line ",'Worksheet F, Inputs'!A129," Col ",'Worksheet F, Inputs'!$F$10)</f>
        <v>Worksheet F, Line 97 Col F</v>
      </c>
      <c r="D32" s="148"/>
      <c r="E32" s="119"/>
      <c r="F32" s="148">
        <f>'Worksheet F, Inputs'!$F$129</f>
        <v>772995</v>
      </c>
      <c r="G32" s="125" t="s">
        <v>254</v>
      </c>
      <c r="H32" s="181">
        <f>VLOOKUP($G32,AlloFactors,5)</f>
        <v>6.7761806981519512E-2</v>
      </c>
      <c r="I32" s="201">
        <f>F32*H32</f>
        <v>52379.537987679672</v>
      </c>
    </row>
    <row r="33" spans="1:11" ht="15">
      <c r="A33" s="212">
        <f>A32+1</f>
        <v>20</v>
      </c>
      <c r="B33" s="119" t="s">
        <v>358</v>
      </c>
      <c r="C33" s="175" t="str">
        <f>CONCATENATE('Worksheet F, Inputs'!$F$3,", Line ",'Worksheet F, Inputs'!A130," Col ",'Worksheet F, Inputs'!$F$10)</f>
        <v>Worksheet F, Line 98 Col F</v>
      </c>
      <c r="D33" s="148"/>
      <c r="E33" s="119"/>
      <c r="F33" s="148">
        <f>'Worksheet F, Inputs'!$F$130</f>
        <v>2387255</v>
      </c>
      <c r="G33" s="183" t="s">
        <v>362</v>
      </c>
      <c r="H33" s="181">
        <f>VLOOKUP($G33,AlloFactors,5)</f>
        <v>0</v>
      </c>
      <c r="I33" s="201">
        <f>F33*H33</f>
        <v>0</v>
      </c>
    </row>
    <row r="34" spans="1:11" ht="15">
      <c r="A34" s="212">
        <f>A33+1</f>
        <v>21</v>
      </c>
      <c r="B34" s="119" t="s">
        <v>359</v>
      </c>
      <c r="C34" s="175" t="str">
        <f>CONCATENATE('Worksheet F, Inputs'!$F$3,", Line ",'Worksheet F, Inputs'!A131," Col ",'Worksheet F, Inputs'!$F$10)</f>
        <v>Worksheet F, Line 99 Col F</v>
      </c>
      <c r="D34" s="148"/>
      <c r="E34" s="119"/>
      <c r="F34" s="148">
        <f>'Worksheet F, Inputs'!$F$131</f>
        <v>0</v>
      </c>
      <c r="G34" s="183" t="s">
        <v>362</v>
      </c>
      <c r="H34" s="181">
        <f>VLOOKUP($G34,AlloFactors,5)</f>
        <v>0</v>
      </c>
      <c r="I34" s="201">
        <f>F34*H34</f>
        <v>0</v>
      </c>
    </row>
    <row r="35" spans="1:11" ht="15">
      <c r="A35" s="212">
        <f>A34+1</f>
        <v>22</v>
      </c>
      <c r="B35" s="119" t="s">
        <v>360</v>
      </c>
      <c r="C35" s="175" t="s">
        <v>16</v>
      </c>
      <c r="D35" s="148"/>
      <c r="E35" s="148"/>
      <c r="F35" s="148">
        <f>SUM(F32:F34)</f>
        <v>3160250</v>
      </c>
      <c r="G35" s="216"/>
      <c r="H35" s="211"/>
      <c r="I35" s="217">
        <f>SUM(I32:I34)</f>
        <v>52379.537987679672</v>
      </c>
    </row>
    <row r="36" spans="1:11" ht="15">
      <c r="A36" s="212"/>
      <c r="B36" s="119"/>
      <c r="C36" s="125"/>
      <c r="D36" s="125"/>
      <c r="E36" s="119"/>
      <c r="F36" s="193"/>
      <c r="G36" s="216"/>
      <c r="H36" s="211"/>
      <c r="I36" s="201"/>
    </row>
    <row r="37" spans="1:11" ht="15">
      <c r="A37" s="212">
        <f>A35+1</f>
        <v>23</v>
      </c>
      <c r="B37" s="192" t="s">
        <v>34</v>
      </c>
      <c r="C37" s="138"/>
      <c r="D37" s="138"/>
      <c r="E37" s="119"/>
      <c r="F37" s="174"/>
      <c r="G37" s="216"/>
      <c r="H37" s="211"/>
      <c r="I37" s="174"/>
    </row>
    <row r="38" spans="1:11" ht="15">
      <c r="A38" s="212">
        <f>A37+1</f>
        <v>24</v>
      </c>
      <c r="B38" s="119" t="s">
        <v>74</v>
      </c>
      <c r="C38" s="175" t="str">
        <f>CONCATENATE('Worksheet F, Inputs'!$F$3,", Line ",'Worksheet F, Inputs'!A132," Col ",'Worksheet F, Inputs'!$F$10)</f>
        <v>Worksheet F, Line 100 Col F</v>
      </c>
      <c r="D38" s="125"/>
      <c r="E38" s="119"/>
      <c r="F38" s="218">
        <f>'Worksheet F, Inputs'!F132</f>
        <v>12413884</v>
      </c>
      <c r="G38" s="216" t="s">
        <v>124</v>
      </c>
      <c r="H38" s="181">
        <f>VLOOKUP($G38,AlloFactors,5)</f>
        <v>1.6684417124725869E-2</v>
      </c>
      <c r="I38" s="179">
        <f>F38*H38</f>
        <v>207118.41879396047</v>
      </c>
    </row>
    <row r="39" spans="1:11" ht="15">
      <c r="A39" s="212">
        <f>A38+1</f>
        <v>25</v>
      </c>
      <c r="B39" s="119" t="s">
        <v>75</v>
      </c>
      <c r="C39" s="175" t="str">
        <f>CONCATENATE('Worksheet F, Inputs'!$F$3,", Line ",'Worksheet F, Inputs'!A140," Col ",'Worksheet F, Inputs'!$F$10)</f>
        <v>Worksheet F, Line 107 Col F</v>
      </c>
      <c r="D39" s="125"/>
      <c r="E39" s="119"/>
      <c r="F39" s="218">
        <f>'Worksheet F, Inputs'!F140</f>
        <v>10745455</v>
      </c>
      <c r="G39" s="216" t="s">
        <v>124</v>
      </c>
      <c r="H39" s="181">
        <f>VLOOKUP($G39,AlloFactors,5)</f>
        <v>1.6684417124725869E-2</v>
      </c>
      <c r="I39" s="179">
        <f>F39*H39</f>
        <v>179281.6534149712</v>
      </c>
    </row>
    <row r="40" spans="1:11" ht="15">
      <c r="A40" s="212">
        <f>A39+1</f>
        <v>26</v>
      </c>
      <c r="B40" s="119" t="s">
        <v>167</v>
      </c>
      <c r="C40" s="185" t="s">
        <v>16</v>
      </c>
      <c r="D40" s="186"/>
      <c r="E40" s="119"/>
      <c r="F40" s="174">
        <f>SUM(F38:F39)</f>
        <v>23159339</v>
      </c>
      <c r="G40" s="216"/>
      <c r="H40" s="211"/>
      <c r="I40" s="217">
        <f>SUM(I38:I39)</f>
        <v>386400.07220893167</v>
      </c>
    </row>
    <row r="41" spans="1:11" ht="15">
      <c r="A41" s="159"/>
      <c r="B41" s="119"/>
      <c r="C41" s="119"/>
      <c r="D41" s="119"/>
      <c r="E41" s="119"/>
      <c r="F41" s="218"/>
      <c r="G41" s="125"/>
      <c r="H41" s="119"/>
      <c r="I41" s="179"/>
    </row>
    <row r="42" spans="1:11" ht="15">
      <c r="A42" s="159">
        <f>A40+1</f>
        <v>27</v>
      </c>
      <c r="B42" s="119" t="s">
        <v>150</v>
      </c>
      <c r="C42" s="119"/>
      <c r="D42" s="119"/>
      <c r="E42" s="119"/>
      <c r="F42" s="218">
        <f>F30+F35+F40</f>
        <v>182026732</v>
      </c>
      <c r="G42" s="125"/>
      <c r="H42" s="119"/>
      <c r="I42" s="217">
        <f>I30+I35+I40</f>
        <v>5381714.984286231</v>
      </c>
    </row>
    <row r="43" spans="1:11" ht="15">
      <c r="A43" s="159"/>
      <c r="B43" s="119"/>
      <c r="C43" s="119"/>
      <c r="D43" s="119"/>
      <c r="E43" s="119"/>
      <c r="F43" s="218"/>
      <c r="G43" s="125"/>
      <c r="H43" s="119"/>
      <c r="I43" s="179"/>
      <c r="K43" s="304"/>
    </row>
    <row r="44" spans="1:11" ht="15">
      <c r="A44" s="159"/>
      <c r="B44" s="119"/>
      <c r="C44" s="119"/>
      <c r="D44" s="119"/>
      <c r="E44" s="119"/>
      <c r="F44" s="218"/>
      <c r="G44" s="125"/>
      <c r="H44" s="119"/>
      <c r="I44" s="179"/>
    </row>
    <row r="45" spans="1:11" ht="15">
      <c r="A45" s="159"/>
      <c r="B45" s="119"/>
      <c r="C45" s="119"/>
      <c r="D45" s="219" t="s">
        <v>4</v>
      </c>
      <c r="E45" s="219" t="s">
        <v>134</v>
      </c>
      <c r="F45" s="219" t="s">
        <v>135</v>
      </c>
      <c r="G45" s="125"/>
      <c r="H45" s="119"/>
      <c r="I45" s="179"/>
    </row>
    <row r="46" spans="1:11" ht="15">
      <c r="A46" s="159">
        <f>A42+1</f>
        <v>28</v>
      </c>
      <c r="B46" s="169" t="s">
        <v>193</v>
      </c>
      <c r="C46" s="119"/>
      <c r="D46" s="119"/>
      <c r="E46" s="119"/>
      <c r="F46" s="218"/>
      <c r="G46" s="125"/>
      <c r="H46" s="119"/>
      <c r="I46" s="179"/>
    </row>
    <row r="47" spans="1:11" ht="15">
      <c r="A47" s="159">
        <f>A46+1</f>
        <v>29</v>
      </c>
      <c r="B47" s="119" t="s">
        <v>128</v>
      </c>
      <c r="C47" s="119" t="s">
        <v>559</v>
      </c>
      <c r="D47" s="174">
        <v>37618808</v>
      </c>
      <c r="E47" s="127"/>
      <c r="F47" s="174">
        <f t="shared" ref="F47:F53" si="4">SUM(D47:E47)</f>
        <v>37618808</v>
      </c>
      <c r="G47" s="183" t="s">
        <v>362</v>
      </c>
      <c r="H47" s="181">
        <f t="shared" ref="H47:H53" si="5">VLOOKUP($G47,AlloFactors,5)</f>
        <v>0</v>
      </c>
      <c r="I47" s="174">
        <f t="shared" ref="I47:I53" si="6">F47*H47</f>
        <v>0</v>
      </c>
    </row>
    <row r="48" spans="1:11" ht="15">
      <c r="A48" s="159">
        <f t="shared" ref="A48:A54" si="7">A47+1</f>
        <v>30</v>
      </c>
      <c r="B48" s="119" t="s">
        <v>240</v>
      </c>
      <c r="C48" s="119" t="s">
        <v>560</v>
      </c>
      <c r="D48" s="174">
        <v>19382258</v>
      </c>
      <c r="E48" s="127"/>
      <c r="F48" s="174">
        <f t="shared" si="4"/>
        <v>19382258</v>
      </c>
      <c r="G48" s="125" t="s">
        <v>271</v>
      </c>
      <c r="H48" s="181">
        <f t="shared" si="5"/>
        <v>2.3175309693189244E-2</v>
      </c>
      <c r="I48" s="174">
        <f t="shared" si="6"/>
        <v>449189.83170329477</v>
      </c>
    </row>
    <row r="49" spans="1:9" ht="15">
      <c r="A49" s="159">
        <f t="shared" si="7"/>
        <v>31</v>
      </c>
      <c r="B49" s="119" t="s">
        <v>129</v>
      </c>
      <c r="C49" s="119" t="s">
        <v>561</v>
      </c>
      <c r="D49" s="174">
        <v>14087180</v>
      </c>
      <c r="E49" s="127"/>
      <c r="F49" s="174">
        <f t="shared" si="4"/>
        <v>14087180</v>
      </c>
      <c r="G49" s="125" t="s">
        <v>270</v>
      </c>
      <c r="H49" s="181">
        <f t="shared" si="5"/>
        <v>3.2612140312057711E-2</v>
      </c>
      <c r="I49" s="174">
        <f t="shared" si="6"/>
        <v>459413.09076121316</v>
      </c>
    </row>
    <row r="50" spans="1:9" ht="15">
      <c r="A50" s="159">
        <f t="shared" si="7"/>
        <v>32</v>
      </c>
      <c r="B50" s="119" t="s">
        <v>130</v>
      </c>
      <c r="C50" s="119" t="s">
        <v>562</v>
      </c>
      <c r="D50" s="174">
        <v>2724765</v>
      </c>
      <c r="E50" s="127"/>
      <c r="F50" s="174">
        <f t="shared" si="4"/>
        <v>2724765</v>
      </c>
      <c r="G50" s="183" t="s">
        <v>362</v>
      </c>
      <c r="H50" s="181">
        <f t="shared" si="5"/>
        <v>0</v>
      </c>
      <c r="I50" s="174">
        <f t="shared" si="6"/>
        <v>0</v>
      </c>
    </row>
    <row r="51" spans="1:9" ht="15">
      <c r="A51" s="159">
        <f t="shared" si="7"/>
        <v>33</v>
      </c>
      <c r="B51" s="119" t="s">
        <v>131</v>
      </c>
      <c r="C51" s="119" t="s">
        <v>563</v>
      </c>
      <c r="D51" s="174">
        <v>21356977</v>
      </c>
      <c r="E51" s="127"/>
      <c r="F51" s="174">
        <f t="shared" si="4"/>
        <v>21356977</v>
      </c>
      <c r="G51" s="125" t="s">
        <v>124</v>
      </c>
      <c r="H51" s="181">
        <f t="shared" si="5"/>
        <v>1.6684417124725869E-2</v>
      </c>
      <c r="I51" s="174">
        <f t="shared" si="6"/>
        <v>356328.71279117651</v>
      </c>
    </row>
    <row r="52" spans="1:9" ht="15">
      <c r="A52" s="159">
        <f>A51+1</f>
        <v>34</v>
      </c>
      <c r="B52" s="119" t="s">
        <v>235</v>
      </c>
      <c r="C52" s="119" t="s">
        <v>564</v>
      </c>
      <c r="D52" s="174">
        <v>0</v>
      </c>
      <c r="E52" s="127"/>
      <c r="F52" s="174"/>
      <c r="G52" s="125" t="s">
        <v>124</v>
      </c>
      <c r="H52" s="181">
        <f t="shared" si="5"/>
        <v>1.6684417124725869E-2</v>
      </c>
      <c r="I52" s="174"/>
    </row>
    <row r="53" spans="1:9" ht="15">
      <c r="A53" s="159">
        <f>A52+1</f>
        <v>35</v>
      </c>
      <c r="B53" s="119" t="s">
        <v>241</v>
      </c>
      <c r="C53" s="119" t="s">
        <v>565</v>
      </c>
      <c r="D53" s="174">
        <v>22239224</v>
      </c>
      <c r="E53" s="127"/>
      <c r="F53" s="174">
        <f t="shared" si="4"/>
        <v>22239224</v>
      </c>
      <c r="G53" s="125" t="s">
        <v>124</v>
      </c>
      <c r="H53" s="181">
        <f t="shared" si="5"/>
        <v>1.6684417124725869E-2</v>
      </c>
      <c r="I53" s="174">
        <f t="shared" si="6"/>
        <v>371048.48974621453</v>
      </c>
    </row>
    <row r="54" spans="1:9" ht="16.5" thickBot="1">
      <c r="A54" s="159">
        <f t="shared" si="7"/>
        <v>36</v>
      </c>
      <c r="B54" s="119" t="s">
        <v>132</v>
      </c>
      <c r="C54" s="119"/>
      <c r="D54" s="220">
        <f>SUM(D47:D53)</f>
        <v>117409212</v>
      </c>
      <c r="E54" s="127"/>
      <c r="F54" s="174">
        <f>SUM(F47:F53)</f>
        <v>117409212</v>
      </c>
      <c r="G54" s="125"/>
      <c r="H54" s="211"/>
      <c r="I54" s="217">
        <f>SUM(I47:I53)</f>
        <v>1635980.125001899</v>
      </c>
    </row>
    <row r="55" spans="1:9" ht="15.75" thickTop="1">
      <c r="A55" s="159"/>
      <c r="B55" s="119"/>
      <c r="C55" s="119"/>
      <c r="D55" s="174"/>
      <c r="E55" s="127"/>
      <c r="F55" s="174"/>
      <c r="G55" s="125"/>
      <c r="H55" s="211"/>
      <c r="I55" s="174"/>
    </row>
    <row r="56" spans="1:9" ht="15">
      <c r="A56" s="159">
        <f>A54+1</f>
        <v>37</v>
      </c>
      <c r="B56" s="221" t="str">
        <f>'Worksheet F, Inputs'!$B$145</f>
        <v>Taxes</v>
      </c>
      <c r="C56" s="175" t="str">
        <f>CONCATENATE('Worksheet F, Inputs'!$F$3,", Line ",'Worksheet F, Inputs'!A145," Col ",'Worksheet F, Inputs'!$F$10)</f>
        <v>Worksheet F, Line 111 Col F</v>
      </c>
      <c r="D56" s="119"/>
      <c r="E56" s="135"/>
      <c r="F56" s="222">
        <f>'Worksheet F, Inputs'!$F$145</f>
        <v>-1371998</v>
      </c>
      <c r="G56" s="223" t="s">
        <v>17</v>
      </c>
      <c r="H56" s="181">
        <f>VLOOKUP($G56,AlloFactors,5)</f>
        <v>8.5917309196664581E-3</v>
      </c>
      <c r="I56" s="174">
        <f>F56*H56</f>
        <v>-11787.837638320541</v>
      </c>
    </row>
    <row r="57" spans="1:9" ht="15">
      <c r="A57" s="224">
        <f>A56+1</f>
        <v>38</v>
      </c>
      <c r="B57" s="119" t="s">
        <v>163</v>
      </c>
      <c r="C57" s="125" t="s">
        <v>168</v>
      </c>
      <c r="D57" s="119"/>
      <c r="E57" s="119"/>
      <c r="F57" s="119"/>
      <c r="G57" s="119"/>
      <c r="H57" s="119"/>
      <c r="I57" s="179">
        <v>0</v>
      </c>
    </row>
    <row r="58" spans="1:9" ht="15">
      <c r="A58" s="224">
        <f>A57+1</f>
        <v>39</v>
      </c>
      <c r="B58" s="119" t="s">
        <v>47</v>
      </c>
      <c r="C58" s="119" t="str">
        <f>CONCATENATE('Worksheet C, Return'!$J$3,", Line ",'Worksheet C, Return'!A21,", Col ",'Worksheet C, Return'!J10)</f>
        <v>Worksheet C, Line 8, Col J</v>
      </c>
      <c r="D58" s="119"/>
      <c r="E58" s="119"/>
      <c r="F58" s="119"/>
      <c r="G58" s="119"/>
      <c r="H58" s="119"/>
      <c r="I58" s="179">
        <f>'Worksheet C, Return'!J21</f>
        <v>1386678.931843271</v>
      </c>
    </row>
    <row r="59" spans="1:9" ht="15">
      <c r="A59" s="225"/>
      <c r="B59" s="119"/>
      <c r="C59" s="119"/>
      <c r="D59" s="119"/>
      <c r="E59" s="135"/>
      <c r="F59" s="119"/>
      <c r="G59" s="119"/>
      <c r="H59" s="119"/>
      <c r="I59" s="119"/>
    </row>
    <row r="60" spans="1:9" ht="15">
      <c r="A60" s="224">
        <f>A58+1</f>
        <v>40</v>
      </c>
      <c r="B60" s="119" t="s">
        <v>381</v>
      </c>
      <c r="C60" s="119"/>
      <c r="D60" s="119"/>
      <c r="E60" s="135"/>
      <c r="F60" s="119"/>
      <c r="G60" s="119"/>
      <c r="H60" s="119"/>
      <c r="I60" s="124">
        <f>SUM(I42,I54,I56:I58)</f>
        <v>8392586.203493081</v>
      </c>
    </row>
    <row r="61" spans="1:9">
      <c r="A61" s="13"/>
      <c r="B61" s="13"/>
      <c r="C61" s="13"/>
      <c r="D61" s="13"/>
      <c r="F61" s="13"/>
      <c r="G61" s="13"/>
      <c r="H61" s="13"/>
      <c r="I61" s="13"/>
    </row>
    <row r="62" spans="1:9">
      <c r="A62" s="13"/>
      <c r="B62" s="13"/>
      <c r="C62" s="13"/>
      <c r="D62" s="13"/>
      <c r="F62" s="13"/>
      <c r="G62" s="13"/>
      <c r="H62" s="13"/>
      <c r="I62" s="13"/>
    </row>
    <row r="63" spans="1:9">
      <c r="A63" s="13"/>
      <c r="B63" s="13"/>
      <c r="C63" s="13"/>
      <c r="D63" s="13"/>
      <c r="F63" s="13"/>
      <c r="G63" s="13"/>
      <c r="H63" s="13"/>
      <c r="I63" s="13"/>
    </row>
    <row r="64" spans="1:9">
      <c r="A64" s="13"/>
      <c r="B64" s="13"/>
      <c r="C64" s="13"/>
      <c r="D64" s="13"/>
      <c r="F64" s="13"/>
      <c r="G64" s="13"/>
      <c r="H64" s="13"/>
      <c r="I64" s="13"/>
    </row>
    <row r="65" spans="1:9">
      <c r="A65" s="13"/>
      <c r="B65" s="13"/>
      <c r="C65" s="13"/>
      <c r="D65" s="13"/>
      <c r="F65" s="13"/>
      <c r="G65" s="13"/>
      <c r="H65" s="13"/>
      <c r="I65" s="13"/>
    </row>
    <row r="66" spans="1:9">
      <c r="A66" s="13"/>
      <c r="B66" s="13"/>
      <c r="C66" s="13"/>
      <c r="D66" s="13"/>
      <c r="F66" s="13"/>
      <c r="G66" s="13"/>
      <c r="H66" s="13"/>
      <c r="I66" s="13"/>
    </row>
    <row r="67" spans="1:9">
      <c r="A67" s="13"/>
      <c r="B67" s="13"/>
      <c r="C67" s="13"/>
      <c r="D67" s="13"/>
      <c r="F67" s="13"/>
      <c r="G67" s="13"/>
      <c r="H67" s="13"/>
      <c r="I67" s="13"/>
    </row>
    <row r="68" spans="1:9">
      <c r="A68" s="13"/>
      <c r="B68" s="13"/>
      <c r="C68" s="13"/>
      <c r="D68" s="13"/>
      <c r="F68" s="13"/>
      <c r="G68" s="13"/>
      <c r="H68" s="13"/>
      <c r="I68" s="13"/>
    </row>
    <row r="69" spans="1:9">
      <c r="A69" s="13"/>
      <c r="B69" s="13"/>
      <c r="C69" s="13"/>
      <c r="D69" s="13"/>
      <c r="F69" s="13"/>
      <c r="G69" s="13"/>
      <c r="H69" s="13"/>
      <c r="I69" s="13"/>
    </row>
    <row r="70" spans="1:9">
      <c r="A70" s="13"/>
      <c r="B70" s="13"/>
      <c r="C70" s="13"/>
      <c r="D70" s="13"/>
      <c r="F70" s="13"/>
      <c r="G70" s="13"/>
      <c r="H70" s="13"/>
      <c r="I70" s="13"/>
    </row>
    <row r="71" spans="1:9">
      <c r="A71" s="13"/>
      <c r="B71" s="13"/>
      <c r="C71" s="13"/>
      <c r="D71" s="13"/>
      <c r="F71" s="13"/>
      <c r="G71" s="13"/>
      <c r="H71" s="13"/>
      <c r="I71" s="13"/>
    </row>
    <row r="72" spans="1:9">
      <c r="A72" s="13"/>
      <c r="B72" s="13"/>
      <c r="C72" s="13"/>
      <c r="D72" s="13"/>
      <c r="F72" s="13"/>
      <c r="G72" s="13"/>
      <c r="H72" s="13"/>
      <c r="I72" s="13"/>
    </row>
    <row r="73" spans="1:9">
      <c r="A73" s="13"/>
      <c r="B73" s="13"/>
      <c r="C73" s="13"/>
      <c r="D73" s="13"/>
      <c r="F73" s="13"/>
      <c r="G73" s="13"/>
      <c r="H73" s="13"/>
      <c r="I73" s="13"/>
    </row>
    <row r="74" spans="1:9">
      <c r="A74" s="13"/>
      <c r="B74" s="13"/>
      <c r="C74" s="13"/>
      <c r="D74" s="13"/>
      <c r="F74" s="13"/>
      <c r="G74" s="13"/>
      <c r="H74" s="13"/>
      <c r="I74" s="13"/>
    </row>
    <row r="75" spans="1:9">
      <c r="A75" s="13"/>
      <c r="B75" s="13"/>
      <c r="C75" s="13"/>
      <c r="D75" s="13"/>
      <c r="F75" s="13"/>
      <c r="G75" s="13"/>
      <c r="H75" s="13"/>
      <c r="I75" s="13"/>
    </row>
    <row r="76" spans="1:9">
      <c r="A76" s="13"/>
      <c r="B76" s="13"/>
      <c r="C76" s="13"/>
      <c r="D76" s="13"/>
      <c r="F76" s="13"/>
      <c r="G76" s="13"/>
      <c r="H76" s="13"/>
      <c r="I76" s="13"/>
    </row>
    <row r="77" spans="1:9">
      <c r="A77" s="13"/>
      <c r="B77" s="13"/>
      <c r="C77" s="13"/>
      <c r="D77" s="13"/>
      <c r="F77" s="13"/>
      <c r="G77" s="13"/>
      <c r="H77" s="13"/>
      <c r="I77" s="13"/>
    </row>
    <row r="78" spans="1:9">
      <c r="A78" s="13"/>
      <c r="B78" s="13"/>
      <c r="C78" s="13"/>
      <c r="D78" s="13"/>
      <c r="F78" s="13"/>
      <c r="G78" s="13"/>
      <c r="H78" s="13"/>
      <c r="I78" s="13"/>
    </row>
    <row r="79" spans="1:9">
      <c r="A79" s="13"/>
      <c r="B79" s="13"/>
      <c r="C79" s="13"/>
      <c r="D79" s="13"/>
      <c r="F79" s="13"/>
      <c r="G79" s="13"/>
      <c r="H79" s="13"/>
      <c r="I79" s="13"/>
    </row>
    <row r="80" spans="1:9">
      <c r="A80" s="13"/>
      <c r="B80" s="13"/>
      <c r="C80" s="13"/>
      <c r="D80" s="13"/>
      <c r="F80" s="13"/>
      <c r="G80" s="13"/>
      <c r="H80" s="13"/>
      <c r="I80" s="13"/>
    </row>
    <row r="81" spans="1:9">
      <c r="A81" s="13"/>
      <c r="B81" s="13"/>
      <c r="C81" s="13"/>
      <c r="D81" s="13"/>
      <c r="F81" s="13"/>
      <c r="G81" s="13"/>
      <c r="H81" s="13"/>
      <c r="I81" s="13"/>
    </row>
    <row r="82" spans="1:9">
      <c r="A82" s="13"/>
      <c r="B82" s="13"/>
      <c r="C82" s="13"/>
      <c r="D82" s="13"/>
      <c r="F82" s="13"/>
      <c r="G82" s="13"/>
      <c r="H82" s="13"/>
      <c r="I82" s="13"/>
    </row>
    <row r="83" spans="1:9">
      <c r="A83" s="13"/>
      <c r="B83" s="13"/>
      <c r="C83" s="13"/>
      <c r="D83" s="13"/>
      <c r="F83" s="13"/>
      <c r="G83" s="13"/>
      <c r="H83" s="13"/>
      <c r="I83" s="13"/>
    </row>
    <row r="84" spans="1:9">
      <c r="A84" s="13"/>
      <c r="B84" s="13"/>
      <c r="C84" s="13"/>
      <c r="D84" s="13"/>
      <c r="F84" s="13"/>
      <c r="G84" s="13"/>
      <c r="H84" s="13"/>
      <c r="I84" s="13"/>
    </row>
    <row r="85" spans="1:9">
      <c r="A85" s="13"/>
      <c r="B85" s="13"/>
      <c r="C85" s="13"/>
      <c r="D85" s="13"/>
      <c r="F85" s="13"/>
      <c r="G85" s="13"/>
      <c r="H85" s="13"/>
      <c r="I85" s="13"/>
    </row>
    <row r="86" spans="1:9">
      <c r="A86" s="13"/>
      <c r="B86" s="13"/>
      <c r="C86" s="13"/>
      <c r="D86" s="13"/>
      <c r="F86" s="13"/>
      <c r="G86" s="13"/>
      <c r="H86" s="13"/>
      <c r="I86" s="13"/>
    </row>
    <row r="87" spans="1:9">
      <c r="A87" s="13"/>
      <c r="B87" s="13"/>
      <c r="C87" s="13"/>
      <c r="D87" s="13"/>
      <c r="F87" s="13"/>
      <c r="G87" s="13"/>
      <c r="H87" s="13"/>
      <c r="I87" s="13"/>
    </row>
    <row r="88" spans="1:9">
      <c r="A88" s="13"/>
      <c r="B88" s="13"/>
      <c r="C88" s="13"/>
      <c r="D88" s="13"/>
      <c r="F88" s="13"/>
      <c r="G88" s="13"/>
      <c r="H88" s="13"/>
      <c r="I88" s="13"/>
    </row>
    <row r="89" spans="1:9">
      <c r="A89" s="13"/>
      <c r="B89" s="13"/>
      <c r="C89" s="13"/>
      <c r="D89" s="13"/>
      <c r="F89" s="13"/>
      <c r="G89" s="13"/>
      <c r="H89" s="13"/>
      <c r="I89" s="13"/>
    </row>
    <row r="90" spans="1:9">
      <c r="A90" s="13"/>
      <c r="B90" s="13"/>
      <c r="C90" s="13"/>
      <c r="D90" s="13"/>
      <c r="F90" s="13"/>
      <c r="G90" s="13"/>
      <c r="H90" s="13"/>
      <c r="I90" s="13"/>
    </row>
    <row r="91" spans="1:9">
      <c r="A91" s="13"/>
      <c r="B91" s="13"/>
      <c r="C91" s="13"/>
      <c r="D91" s="13"/>
      <c r="F91" s="13"/>
      <c r="G91" s="13"/>
      <c r="H91" s="13"/>
      <c r="I91" s="13"/>
    </row>
    <row r="92" spans="1:9">
      <c r="A92" s="13"/>
      <c r="B92" s="13"/>
      <c r="C92" s="13"/>
      <c r="D92" s="13"/>
      <c r="F92" s="13"/>
      <c r="G92" s="13"/>
      <c r="H92" s="13"/>
      <c r="I92" s="13"/>
    </row>
    <row r="93" spans="1:9">
      <c r="A93" s="13"/>
      <c r="B93" s="13"/>
      <c r="C93" s="13"/>
      <c r="D93" s="13"/>
      <c r="F93" s="13"/>
      <c r="G93" s="13"/>
      <c r="H93" s="13"/>
      <c r="I93" s="13"/>
    </row>
    <row r="94" spans="1:9">
      <c r="A94" s="13"/>
      <c r="B94" s="13"/>
      <c r="C94" s="13"/>
      <c r="D94" s="13"/>
      <c r="F94" s="13"/>
      <c r="G94" s="13"/>
      <c r="H94" s="13"/>
      <c r="I94" s="13"/>
    </row>
    <row r="95" spans="1:9">
      <c r="A95" s="13"/>
      <c r="B95" s="13"/>
      <c r="C95" s="13"/>
      <c r="D95" s="13"/>
      <c r="F95" s="13"/>
      <c r="G95" s="13"/>
      <c r="H95" s="13"/>
      <c r="I95" s="13"/>
    </row>
    <row r="96" spans="1:9">
      <c r="A96" s="13"/>
      <c r="B96" s="13"/>
      <c r="C96" s="13"/>
      <c r="D96" s="13"/>
      <c r="F96" s="13"/>
      <c r="G96" s="13"/>
      <c r="H96" s="13"/>
      <c r="I96" s="13"/>
    </row>
    <row r="97" spans="1:9">
      <c r="A97" s="13"/>
      <c r="B97" s="13"/>
      <c r="C97" s="13"/>
      <c r="D97" s="13"/>
      <c r="F97" s="13"/>
      <c r="G97" s="13"/>
      <c r="H97" s="13"/>
      <c r="I97" s="13"/>
    </row>
    <row r="98" spans="1:9">
      <c r="A98" s="13"/>
      <c r="B98" s="13"/>
      <c r="C98" s="13"/>
      <c r="D98" s="13"/>
      <c r="F98" s="13"/>
      <c r="G98" s="13"/>
      <c r="H98" s="13"/>
      <c r="I98" s="13"/>
    </row>
    <row r="99" spans="1:9">
      <c r="A99" s="13"/>
      <c r="B99" s="13"/>
      <c r="C99" s="13"/>
      <c r="D99" s="13"/>
      <c r="F99" s="13"/>
      <c r="G99" s="13"/>
      <c r="H99" s="13"/>
      <c r="I99" s="13"/>
    </row>
    <row r="100" spans="1:9">
      <c r="A100" s="13"/>
      <c r="B100" s="13"/>
      <c r="C100" s="13"/>
      <c r="D100" s="13"/>
      <c r="F100" s="13"/>
      <c r="G100" s="13"/>
      <c r="H100" s="13"/>
      <c r="I100" s="13"/>
    </row>
    <row r="101" spans="1:9">
      <c r="A101" s="13"/>
      <c r="B101" s="13"/>
      <c r="C101" s="13"/>
      <c r="D101" s="13"/>
      <c r="F101" s="13"/>
      <c r="G101" s="13"/>
      <c r="H101" s="13"/>
      <c r="I101" s="13"/>
    </row>
    <row r="102" spans="1:9">
      <c r="A102" s="13"/>
      <c r="B102" s="13"/>
      <c r="C102" s="13"/>
      <c r="D102" s="13"/>
      <c r="F102" s="13"/>
      <c r="G102" s="13"/>
      <c r="H102" s="13"/>
      <c r="I102" s="13"/>
    </row>
    <row r="103" spans="1:9">
      <c r="A103" s="13"/>
      <c r="B103" s="13"/>
      <c r="C103" s="13"/>
      <c r="D103" s="13"/>
      <c r="F103" s="13"/>
      <c r="G103" s="13"/>
      <c r="H103" s="13"/>
      <c r="I103" s="13"/>
    </row>
    <row r="104" spans="1:9">
      <c r="A104" s="13"/>
      <c r="B104" s="13"/>
      <c r="C104" s="13"/>
      <c r="D104" s="13"/>
      <c r="F104" s="13"/>
      <c r="G104" s="13"/>
      <c r="H104" s="13"/>
      <c r="I104" s="13"/>
    </row>
    <row r="105" spans="1:9">
      <c r="A105" s="13"/>
      <c r="B105" s="13"/>
      <c r="C105" s="13"/>
      <c r="D105" s="13"/>
      <c r="F105" s="13"/>
      <c r="G105" s="13"/>
      <c r="H105" s="13"/>
      <c r="I105" s="13"/>
    </row>
    <row r="106" spans="1:9">
      <c r="A106" s="13"/>
      <c r="B106" s="13"/>
      <c r="C106" s="13"/>
      <c r="D106" s="13"/>
      <c r="F106" s="13"/>
      <c r="G106" s="13"/>
      <c r="H106" s="13"/>
      <c r="I106" s="13"/>
    </row>
    <row r="107" spans="1:9">
      <c r="A107" s="13"/>
      <c r="B107" s="13"/>
      <c r="C107" s="13"/>
      <c r="D107" s="13"/>
      <c r="F107" s="13"/>
      <c r="G107" s="13"/>
      <c r="H107" s="13"/>
      <c r="I107" s="13"/>
    </row>
    <row r="108" spans="1:9">
      <c r="A108" s="13"/>
      <c r="B108" s="13"/>
      <c r="C108" s="13"/>
      <c r="D108" s="13"/>
      <c r="F108" s="13"/>
      <c r="G108" s="13"/>
      <c r="H108" s="13"/>
      <c r="I108" s="13"/>
    </row>
    <row r="109" spans="1:9">
      <c r="A109" s="13"/>
      <c r="B109" s="13"/>
      <c r="C109" s="13"/>
      <c r="D109" s="13"/>
      <c r="F109" s="13"/>
      <c r="G109" s="13"/>
      <c r="H109" s="13"/>
      <c r="I109" s="13"/>
    </row>
    <row r="110" spans="1:9">
      <c r="A110" s="13"/>
      <c r="B110" s="13"/>
      <c r="C110" s="13"/>
      <c r="D110" s="13"/>
      <c r="F110" s="13"/>
      <c r="G110" s="13"/>
      <c r="H110" s="13"/>
      <c r="I110" s="13"/>
    </row>
    <row r="111" spans="1:9">
      <c r="A111" s="13"/>
      <c r="B111" s="13"/>
      <c r="C111" s="13"/>
      <c r="D111" s="13"/>
      <c r="F111" s="13"/>
      <c r="G111" s="13"/>
      <c r="H111" s="13"/>
      <c r="I111" s="13"/>
    </row>
    <row r="112" spans="1:9">
      <c r="A112" s="13"/>
      <c r="B112" s="13"/>
      <c r="C112" s="13"/>
      <c r="D112" s="13"/>
      <c r="F112" s="13"/>
      <c r="G112" s="13"/>
      <c r="H112" s="13"/>
      <c r="I112" s="13"/>
    </row>
    <row r="113" spans="1:9">
      <c r="A113" s="13"/>
      <c r="B113" s="13"/>
      <c r="C113" s="13"/>
      <c r="D113" s="13"/>
      <c r="F113" s="13"/>
      <c r="G113" s="13"/>
      <c r="H113" s="13"/>
      <c r="I113" s="13"/>
    </row>
    <row r="114" spans="1:9">
      <c r="A114" s="13"/>
      <c r="B114" s="13"/>
      <c r="C114" s="13"/>
      <c r="D114" s="13"/>
      <c r="F114" s="13"/>
      <c r="G114" s="13"/>
      <c r="H114" s="13"/>
      <c r="I114" s="13"/>
    </row>
    <row r="115" spans="1:9">
      <c r="A115" s="13"/>
      <c r="B115" s="13"/>
      <c r="C115" s="13"/>
      <c r="D115" s="13"/>
      <c r="F115" s="13"/>
      <c r="G115" s="13"/>
      <c r="H115" s="13"/>
      <c r="I115" s="13"/>
    </row>
    <row r="116" spans="1:9">
      <c r="A116" s="13"/>
      <c r="B116" s="13"/>
      <c r="C116" s="13"/>
      <c r="D116" s="13"/>
      <c r="F116" s="13"/>
      <c r="G116" s="13"/>
      <c r="H116" s="13"/>
      <c r="I116" s="13"/>
    </row>
    <row r="117" spans="1:9">
      <c r="A117" s="13"/>
      <c r="B117" s="13"/>
      <c r="C117" s="13"/>
      <c r="D117" s="13"/>
      <c r="F117" s="13"/>
      <c r="G117" s="13"/>
      <c r="H117" s="13"/>
      <c r="I117" s="13"/>
    </row>
    <row r="118" spans="1:9">
      <c r="A118" s="13"/>
      <c r="B118" s="13"/>
      <c r="C118" s="13"/>
      <c r="D118" s="13"/>
      <c r="F118" s="13"/>
      <c r="G118" s="13"/>
      <c r="H118" s="13"/>
      <c r="I118" s="13"/>
    </row>
    <row r="119" spans="1:9">
      <c r="A119" s="13"/>
      <c r="B119" s="13"/>
      <c r="C119" s="13"/>
      <c r="D119" s="13"/>
      <c r="F119" s="13"/>
      <c r="G119" s="13"/>
      <c r="H119" s="13"/>
      <c r="I119" s="13"/>
    </row>
    <row r="120" spans="1:9">
      <c r="A120" s="13"/>
      <c r="B120" s="13"/>
      <c r="C120" s="13"/>
      <c r="D120" s="13"/>
      <c r="F120" s="13"/>
      <c r="G120" s="13"/>
      <c r="H120" s="13"/>
      <c r="I120" s="13"/>
    </row>
    <row r="121" spans="1:9">
      <c r="A121" s="13"/>
      <c r="B121" s="13"/>
      <c r="C121" s="13"/>
      <c r="D121" s="13"/>
      <c r="F121" s="13"/>
      <c r="G121" s="13"/>
      <c r="H121" s="13"/>
      <c r="I121" s="13"/>
    </row>
    <row r="122" spans="1:9">
      <c r="A122" s="13"/>
      <c r="B122" s="13"/>
      <c r="C122" s="13"/>
      <c r="D122" s="13"/>
      <c r="F122" s="13"/>
      <c r="G122" s="13"/>
      <c r="H122" s="13"/>
      <c r="I122" s="13"/>
    </row>
    <row r="123" spans="1:9">
      <c r="A123" s="13"/>
      <c r="B123" s="13"/>
      <c r="C123" s="13"/>
      <c r="D123" s="13"/>
      <c r="F123" s="13"/>
      <c r="G123" s="13"/>
      <c r="H123" s="13"/>
      <c r="I123" s="13"/>
    </row>
    <row r="124" spans="1:9">
      <c r="A124" s="13"/>
      <c r="B124" s="13"/>
      <c r="C124" s="13"/>
      <c r="D124" s="13"/>
      <c r="F124" s="13"/>
      <c r="G124" s="13"/>
      <c r="H124" s="13"/>
      <c r="I124" s="13"/>
    </row>
  </sheetData>
  <printOptions horizontalCentered="1"/>
  <pageMargins left="0.7" right="0.7" top="0.75" bottom="0.75" header="0.3" footer="0.3"/>
  <pageSetup scale="61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N22"/>
  <sheetViews>
    <sheetView workbookViewId="0"/>
  </sheetViews>
  <sheetFormatPr defaultColWidth="8.75" defaultRowHeight="14.25"/>
  <cols>
    <col min="1" max="1" width="6.25" style="10" customWidth="1"/>
    <col min="2" max="2" width="36.875" style="10" customWidth="1"/>
    <col min="3" max="3" width="29.75" style="10" customWidth="1"/>
    <col min="4" max="4" width="14.25" style="10" customWidth="1"/>
    <col min="5" max="5" width="18.875" style="10" customWidth="1"/>
    <col min="6" max="6" width="17" style="10" bestFit="1" customWidth="1"/>
    <col min="7" max="7" width="16.375" style="10" customWidth="1"/>
    <col min="8" max="8" width="15" style="10" customWidth="1"/>
    <col min="9" max="9" width="9.75" style="10" customWidth="1"/>
    <col min="10" max="10" width="16.75" style="10" customWidth="1"/>
    <col min="11" max="11" width="13" style="10" customWidth="1"/>
    <col min="12" max="12" width="13.5" style="10" customWidth="1"/>
    <col min="13" max="13" width="11.875" style="10" customWidth="1"/>
    <col min="14" max="14" width="10.625" style="10" customWidth="1"/>
    <col min="15" max="16384" width="8.75" style="10"/>
  </cols>
  <sheetData>
    <row r="1" spans="1:14" ht="15">
      <c r="J1" s="225" t="str">
        <f>Index!$D$1</f>
        <v>Exhibit No. SPP-12</v>
      </c>
    </row>
    <row r="2" spans="1:14" ht="15">
      <c r="J2" s="225" t="s">
        <v>371</v>
      </c>
    </row>
    <row r="3" spans="1:14" ht="15">
      <c r="J3" s="225" t="s">
        <v>13</v>
      </c>
    </row>
    <row r="4" spans="1:14">
      <c r="J4" s="70"/>
    </row>
    <row r="5" spans="1:14" ht="21">
      <c r="B5" s="103" t="str">
        <f>Index!B4</f>
        <v>Tri-State Generation and Transmission Association, Inc.</v>
      </c>
      <c r="K5" s="4"/>
    </row>
    <row r="6" spans="1:14">
      <c r="B6" s="13"/>
    </row>
    <row r="7" spans="1:14" ht="15.75">
      <c r="B7" s="104" t="s">
        <v>189</v>
      </c>
    </row>
    <row r="8" spans="1:14" ht="15.75">
      <c r="B8" s="109" t="str">
        <f>Index!$B$7</f>
        <v>Year Ending December 31, 2016</v>
      </c>
    </row>
    <row r="10" spans="1:14" ht="15">
      <c r="A10" s="5" t="s">
        <v>20</v>
      </c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5" t="s">
        <v>26</v>
      </c>
      <c r="H10" s="5" t="s">
        <v>27</v>
      </c>
      <c r="I10" s="5" t="s">
        <v>151</v>
      </c>
      <c r="J10" s="5" t="s">
        <v>152</v>
      </c>
    </row>
    <row r="11" spans="1:14" ht="30">
      <c r="A11" s="58" t="s">
        <v>37</v>
      </c>
      <c r="B11" s="58" t="s">
        <v>0</v>
      </c>
      <c r="C11" s="58" t="s">
        <v>1</v>
      </c>
      <c r="D11" s="58" t="s">
        <v>156</v>
      </c>
      <c r="E11" s="58" t="s">
        <v>157</v>
      </c>
      <c r="F11" s="58" t="str">
        <f>Index!D39</f>
        <v xml:space="preserve">Total </v>
      </c>
      <c r="G11" s="58" t="s">
        <v>155</v>
      </c>
      <c r="H11" s="58" t="s">
        <v>137</v>
      </c>
      <c r="I11" s="58" t="s">
        <v>138</v>
      </c>
      <c r="J11" s="58" t="s">
        <v>139</v>
      </c>
      <c r="M11" s="63"/>
    </row>
    <row r="13" spans="1:14" ht="15.75">
      <c r="A13" s="172">
        <v>1</v>
      </c>
      <c r="B13" s="205" t="s">
        <v>45</v>
      </c>
      <c r="C13" s="119"/>
      <c r="D13" s="126"/>
      <c r="E13" s="119"/>
      <c r="F13" s="126"/>
      <c r="G13" s="119"/>
      <c r="H13" s="119"/>
      <c r="I13" s="119"/>
      <c r="J13" s="226"/>
    </row>
    <row r="14" spans="1:14" ht="45" customHeight="1">
      <c r="A14" s="172">
        <f>A13+1</f>
        <v>2</v>
      </c>
      <c r="B14" s="119" t="s">
        <v>41</v>
      </c>
      <c r="C14" s="227" t="str">
        <f>CONCATENATE('Worksheet F, Inputs'!$F$3,", Lines ",'Worksheet F, Inputs'!A174," and ",'Worksheet F, Inputs'!A177,", Cols ",'Worksheet F, Inputs'!$E$10," &amp; ",'Worksheet F, Inputs'!$F$10,CHAR(10)," Line ",'Worksheet F, Inputs'!A146,", Col ",E10)</f>
        <v>Worksheet F, Lines 136 and 139, Cols E &amp; F
 Line 112, Col E</v>
      </c>
      <c r="D14" s="179"/>
      <c r="E14" s="179">
        <f>'Worksheet F, Inputs'!E174+'Worksheet F, Inputs'!E177</f>
        <v>2797370143</v>
      </c>
      <c r="F14" s="179">
        <f>'Worksheet F, Inputs'!F174+'Worksheet F, Inputs'!F177</f>
        <v>2797370143</v>
      </c>
      <c r="G14" s="228">
        <f>IFERROR(F14/$F$18,)</f>
        <v>0.6322238607129117</v>
      </c>
      <c r="H14" s="174">
        <f>'Worksheet F, Inputs'!$F146</f>
        <v>124788433</v>
      </c>
      <c r="I14" s="229">
        <f>IFERROR(H14/F14,)</f>
        <v>4.4609196002275343E-2</v>
      </c>
      <c r="J14" s="181">
        <f>G14*I14</f>
        <v>2.8202998119857506E-2</v>
      </c>
      <c r="M14" s="1"/>
      <c r="N14" s="1"/>
    </row>
    <row r="15" spans="1:14" ht="30">
      <c r="A15" s="172">
        <f>A14+1</f>
        <v>3</v>
      </c>
      <c r="B15" s="119" t="s">
        <v>281</v>
      </c>
      <c r="C15" s="227" t="str">
        <f>'Worksheet F, Inputs'!$F$3&amp;", Col "&amp;'Worksheet F, Inputs'!$F$10&amp;" Lines "&amp;'Worksheet F, Inputs'!A76&amp;" &amp; "&amp;'Worksheet F, Inputs'!A75</f>
        <v>Worksheet F, Col F Lines 56 &amp; 55</v>
      </c>
      <c r="D15" s="179"/>
      <c r="E15" s="179">
        <f>'Worksheet F, Inputs'!F76</f>
        <v>546056000</v>
      </c>
      <c r="F15" s="179">
        <f>E15</f>
        <v>546056000</v>
      </c>
      <c r="G15" s="228">
        <f>IFERROR(F15/$F$18,)</f>
        <v>0.12341221033953449</v>
      </c>
      <c r="H15" s="174">
        <f>'Worksheet F, Inputs'!F75</f>
        <v>33250653.91</v>
      </c>
      <c r="I15" s="229">
        <f>IFERROR(H15/F15,)</f>
        <v>6.0892388161653752E-2</v>
      </c>
      <c r="J15" s="181">
        <f>G15*I15</f>
        <v>7.5148642158825926E-3</v>
      </c>
      <c r="M15" s="1"/>
      <c r="N15" s="1"/>
    </row>
    <row r="16" spans="1:14" ht="45">
      <c r="A16" s="172">
        <f>A15+1</f>
        <v>4</v>
      </c>
      <c r="B16" s="119" t="s">
        <v>52</v>
      </c>
      <c r="C16" s="227" t="str">
        <f>CONCATENATE('Worksheet F, Inputs'!$F$3,", Line ",'Worksheet F, Inputs'!A176,", Cols ",'Worksheet F, Inputs'!$E$10," &amp; ",'Worksheet F, Inputs'!$F$10,CHAR(10)," Line ",'Worksheet F, Inputs'!A148,", Col ",'Worksheet F, Inputs'!$F$10," (if Balance &gt; 0)")</f>
        <v>Worksheet F, Line 138, Cols E &amp; F
 Line 114, Col F (if Balance &gt; 0)</v>
      </c>
      <c r="D16" s="179"/>
      <c r="E16" s="179">
        <f>'Worksheet F, Inputs'!E176</f>
        <v>119900721</v>
      </c>
      <c r="F16" s="179">
        <f>'Worksheet F, Inputs'!F176</f>
        <v>119900721</v>
      </c>
      <c r="G16" s="228">
        <f>IFERROR(F16/$F$18,)</f>
        <v>2.7098343393193811E-2</v>
      </c>
      <c r="H16" s="174">
        <f>IF(F16&gt;0,'Worksheet F, Inputs'!F148,0)</f>
        <v>1310682</v>
      </c>
      <c r="I16" s="229">
        <v>0</v>
      </c>
      <c r="J16" s="181">
        <f>G16*I16</f>
        <v>0</v>
      </c>
      <c r="M16" s="1"/>
      <c r="N16" s="1"/>
    </row>
    <row r="17" spans="1:14" ht="15">
      <c r="A17" s="172">
        <f>A16+1</f>
        <v>5</v>
      </c>
      <c r="B17" s="119" t="s">
        <v>42</v>
      </c>
      <c r="C17" s="127" t="str">
        <f>CONCATENATE('Worksheet F, Inputs'!$F$3,", Line ",'Worksheet F, Inputs'!A173,", Col ",'Worksheet F, Inputs'!$E$10," &amp; ",'Worksheet F, Inputs'!$F$10)</f>
        <v>Worksheet F, Line 135, Col E &amp; F</v>
      </c>
      <c r="D17" s="179"/>
      <c r="E17" s="179">
        <f>'Worksheet F, Inputs'!E173</f>
        <v>961324461</v>
      </c>
      <c r="F17" s="179">
        <f>'Worksheet F, Inputs'!F173</f>
        <v>961324461</v>
      </c>
      <c r="G17" s="228">
        <f>IFERROR(F17/$F$18,)</f>
        <v>0.21726558555436004</v>
      </c>
      <c r="H17" s="211"/>
      <c r="I17" s="229">
        <f>'Worksheet F, Inputs'!$F$16</f>
        <v>0.1087</v>
      </c>
      <c r="J17" s="181">
        <f>G17*I17</f>
        <v>2.3616769149758937E-2</v>
      </c>
      <c r="M17" s="1"/>
      <c r="N17" s="1"/>
    </row>
    <row r="18" spans="1:14" ht="15">
      <c r="A18" s="172">
        <f>A17+1</f>
        <v>6</v>
      </c>
      <c r="B18" s="119" t="s">
        <v>43</v>
      </c>
      <c r="C18" s="119" t="s">
        <v>16</v>
      </c>
      <c r="D18" s="179"/>
      <c r="E18" s="179">
        <f>SUM(E14:E17)</f>
        <v>4424651325</v>
      </c>
      <c r="F18" s="179">
        <f>SUM(F14:F17)</f>
        <v>4424651325</v>
      </c>
      <c r="G18" s="228">
        <f>IFERROR(F18/$F$18,)</f>
        <v>1</v>
      </c>
      <c r="H18" s="174">
        <f>SUM(H14:H17)</f>
        <v>159349768.91</v>
      </c>
      <c r="I18" s="230"/>
      <c r="J18" s="181">
        <f>SUM(J14:J17)</f>
        <v>5.9334631485499036E-2</v>
      </c>
      <c r="M18" s="1"/>
      <c r="N18" s="64"/>
    </row>
    <row r="19" spans="1:14" ht="15">
      <c r="A19" s="172"/>
      <c r="B19" s="119"/>
      <c r="C19" s="119"/>
      <c r="D19" s="119"/>
      <c r="E19" s="119"/>
      <c r="F19" s="126"/>
      <c r="G19" s="119"/>
      <c r="H19" s="119"/>
      <c r="I19" s="119"/>
      <c r="J19" s="226"/>
    </row>
    <row r="20" spans="1:14" ht="15">
      <c r="A20" s="172">
        <f>+A18+1</f>
        <v>7</v>
      </c>
      <c r="B20" s="119" t="s">
        <v>44</v>
      </c>
      <c r="C20" s="119" t="str">
        <f>CONCATENATE('Worksheet A, Rate Base'!$J$3,", Line ",'Worksheet A, Rate Base'!A91,", Col ",'Worksheet A, Rate Base'!$J$10)</f>
        <v>Worksheet A, Line 67, Col J</v>
      </c>
      <c r="D20" s="119"/>
      <c r="E20" s="119"/>
      <c r="F20" s="231"/>
      <c r="G20" s="119"/>
      <c r="H20" s="232"/>
      <c r="I20" s="119"/>
      <c r="J20" s="233">
        <f>'Worksheet A, Rate Base'!J91</f>
        <v>23370481.911262322</v>
      </c>
    </row>
    <row r="21" spans="1:14" ht="15">
      <c r="A21" s="172">
        <f>A20+1</f>
        <v>8</v>
      </c>
      <c r="B21" s="119" t="s">
        <v>194</v>
      </c>
      <c r="C21" s="119" t="str">
        <f>"Line "&amp;A18&amp;" * Line "&amp;A20</f>
        <v>Line 6 * Line 7</v>
      </c>
      <c r="D21" s="119"/>
      <c r="E21" s="119"/>
      <c r="F21" s="119"/>
      <c r="G21" s="119"/>
      <c r="H21" s="119"/>
      <c r="I21" s="119"/>
      <c r="J21" s="233">
        <f>J18*J20</f>
        <v>1386678.931843271</v>
      </c>
    </row>
    <row r="22" spans="1:14">
      <c r="A22" s="87"/>
      <c r="B22" s="13"/>
      <c r="C22" s="13"/>
      <c r="D22" s="13"/>
      <c r="E22" s="13"/>
      <c r="F22" s="13"/>
      <c r="G22" s="13"/>
      <c r="H22" s="13"/>
      <c r="I22" s="13"/>
      <c r="J22" s="88"/>
    </row>
  </sheetData>
  <printOptions horizontalCentered="1"/>
  <pageMargins left="0.7" right="0.7" top="0.75" bottom="0.75" header="0.3" footer="0.3"/>
  <pageSetup scale="62" fitToHeight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8"/>
  <sheetViews>
    <sheetView workbookViewId="0">
      <selection activeCell="G43" sqref="G43"/>
    </sheetView>
  </sheetViews>
  <sheetFormatPr defaultColWidth="10" defaultRowHeight="12.75"/>
  <cols>
    <col min="1" max="1" width="7.375" style="65" customWidth="1"/>
    <col min="2" max="2" width="19.75" style="65" customWidth="1"/>
    <col min="3" max="3" width="11" style="65" customWidth="1"/>
    <col min="4" max="4" width="13" style="65" customWidth="1"/>
    <col min="5" max="5" width="10" style="65"/>
    <col min="6" max="6" width="13.375" style="65" customWidth="1"/>
    <col min="7" max="16384" width="10" style="65"/>
  </cols>
  <sheetData>
    <row r="1" spans="1:6" ht="15">
      <c r="F1" s="225" t="str">
        <f>Index!$D$1</f>
        <v>Exhibit No. SPP-12</v>
      </c>
    </row>
    <row r="2" spans="1:6" s="66" customFormat="1" ht="15">
      <c r="A2" s="10"/>
      <c r="B2" s="10"/>
      <c r="C2" s="10"/>
      <c r="D2" s="10"/>
      <c r="E2" s="10"/>
      <c r="F2" s="225" t="s">
        <v>372</v>
      </c>
    </row>
    <row r="3" spans="1:6" s="66" customFormat="1" ht="15">
      <c r="A3" s="10"/>
      <c r="B3" s="10"/>
      <c r="C3" s="10"/>
      <c r="D3" s="10"/>
      <c r="E3" s="10"/>
      <c r="F3" s="225" t="s">
        <v>285</v>
      </c>
    </row>
    <row r="4" spans="1:6" s="66" customFormat="1" ht="14.25">
      <c r="A4" s="10"/>
      <c r="B4" s="10"/>
      <c r="C4" s="10"/>
      <c r="D4" s="10"/>
      <c r="E4" s="10"/>
      <c r="F4" s="10"/>
    </row>
    <row r="5" spans="1:6" ht="21">
      <c r="B5" s="105" t="str">
        <f>Index!B4</f>
        <v>Tri-State Generation and Transmission Association, Inc.</v>
      </c>
      <c r="C5" s="10"/>
      <c r="D5" s="10"/>
      <c r="E5" s="10"/>
      <c r="F5" s="10"/>
    </row>
    <row r="6" spans="1:6" ht="15">
      <c r="B6" s="71"/>
      <c r="C6" s="10"/>
      <c r="D6" s="10"/>
      <c r="E6" s="10"/>
      <c r="F6" s="10"/>
    </row>
    <row r="7" spans="1:6" ht="15.75">
      <c r="B7" s="106" t="s">
        <v>286</v>
      </c>
      <c r="C7" s="9"/>
      <c r="D7" s="9"/>
      <c r="E7" s="9"/>
      <c r="F7" s="9"/>
    </row>
    <row r="8" spans="1:6" ht="15.75">
      <c r="B8" s="106" t="str">
        <f>' Summary Page'!B8</f>
        <v>Year Ending December 31, 2016</v>
      </c>
      <c r="C8" s="9"/>
      <c r="D8" s="9"/>
      <c r="E8" s="9"/>
      <c r="F8" s="9"/>
    </row>
    <row r="9" spans="1:6" ht="13.5" customHeight="1">
      <c r="A9" s="9"/>
      <c r="B9" s="9"/>
      <c r="C9" s="9"/>
      <c r="D9" s="9"/>
      <c r="E9" s="9"/>
      <c r="F9" s="9"/>
    </row>
    <row r="10" spans="1:6" ht="15">
      <c r="A10" s="90" t="s">
        <v>20</v>
      </c>
      <c r="B10" s="90" t="s">
        <v>21</v>
      </c>
      <c r="C10" s="90" t="s">
        <v>22</v>
      </c>
      <c r="D10" s="90" t="s">
        <v>23</v>
      </c>
      <c r="E10" s="90" t="s">
        <v>24</v>
      </c>
      <c r="F10" s="90" t="s">
        <v>25</v>
      </c>
    </row>
    <row r="11" spans="1:6" ht="63">
      <c r="A11" s="234" t="s">
        <v>37</v>
      </c>
      <c r="B11" s="234" t="s">
        <v>0</v>
      </c>
      <c r="C11" s="234" t="s">
        <v>301</v>
      </c>
      <c r="D11" s="234" t="s">
        <v>462</v>
      </c>
      <c r="E11" s="234" t="s">
        <v>51</v>
      </c>
      <c r="F11" s="234" t="s">
        <v>287</v>
      </c>
    </row>
    <row r="12" spans="1:6" ht="15">
      <c r="A12" s="235">
        <v>1</v>
      </c>
      <c r="B12" s="135" t="s">
        <v>288</v>
      </c>
      <c r="C12" s="236">
        <f>'Worksheet F, Inputs'!F83</f>
        <v>51321</v>
      </c>
      <c r="D12" s="237"/>
      <c r="E12" s="237"/>
      <c r="F12" s="238">
        <f t="shared" ref="F12:F23" si="0">SUM(C12:E12)</f>
        <v>51321</v>
      </c>
    </row>
    <row r="13" spans="1:6" ht="15">
      <c r="A13" s="235">
        <f>A12+1</f>
        <v>2</v>
      </c>
      <c r="B13" s="135" t="s">
        <v>289</v>
      </c>
      <c r="C13" s="236">
        <f>'Worksheet F, Inputs'!F84</f>
        <v>51533</v>
      </c>
      <c r="D13" s="237"/>
      <c r="E13" s="237"/>
      <c r="F13" s="238">
        <f t="shared" si="0"/>
        <v>51533</v>
      </c>
    </row>
    <row r="14" spans="1:6" ht="15">
      <c r="A14" s="235">
        <f t="shared" ref="A14:A24" si="1">A13+1</f>
        <v>3</v>
      </c>
      <c r="B14" s="135" t="s">
        <v>290</v>
      </c>
      <c r="C14" s="236">
        <f>'Worksheet F, Inputs'!F85</f>
        <v>40741</v>
      </c>
      <c r="D14" s="237"/>
      <c r="E14" s="237"/>
      <c r="F14" s="238">
        <f t="shared" si="0"/>
        <v>40741</v>
      </c>
    </row>
    <row r="15" spans="1:6" ht="15">
      <c r="A15" s="235">
        <f t="shared" si="1"/>
        <v>4</v>
      </c>
      <c r="B15" s="135" t="s">
        <v>291</v>
      </c>
      <c r="C15" s="236">
        <f>'Worksheet F, Inputs'!F86</f>
        <v>63549</v>
      </c>
      <c r="D15" s="237"/>
      <c r="E15" s="237"/>
      <c r="F15" s="238">
        <f t="shared" si="0"/>
        <v>63549</v>
      </c>
    </row>
    <row r="16" spans="1:6" ht="15">
      <c r="A16" s="235">
        <f t="shared" si="1"/>
        <v>5</v>
      </c>
      <c r="B16" s="135" t="s">
        <v>38</v>
      </c>
      <c r="C16" s="236">
        <f>'Worksheet F, Inputs'!F87</f>
        <v>74791</v>
      </c>
      <c r="D16" s="237"/>
      <c r="E16" s="237"/>
      <c r="F16" s="238">
        <f t="shared" si="0"/>
        <v>74791</v>
      </c>
    </row>
    <row r="17" spans="1:6" ht="15">
      <c r="A17" s="235">
        <f t="shared" si="1"/>
        <v>6</v>
      </c>
      <c r="B17" s="135" t="s">
        <v>292</v>
      </c>
      <c r="C17" s="236">
        <f>'Worksheet F, Inputs'!F88</f>
        <v>234819</v>
      </c>
      <c r="D17" s="237"/>
      <c r="E17" s="237"/>
      <c r="F17" s="238">
        <f t="shared" si="0"/>
        <v>234819</v>
      </c>
    </row>
    <row r="18" spans="1:6" ht="15">
      <c r="A18" s="235">
        <f t="shared" si="1"/>
        <v>7</v>
      </c>
      <c r="B18" s="135" t="s">
        <v>293</v>
      </c>
      <c r="C18" s="236">
        <f>'Worksheet F, Inputs'!F89</f>
        <v>284642</v>
      </c>
      <c r="D18" s="237"/>
      <c r="E18" s="237"/>
      <c r="F18" s="238">
        <f t="shared" si="0"/>
        <v>284642</v>
      </c>
    </row>
    <row r="19" spans="1:6" ht="15">
      <c r="A19" s="235">
        <f t="shared" si="1"/>
        <v>8</v>
      </c>
      <c r="B19" s="135" t="s">
        <v>294</v>
      </c>
      <c r="C19" s="236">
        <f>'Worksheet F, Inputs'!F90</f>
        <v>283650</v>
      </c>
      <c r="D19" s="237"/>
      <c r="E19" s="237"/>
      <c r="F19" s="238">
        <f t="shared" si="0"/>
        <v>283650</v>
      </c>
    </row>
    <row r="20" spans="1:6" ht="15">
      <c r="A20" s="235">
        <f t="shared" si="1"/>
        <v>9</v>
      </c>
      <c r="B20" s="135" t="s">
        <v>295</v>
      </c>
      <c r="C20" s="236">
        <f>'Worksheet F, Inputs'!F91</f>
        <v>90809</v>
      </c>
      <c r="D20" s="237"/>
      <c r="E20" s="237"/>
      <c r="F20" s="238">
        <f t="shared" si="0"/>
        <v>90809</v>
      </c>
    </row>
    <row r="21" spans="1:6" ht="15">
      <c r="A21" s="235">
        <f t="shared" si="1"/>
        <v>10</v>
      </c>
      <c r="B21" s="135" t="s">
        <v>296</v>
      </c>
      <c r="C21" s="236">
        <f>'Worksheet F, Inputs'!F92</f>
        <v>52534</v>
      </c>
      <c r="D21" s="237"/>
      <c r="E21" s="237"/>
      <c r="F21" s="238">
        <f t="shared" si="0"/>
        <v>52534</v>
      </c>
    </row>
    <row r="22" spans="1:6" ht="15">
      <c r="A22" s="235">
        <f t="shared" si="1"/>
        <v>11</v>
      </c>
      <c r="B22" s="135" t="s">
        <v>297</v>
      </c>
      <c r="C22" s="236">
        <f>'Worksheet F, Inputs'!F93</f>
        <v>44923</v>
      </c>
      <c r="D22" s="237"/>
      <c r="E22" s="237"/>
      <c r="F22" s="238">
        <f t="shared" si="0"/>
        <v>44923</v>
      </c>
    </row>
    <row r="23" spans="1:6" ht="15">
      <c r="A23" s="235">
        <f t="shared" si="1"/>
        <v>12</v>
      </c>
      <c r="B23" s="135" t="s">
        <v>298</v>
      </c>
      <c r="C23" s="239">
        <f>'Worksheet F, Inputs'!F94</f>
        <v>59755</v>
      </c>
      <c r="D23" s="240"/>
      <c r="E23" s="240"/>
      <c r="F23" s="241">
        <f t="shared" si="0"/>
        <v>59755</v>
      </c>
    </row>
    <row r="24" spans="1:6" ht="15">
      <c r="A24" s="235">
        <f t="shared" si="1"/>
        <v>13</v>
      </c>
      <c r="B24" s="242" t="s">
        <v>299</v>
      </c>
      <c r="C24" s="243">
        <f>SUM(C12:C23)</f>
        <v>1333067</v>
      </c>
      <c r="D24" s="244">
        <f>SUM(D12:D23)</f>
        <v>0</v>
      </c>
      <c r="E24" s="244">
        <f>SUM(E12:E23)</f>
        <v>0</v>
      </c>
      <c r="F24" s="238">
        <f>SUM(F12:F23)</f>
        <v>1333067</v>
      </c>
    </row>
    <row r="25" spans="1:6" ht="15">
      <c r="A25" s="235"/>
      <c r="B25" s="242"/>
      <c r="C25" s="245"/>
      <c r="D25" s="245"/>
      <c r="E25" s="245"/>
      <c r="F25" s="246"/>
    </row>
    <row r="26" spans="1:6" ht="15.75">
      <c r="A26" s="235">
        <f>A24+1</f>
        <v>14</v>
      </c>
      <c r="B26" s="242" t="s">
        <v>300</v>
      </c>
      <c r="C26" s="172">
        <f>C24/12</f>
        <v>111088.91666666667</v>
      </c>
      <c r="D26" s="172">
        <f t="shared" ref="D26:E26" si="2">D24/12</f>
        <v>0</v>
      </c>
      <c r="E26" s="172">
        <f t="shared" si="2"/>
        <v>0</v>
      </c>
      <c r="F26" s="289">
        <f>AVERAGE(F12:F23)</f>
        <v>111088.91666666667</v>
      </c>
    </row>
    <row r="27" spans="1:6" ht="15">
      <c r="A27" s="143"/>
      <c r="B27" s="143"/>
      <c r="C27" s="143"/>
      <c r="D27" s="143"/>
      <c r="E27" s="143"/>
      <c r="F27" s="143"/>
    </row>
    <row r="28" spans="1:6" ht="15">
      <c r="A28" s="143"/>
      <c r="B28" s="143" t="str">
        <f>"Source "&amp;'Worksheet F, Inputs'!$F$3&amp;" Col "&amp;'Worksheet F, Inputs'!$F$10&amp;" Lines "&amp;'Worksheet F, Inputs'!A83&amp;" Thru "&amp;'Worksheet F, Inputs'!A94</f>
        <v>Source Worksheet F Col F Lines 61 Thru 72</v>
      </c>
      <c r="C28" s="143"/>
      <c r="D28" s="143"/>
      <c r="E28" s="143"/>
      <c r="F28" s="143"/>
    </row>
  </sheetData>
  <printOptions horizontalCentered="1"/>
  <pageMargins left="0.7" right="0.7" top="0.75" bottom="0.75" header="0.3" footer="0.3"/>
  <pageSetup fitToHeight="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  <pageSetUpPr fitToPage="1"/>
  </sheetPr>
  <dimension ref="A1:L119"/>
  <sheetViews>
    <sheetView workbookViewId="0">
      <selection activeCell="F35" sqref="F35"/>
    </sheetView>
  </sheetViews>
  <sheetFormatPr defaultColWidth="9" defaultRowHeight="14.25"/>
  <cols>
    <col min="1" max="1" width="10.375" style="86" customWidth="1"/>
    <col min="2" max="2" width="40.375" style="13" customWidth="1"/>
    <col min="3" max="3" width="37" style="13" customWidth="1"/>
    <col min="4" max="4" width="16.375" style="13" bestFit="1" customWidth="1"/>
    <col min="5" max="5" width="14.625" style="13" customWidth="1"/>
    <col min="6" max="6" width="19.25" style="13" customWidth="1"/>
    <col min="7" max="7" width="9" style="2"/>
    <col min="8" max="8" width="1.5" style="2" customWidth="1"/>
    <col min="9" max="9" width="12.375" style="2" customWidth="1"/>
    <col min="10" max="11" width="9" style="2"/>
    <col min="12" max="12" width="13.875" style="2" customWidth="1"/>
    <col min="13" max="16384" width="9" style="2"/>
  </cols>
  <sheetData>
    <row r="1" spans="1:9">
      <c r="F1" s="70" t="str">
        <f>Index!$D$1</f>
        <v>Exhibit No. SPP-12</v>
      </c>
    </row>
    <row r="2" spans="1:9">
      <c r="F2" s="70" t="s">
        <v>368</v>
      </c>
    </row>
    <row r="3" spans="1:9">
      <c r="F3" s="70" t="s">
        <v>14</v>
      </c>
    </row>
    <row r="5" spans="1:9" ht="21">
      <c r="B5" s="103" t="str">
        <f>Index!B4</f>
        <v>Tri-State Generation and Transmission Association, Inc.</v>
      </c>
    </row>
    <row r="7" spans="1:9" ht="15.75">
      <c r="B7" s="104" t="s">
        <v>367</v>
      </c>
    </row>
    <row r="8" spans="1:9" ht="15.75">
      <c r="B8" s="104" t="str">
        <f>Index!B7</f>
        <v>Year Ending December 31, 2016</v>
      </c>
    </row>
    <row r="10" spans="1:9" ht="15">
      <c r="A10" s="56" t="s">
        <v>20</v>
      </c>
      <c r="B10" s="5" t="s">
        <v>21</v>
      </c>
      <c r="C10" s="57" t="s">
        <v>22</v>
      </c>
      <c r="D10" s="57" t="s">
        <v>23</v>
      </c>
      <c r="E10" s="57" t="s">
        <v>24</v>
      </c>
      <c r="F10" s="57" t="s">
        <v>25</v>
      </c>
    </row>
    <row r="11" spans="1:9" ht="15.75">
      <c r="A11" s="247" t="s">
        <v>19</v>
      </c>
      <c r="B11" s="188" t="s">
        <v>0</v>
      </c>
      <c r="C11" s="188" t="s">
        <v>1</v>
      </c>
      <c r="D11" s="188" t="s">
        <v>2</v>
      </c>
      <c r="E11" s="188" t="s">
        <v>243</v>
      </c>
      <c r="F11" s="188" t="s">
        <v>85</v>
      </c>
      <c r="I11" s="13"/>
    </row>
    <row r="12" spans="1:9" ht="15">
      <c r="A12" s="248">
        <v>1</v>
      </c>
      <c r="B12" s="119" t="s">
        <v>250</v>
      </c>
      <c r="C12" s="119" t="str">
        <f>'Worksheet F, Inputs'!$F$3&amp;", Col "&amp;'Worksheet F, Inputs'!$F$10&amp;" Line "&amp;'Worksheet F, Inputs'!A29</f>
        <v>Worksheet F, Col F Line 15</v>
      </c>
      <c r="D12" s="172">
        <f>'Worksheet F, Inputs'!F29</f>
        <v>53700499.990000002</v>
      </c>
      <c r="E12" s="228">
        <f>$F$92</f>
        <v>0</v>
      </c>
      <c r="F12" s="249">
        <f t="shared" ref="F12:F18" si="0">D12*E12</f>
        <v>0</v>
      </c>
      <c r="I12" s="13"/>
    </row>
    <row r="13" spans="1:9" ht="15">
      <c r="A13" s="248">
        <f>A12+1</f>
        <v>2</v>
      </c>
      <c r="B13" s="119" t="s">
        <v>342</v>
      </c>
      <c r="C13" s="119" t="str">
        <f>'Worksheet F, Inputs'!$F$3&amp;", Col "&amp;'Worksheet F, Inputs'!$F$10&amp;" Line "&amp;'Worksheet F, Inputs'!A30</f>
        <v>Worksheet F, Col F Line 16</v>
      </c>
      <c r="D13" s="172">
        <f>'Worksheet F, Inputs'!F30</f>
        <v>51156264.659999996</v>
      </c>
      <c r="E13" s="228">
        <f>F$29</f>
        <v>3.2030604425698279E-2</v>
      </c>
      <c r="F13" s="249">
        <f t="shared" si="0"/>
        <v>1638566.0772207885</v>
      </c>
      <c r="I13" s="13"/>
    </row>
    <row r="14" spans="1:9" ht="15">
      <c r="A14" s="248">
        <f t="shared" ref="A14:A15" si="1">A13+1</f>
        <v>3</v>
      </c>
      <c r="B14" s="119" t="s">
        <v>465</v>
      </c>
      <c r="C14" s="119" t="str">
        <f>'Worksheet F, Inputs'!$F$3&amp;", Col "&amp;'Worksheet F, Inputs'!$F$10&amp;" Line "&amp;'Worksheet F, Inputs'!A31</f>
        <v>Worksheet F, Col F Line 17</v>
      </c>
      <c r="D14" s="172">
        <f>'Worksheet F, Inputs'!F31</f>
        <v>6301826.4699999997</v>
      </c>
      <c r="E14" s="228">
        <f>F$29</f>
        <v>3.2030604425698279E-2</v>
      </c>
      <c r="F14" s="249">
        <f t="shared" si="0"/>
        <v>201851.31081996456</v>
      </c>
      <c r="I14" s="13"/>
    </row>
    <row r="15" spans="1:9" ht="15">
      <c r="A15" s="248">
        <f t="shared" si="1"/>
        <v>4</v>
      </c>
      <c r="B15" s="119" t="s">
        <v>251</v>
      </c>
      <c r="C15" s="119" t="str">
        <f>'Worksheet F, Inputs'!$F$3&amp;", Col "&amp;'Worksheet F, Inputs'!$F$10&amp;" Line "&amp;'Worksheet F, Inputs'!A32</f>
        <v>Worksheet F, Col F Line 18</v>
      </c>
      <c r="D15" s="172">
        <f>'Worksheet F, Inputs'!F32</f>
        <v>421701.15</v>
      </c>
      <c r="E15" s="228">
        <f>$F$92</f>
        <v>0</v>
      </c>
      <c r="F15" s="249">
        <f t="shared" si="0"/>
        <v>0</v>
      </c>
      <c r="I15" s="13"/>
    </row>
    <row r="16" spans="1:9" ht="15.75">
      <c r="A16" s="248">
        <f t="shared" ref="A16:A23" si="2">A15+1</f>
        <v>5</v>
      </c>
      <c r="B16" s="119" t="s">
        <v>253</v>
      </c>
      <c r="C16" s="119" t="str">
        <f>'Worksheet F, Inputs'!$F$3&amp;", Col "&amp;'Worksheet F, Inputs'!$F$10&amp;" Line "&amp;'Worksheet F, Inputs'!A33</f>
        <v>Worksheet F, Col F Line 19</v>
      </c>
      <c r="D16" s="172">
        <f>'Worksheet F, Inputs'!F33</f>
        <v>457329.61</v>
      </c>
      <c r="E16" s="228">
        <f>$F$61</f>
        <v>6.7761806981519512E-2</v>
      </c>
      <c r="F16" s="249">
        <f t="shared" si="0"/>
        <v>30989.480759753595</v>
      </c>
      <c r="G16" s="67"/>
      <c r="I16" s="13"/>
    </row>
    <row r="17" spans="1:9" ht="15">
      <c r="A17" s="248">
        <f t="shared" si="2"/>
        <v>6</v>
      </c>
      <c r="B17" s="119" t="s">
        <v>237</v>
      </c>
      <c r="C17" s="119" t="str">
        <f>'Worksheet F, Inputs'!$F$3&amp;", Col "&amp;'Worksheet F, Inputs'!$F$10&amp;" Line "&amp;'Worksheet F, Inputs'!A34</f>
        <v>Worksheet F, Col F Line 20</v>
      </c>
      <c r="D17" s="172">
        <f>'Worksheet F, Inputs'!F34</f>
        <v>127331.49000000002</v>
      </c>
      <c r="E17" s="228">
        <f t="shared" ref="E17:E18" si="3">$F$92</f>
        <v>0</v>
      </c>
      <c r="F17" s="249">
        <f t="shared" si="0"/>
        <v>0</v>
      </c>
      <c r="I17" s="13"/>
    </row>
    <row r="18" spans="1:9" ht="15">
      <c r="A18" s="248">
        <f t="shared" si="2"/>
        <v>7</v>
      </c>
      <c r="B18" s="119" t="s">
        <v>238</v>
      </c>
      <c r="C18" s="119" t="str">
        <f>'Worksheet F, Inputs'!$F$3&amp;", Col "&amp;'Worksheet F, Inputs'!$F$10&amp;" Line "&amp;'Worksheet F, Inputs'!A35</f>
        <v>Worksheet F, Col F Line 21</v>
      </c>
      <c r="D18" s="172">
        <f>'Worksheet F, Inputs'!F35</f>
        <v>0</v>
      </c>
      <c r="E18" s="228">
        <f t="shared" si="3"/>
        <v>0</v>
      </c>
      <c r="F18" s="249">
        <f t="shared" si="0"/>
        <v>0</v>
      </c>
      <c r="I18" s="13"/>
    </row>
    <row r="19" spans="1:9" ht="15">
      <c r="A19" s="248">
        <f t="shared" si="2"/>
        <v>8</v>
      </c>
      <c r="B19" s="182"/>
      <c r="C19" s="182" t="s">
        <v>197</v>
      </c>
      <c r="D19" s="250">
        <f>SUM(D12:D18)</f>
        <v>112164953.37</v>
      </c>
      <c r="E19" s="182"/>
      <c r="F19" s="250">
        <f>SUM(F12:F18)</f>
        <v>1871406.8688005067</v>
      </c>
      <c r="I19" s="13"/>
    </row>
    <row r="20" spans="1:9" ht="15.75">
      <c r="A20" s="248">
        <f t="shared" si="2"/>
        <v>9</v>
      </c>
      <c r="B20" s="251" t="s">
        <v>124</v>
      </c>
      <c r="C20" s="252"/>
      <c r="D20" s="252"/>
      <c r="E20" s="252"/>
      <c r="F20" s="253">
        <f>IFERROR(F19/D19,)</f>
        <v>1.6684417124725869E-2</v>
      </c>
      <c r="I20" s="13"/>
    </row>
    <row r="21" spans="1:9" ht="15">
      <c r="A21" s="248"/>
      <c r="B21" s="119"/>
      <c r="C21" s="119"/>
      <c r="D21" s="119"/>
      <c r="E21" s="119"/>
      <c r="F21" s="119"/>
      <c r="I21" s="13"/>
    </row>
    <row r="22" spans="1:9" ht="45">
      <c r="A22" s="248">
        <f>+A20+1</f>
        <v>10</v>
      </c>
      <c r="B22" s="119" t="s">
        <v>255</v>
      </c>
      <c r="C22" s="254" t="str">
        <f>'Worksheet F, Inputs'!F3&amp;", Sum(Line "&amp;'Worksheet F, Inputs'!A191&amp;" thru "&amp;'Worksheet F, Inputs'!A193&amp;") and"&amp;CHAR(10)&amp;" Line "&amp;'Worksheet F, Inputs'!A19</f>
        <v>Worksheet F, Sum(Line 148 thru 150) and
 Line 6</v>
      </c>
      <c r="D22" s="179">
        <f>SUM('Worksheet F, Inputs'!F191:F193)</f>
        <v>599732148</v>
      </c>
      <c r="E22" s="179"/>
      <c r="F22" s="179">
        <f>'Worksheet F, Inputs'!F19</f>
        <v>16171826.331666676</v>
      </c>
      <c r="I22" s="13"/>
    </row>
    <row r="23" spans="1:9" ht="15.75">
      <c r="A23" s="248">
        <f t="shared" si="2"/>
        <v>11</v>
      </c>
      <c r="B23" s="252" t="s">
        <v>125</v>
      </c>
      <c r="C23" s="119"/>
      <c r="D23" s="119"/>
      <c r="E23" s="119"/>
      <c r="F23" s="253">
        <f>IFERROR(F22/D22,)</f>
        <v>2.6965081637855898E-2</v>
      </c>
      <c r="I23" s="13"/>
    </row>
    <row r="24" spans="1:9" ht="15">
      <c r="A24" s="248"/>
      <c r="B24" s="119"/>
      <c r="C24" s="119"/>
      <c r="D24" s="119"/>
      <c r="E24" s="119"/>
      <c r="F24" s="119"/>
      <c r="I24" s="13"/>
    </row>
    <row r="25" spans="1:9" ht="30">
      <c r="A25" s="248">
        <f>A23+1</f>
        <v>12</v>
      </c>
      <c r="B25" s="119" t="s">
        <v>233</v>
      </c>
      <c r="C25" s="254" t="str">
        <f>'Worksheet F, Inputs'!F3&amp;", Line "&amp;'Worksheet F, Inputs'!A200&amp;" Col "&amp;'Worksheet F, Inputs'!F10&amp;" and"&amp;CHAR(10)&amp;" Line "&amp;'Worksheet F, Inputs'!A23</f>
        <v>Worksheet F, Line 156 Col F and
 Line 10</v>
      </c>
      <c r="D25" s="179">
        <f>'Worksheet F, Inputs'!F194</f>
        <v>465940313.5</v>
      </c>
      <c r="E25" s="119"/>
      <c r="F25" s="149">
        <f>'Worksheet F, Inputs'!F23</f>
        <v>17962306.730000008</v>
      </c>
      <c r="I25" s="13"/>
    </row>
    <row r="26" spans="1:9" ht="15.75">
      <c r="A26" s="248">
        <f>A25+1</f>
        <v>13</v>
      </c>
      <c r="B26" s="252" t="s">
        <v>244</v>
      </c>
      <c r="C26" s="119"/>
      <c r="D26" s="119"/>
      <c r="E26" s="119"/>
      <c r="F26" s="253">
        <f>IFERROR(F25/D25,)</f>
        <v>3.8550660266060036E-2</v>
      </c>
      <c r="I26" s="13"/>
    </row>
    <row r="27" spans="1:9" ht="15">
      <c r="A27" s="248"/>
      <c r="B27" s="119"/>
      <c r="C27" s="119"/>
      <c r="D27" s="119"/>
      <c r="E27" s="119"/>
      <c r="F27" s="119"/>
      <c r="I27" s="13"/>
    </row>
    <row r="28" spans="1:9" ht="30">
      <c r="A28" s="248">
        <f>A26+1</f>
        <v>14</v>
      </c>
      <c r="B28" s="119" t="s">
        <v>86</v>
      </c>
      <c r="C28" s="255" t="str">
        <f>'Worksheet A, Rate Base'!J3&amp;" Line "&amp;'Worksheet A, Rate Base'!A25&amp;" Col "&amp;'Worksheet A, Rate Base'!J10&amp;CHAR(10)&amp;" and Lines "&amp;A22&amp;" + "&amp;A25&amp;" above."</f>
        <v>Worksheet A Line 12 Col J
 and Lines 10 + 12 above.</v>
      </c>
      <c r="D28" s="249">
        <f>'Worksheet A, Rate Base'!F25</f>
        <v>1065672461.5</v>
      </c>
      <c r="E28" s="185"/>
      <c r="F28" s="249">
        <f>F22+F25</f>
        <v>34134133.061666682</v>
      </c>
      <c r="I28" s="13"/>
    </row>
    <row r="29" spans="1:9" ht="15.75">
      <c r="A29" s="248">
        <f>A28+1</f>
        <v>15</v>
      </c>
      <c r="B29" s="252" t="s">
        <v>87</v>
      </c>
      <c r="C29" s="256"/>
      <c r="D29" s="256"/>
      <c r="E29" s="256"/>
      <c r="F29" s="253">
        <f>IFERROR(F28/D28,)</f>
        <v>3.2030604425698279E-2</v>
      </c>
      <c r="I29" s="13"/>
    </row>
    <row r="30" spans="1:9" ht="15">
      <c r="A30" s="248"/>
      <c r="B30" s="119"/>
      <c r="C30" s="257"/>
      <c r="D30" s="257"/>
      <c r="E30" s="257"/>
      <c r="F30" s="119"/>
      <c r="I30" s="13"/>
    </row>
    <row r="31" spans="1:9" ht="15">
      <c r="A31" s="258">
        <f>A29+1</f>
        <v>16</v>
      </c>
      <c r="B31" s="119" t="s">
        <v>329</v>
      </c>
      <c r="C31" s="119" t="str">
        <f>'Worksheet F, Inputs'!$F$3&amp;", Col "&amp;'Worksheet F, Inputs'!$F$10&amp;" Line "&amp;'Worksheet F, Inputs'!A57</f>
        <v>Worksheet F, Col F Line 39</v>
      </c>
      <c r="D31" s="119"/>
      <c r="E31" s="119"/>
      <c r="F31" s="208">
        <f>'Worksheet F, Inputs'!F57</f>
        <v>0</v>
      </c>
      <c r="I31" s="13"/>
    </row>
    <row r="32" spans="1:9" ht="15">
      <c r="A32" s="258">
        <f>A31+1</f>
        <v>17</v>
      </c>
      <c r="B32" s="119" t="s">
        <v>330</v>
      </c>
      <c r="C32" s="119" t="str">
        <f>'Worksheet F, Inputs'!$F$3&amp;", Col "&amp;'Worksheet F, Inputs'!$F$10&amp;" Line "&amp;'Worksheet F, Inputs'!A63</f>
        <v>Worksheet F, Col F Line 45</v>
      </c>
      <c r="D32" s="119"/>
      <c r="E32" s="119"/>
      <c r="F32" s="208">
        <f>'Worksheet F, Inputs'!F63</f>
        <v>0</v>
      </c>
      <c r="I32" s="13"/>
    </row>
    <row r="33" spans="1:9" ht="15">
      <c r="A33" s="258">
        <f>A32+1</f>
        <v>18</v>
      </c>
      <c r="B33" s="119" t="s">
        <v>257</v>
      </c>
      <c r="C33" s="119" t="str">
        <f>'Worksheet F, Inputs'!F3&amp;", Line "&amp;'Worksheet F, Inputs'!A203&amp;", Col "&amp;'Worksheet F, Inputs'!F10&amp;CHAR(10)&amp;" and Sum"</f>
        <v>Worksheet F, Line 158, Col F
 and Sum</v>
      </c>
      <c r="D33" s="119">
        <f>'Worksheet F, Inputs'!F203</f>
        <v>0</v>
      </c>
      <c r="E33" s="119"/>
      <c r="F33" s="208">
        <f>SUM(F31:F32)</f>
        <v>0</v>
      </c>
      <c r="I33" s="13"/>
    </row>
    <row r="34" spans="1:9" ht="15.75">
      <c r="A34" s="258">
        <f>A33+1</f>
        <v>19</v>
      </c>
      <c r="B34" s="205" t="s">
        <v>339</v>
      </c>
      <c r="C34" s="119" t="s">
        <v>256</v>
      </c>
      <c r="D34" s="119"/>
      <c r="E34" s="119"/>
      <c r="F34" s="253">
        <f>IF(F33&gt;0,F33/D33,0)</f>
        <v>0</v>
      </c>
      <c r="I34" s="13"/>
    </row>
    <row r="35" spans="1:9" ht="15">
      <c r="A35" s="248"/>
      <c r="B35" s="119"/>
      <c r="C35" s="257"/>
      <c r="D35" s="257"/>
      <c r="E35" s="257"/>
      <c r="F35" s="119"/>
      <c r="I35" s="13"/>
    </row>
    <row r="36" spans="1:9" ht="15">
      <c r="A36" s="248">
        <f>A34+1</f>
        <v>20</v>
      </c>
      <c r="B36" s="119" t="s">
        <v>9</v>
      </c>
      <c r="C36" s="185" t="str">
        <f>'Worksheet A, Rate Base'!$J$3&amp;", Line "&amp;'Worksheet A, Rate Base'!A35&amp;", Col "&amp;'Worksheet A, Rate Base'!$F$10&amp;" and "&amp;'Worksheet A, Rate Base'!$J$10</f>
        <v>Worksheet A, Line 20, Col F and J</v>
      </c>
      <c r="D36" s="179">
        <f>'Worksheet A, Rate Base'!F35</f>
        <v>3990811880</v>
      </c>
      <c r="E36" s="185"/>
      <c r="F36" s="179">
        <f>'Worksheet A, Rate Base'!J35</f>
        <v>43832721.277089298</v>
      </c>
      <c r="I36" s="13"/>
    </row>
    <row r="37" spans="1:9" ht="15.75">
      <c r="A37" s="248">
        <f>A36+1</f>
        <v>21</v>
      </c>
      <c r="B37" s="252" t="s">
        <v>149</v>
      </c>
      <c r="C37" s="256"/>
      <c r="D37" s="256"/>
      <c r="E37" s="256"/>
      <c r="F37" s="253">
        <f>IFERROR(F36/D36,)</f>
        <v>1.0983409540489115E-2</v>
      </c>
      <c r="I37" s="13"/>
    </row>
    <row r="38" spans="1:9" ht="15">
      <c r="A38" s="248"/>
      <c r="B38" s="119"/>
      <c r="C38" s="259"/>
      <c r="D38" s="259"/>
      <c r="E38" s="259"/>
      <c r="F38" s="119"/>
      <c r="I38" s="13"/>
    </row>
    <row r="39" spans="1:9" ht="15">
      <c r="A39" s="258">
        <f>A37+1</f>
        <v>22</v>
      </c>
      <c r="B39" s="119" t="s">
        <v>258</v>
      </c>
      <c r="C39" s="119" t="str">
        <f>'Worksheet F, Inputs'!$F$3&amp;", Col "&amp;'Worksheet F, Inputs'!$F$10&amp;" Line "&amp;'Worksheet F, Inputs'!A20</f>
        <v>Worksheet F, Col F Line 7</v>
      </c>
      <c r="D39" s="119"/>
      <c r="E39" s="119"/>
      <c r="F39" s="149">
        <f>'Worksheet F, Inputs'!F20</f>
        <v>9093478.1516666617</v>
      </c>
      <c r="I39" s="13"/>
    </row>
    <row r="40" spans="1:9" ht="15">
      <c r="A40" s="258">
        <f>A39+1</f>
        <v>23</v>
      </c>
      <c r="B40" s="119" t="s">
        <v>259</v>
      </c>
      <c r="C40" s="119" t="str">
        <f>'Worksheet F, Inputs'!$F$3&amp;", Col "&amp;'Worksheet F, Inputs'!$F$10&amp;" Line "&amp;'Worksheet F, Inputs'!A24</f>
        <v>Worksheet F, Col F Line 11</v>
      </c>
      <c r="D40" s="119"/>
      <c r="E40" s="119"/>
      <c r="F40" s="149">
        <f>'Worksheet F, Inputs'!F24</f>
        <v>10698668.42</v>
      </c>
      <c r="I40" s="13"/>
    </row>
    <row r="41" spans="1:9" ht="15">
      <c r="A41" s="258">
        <f>A40+1</f>
        <v>24</v>
      </c>
      <c r="B41" s="119" t="s">
        <v>260</v>
      </c>
      <c r="C41" s="119" t="str">
        <f>'Worksheet F, Inputs'!$F$3&amp;", Col "&amp;'Worksheet F, Inputs'!$F$10&amp;" Line "&amp;'Worksheet F, Inputs'!A58</f>
        <v>Worksheet F, Col F Line 40</v>
      </c>
      <c r="D41" s="119"/>
      <c r="E41" s="119"/>
      <c r="F41" s="208">
        <f>'Worksheet F, Inputs'!F58</f>
        <v>0</v>
      </c>
      <c r="I41" s="13"/>
    </row>
    <row r="42" spans="1:9" ht="15">
      <c r="A42" s="258">
        <f>A41+1</f>
        <v>25</v>
      </c>
      <c r="B42" s="119" t="s">
        <v>261</v>
      </c>
      <c r="C42" s="119" t="str">
        <f>'Worksheet F, Inputs'!$F$3&amp;", Col "&amp;'Worksheet F, Inputs'!$F$10&amp;" Line "&amp;'Worksheet F, Inputs'!A64</f>
        <v>Worksheet F, Col F Line 46</v>
      </c>
      <c r="D42" s="119"/>
      <c r="E42" s="119"/>
      <c r="F42" s="208">
        <f>'Worksheet F, Inputs'!F64</f>
        <v>0</v>
      </c>
      <c r="I42" s="13"/>
    </row>
    <row r="43" spans="1:9" ht="30">
      <c r="A43" s="258">
        <f>A42+1</f>
        <v>26</v>
      </c>
      <c r="B43" s="119" t="s">
        <v>262</v>
      </c>
      <c r="C43" s="254" t="str">
        <f>'Worksheet F, Inputs'!F3&amp;", Line "&amp;'Worksheet F, Inputs'!A222&amp;" Col "&amp;'Worksheet F, Inputs'!F10&amp;CHAR(10)&amp;"and Sum"</f>
        <v>Worksheet F, Line 175 Col F
and Sum</v>
      </c>
      <c r="D43" s="179">
        <f>'Worksheet F, Inputs'!F222</f>
        <v>460179785</v>
      </c>
      <c r="E43" s="119"/>
      <c r="F43" s="149">
        <f>SUM(F39:F42)</f>
        <v>19792146.571666662</v>
      </c>
      <c r="I43" s="13"/>
    </row>
    <row r="44" spans="1:9" ht="15.75">
      <c r="A44" s="258">
        <f>A43+1</f>
        <v>27</v>
      </c>
      <c r="B44" s="205" t="s">
        <v>263</v>
      </c>
      <c r="C44" s="119"/>
      <c r="D44" s="119"/>
      <c r="E44" s="119"/>
      <c r="F44" s="253">
        <f>IFERROR(F43/D43,0)</f>
        <v>4.3009595851036052E-2</v>
      </c>
      <c r="I44" s="13"/>
    </row>
    <row r="45" spans="1:9" ht="15">
      <c r="A45" s="248"/>
      <c r="B45" s="119"/>
      <c r="C45" s="259"/>
      <c r="D45" s="259"/>
      <c r="E45" s="259"/>
      <c r="F45" s="119"/>
      <c r="I45" s="13"/>
    </row>
    <row r="46" spans="1:9" ht="15">
      <c r="A46" s="248">
        <f>A44+1</f>
        <v>28</v>
      </c>
      <c r="B46" s="119" t="s">
        <v>195</v>
      </c>
      <c r="C46" s="185" t="str">
        <f>'Worksheet A, Rate Base'!$J$3&amp;", Line "&amp;'Worksheet A, Rate Base'!A73&amp;", Col "&amp;'Worksheet A, Rate Base'!$F$10&amp;" and "&amp;'Worksheet A, Rate Base'!$J$10</f>
        <v>Worksheet A, Line 53, Col F and J</v>
      </c>
      <c r="D46" s="179">
        <f>'Worksheet A, Rate Base'!F73</f>
        <v>2538003998.8299999</v>
      </c>
      <c r="E46" s="185"/>
      <c r="F46" s="179">
        <f>IFERROR('Worksheet A, Rate Base'!J73,)</f>
        <v>21805847.430984825</v>
      </c>
      <c r="G46" s="13"/>
      <c r="I46" s="13"/>
    </row>
    <row r="47" spans="1:9" ht="15.75">
      <c r="A47" s="248">
        <f>A46+1</f>
        <v>29</v>
      </c>
      <c r="B47" s="252" t="s">
        <v>142</v>
      </c>
      <c r="C47" s="252"/>
      <c r="D47" s="252"/>
      <c r="E47" s="252"/>
      <c r="F47" s="253">
        <f>IFERROR(F46/D46,)</f>
        <v>8.5917309196664581E-3</v>
      </c>
      <c r="H47" s="2" t="s">
        <v>18</v>
      </c>
      <c r="I47" s="13"/>
    </row>
    <row r="48" spans="1:9" ht="15">
      <c r="A48" s="248"/>
      <c r="B48" s="119"/>
      <c r="C48" s="119"/>
      <c r="D48" s="119"/>
      <c r="E48" s="119"/>
      <c r="F48" s="119"/>
      <c r="I48" s="13"/>
    </row>
    <row r="49" spans="1:12" ht="15">
      <c r="A49" s="248">
        <f>A47+1</f>
        <v>30</v>
      </c>
      <c r="B49" s="119" t="s">
        <v>341</v>
      </c>
      <c r="C49" s="119" t="str">
        <f>'Worksheet F, Inputs'!$F$3&amp;", Col "&amp;'Worksheet F, Inputs'!$F$10&amp;" Lines "&amp;'Worksheet F, Inputs'!A100&amp;" and "&amp;'Worksheet F, Inputs'!A105</f>
        <v>Worksheet F, Col F Lines 76 and 81</v>
      </c>
      <c r="D49" s="172">
        <f>'Worksheet F, Inputs'!F100</f>
        <v>2656619.4200000004</v>
      </c>
      <c r="E49" s="119"/>
      <c r="F49" s="221">
        <f>'Worksheet F, Inputs'!F105</f>
        <v>0</v>
      </c>
      <c r="I49" s="13"/>
    </row>
    <row r="50" spans="1:12" ht="15.75">
      <c r="A50" s="248">
        <f>A49+1</f>
        <v>31</v>
      </c>
      <c r="B50" s="205" t="s">
        <v>340</v>
      </c>
      <c r="C50" s="119"/>
      <c r="D50" s="119"/>
      <c r="E50" s="119"/>
      <c r="F50" s="253">
        <f>IFERROR(F49/D49,)</f>
        <v>0</v>
      </c>
    </row>
    <row r="51" spans="1:12" ht="15">
      <c r="A51" s="248"/>
      <c r="B51" s="119"/>
      <c r="C51" s="119"/>
      <c r="D51" s="119"/>
      <c r="E51" s="119"/>
      <c r="F51" s="119"/>
    </row>
    <row r="52" spans="1:12" ht="15.75">
      <c r="A52" s="248">
        <f>A50+1</f>
        <v>32</v>
      </c>
      <c r="B52" s="260" t="s">
        <v>17</v>
      </c>
      <c r="C52" s="130" t="str">
        <f>"Net Plant Allocator (= Line "&amp;A47&amp;")"</f>
        <v>Net Plant Allocator (= Line 29)</v>
      </c>
      <c r="D52" s="170"/>
      <c r="E52" s="170"/>
      <c r="F52" s="253">
        <f>F47</f>
        <v>8.5917309196664581E-3</v>
      </c>
      <c r="G52" s="60"/>
      <c r="H52" s="61"/>
      <c r="L52" s="38"/>
    </row>
    <row r="53" spans="1:12" ht="15">
      <c r="A53" s="258"/>
      <c r="B53" s="119"/>
      <c r="C53" s="119"/>
      <c r="D53" s="119"/>
      <c r="E53" s="119"/>
      <c r="F53" s="119"/>
      <c r="H53" s="16"/>
      <c r="L53" s="38"/>
    </row>
    <row r="54" spans="1:12" ht="15">
      <c r="A54" s="258">
        <f>+A52+1</f>
        <v>33</v>
      </c>
      <c r="B54" s="119" t="s">
        <v>325</v>
      </c>
      <c r="C54" s="227" t="str">
        <f>'Worksheet F, Inputs'!$F$3&amp;", Col "&amp;'Worksheet F, Inputs'!F10&amp;" Lines "&amp;'Worksheet F, Inputs'!A210&amp;" &amp; "&amp;'Worksheet F, Inputs'!A79</f>
        <v>Worksheet F, Col F Lines 164 &amp; 58</v>
      </c>
      <c r="D54" s="172">
        <f>'Worksheet F, Inputs'!F210</f>
        <v>246175125</v>
      </c>
      <c r="E54" s="185"/>
      <c r="F54" s="172">
        <f>'Worksheet F, Inputs'!F79</f>
        <v>3526485.5</v>
      </c>
      <c r="H54" s="16"/>
      <c r="L54" s="38"/>
    </row>
    <row r="55" spans="1:12" ht="15.75">
      <c r="A55" s="248">
        <f>A54+1</f>
        <v>34</v>
      </c>
      <c r="B55" s="205" t="s">
        <v>326</v>
      </c>
      <c r="C55" s="261"/>
      <c r="D55" s="261"/>
      <c r="E55" s="261"/>
      <c r="F55" s="253">
        <f>IFERROR(F54/D54,)</f>
        <v>1.4325109005225446E-2</v>
      </c>
      <c r="L55" s="62"/>
    </row>
    <row r="56" spans="1:12" ht="15">
      <c r="A56" s="258" t="s">
        <v>18</v>
      </c>
      <c r="B56" s="119"/>
      <c r="C56" s="119"/>
      <c r="D56" s="119"/>
      <c r="E56" s="119"/>
      <c r="F56" s="119"/>
    </row>
    <row r="57" spans="1:12" ht="15">
      <c r="A57" s="258">
        <f>+A55+1</f>
        <v>35</v>
      </c>
      <c r="B57" s="119" t="s">
        <v>327</v>
      </c>
      <c r="C57" s="227" t="str">
        <f>'Worksheet F, Inputs'!$F$3&amp;", Col "&amp;'Worksheet F, Inputs'!F10&amp;", Line "&amp;'Worksheet F, Inputs'!A214&amp;" and "&amp;'Worksheet F, Inputs'!A80</f>
        <v>Worksheet F, Col F, Line 168 and 59</v>
      </c>
      <c r="D57" s="172">
        <f>'Worksheet F, Inputs'!F214</f>
        <v>204049633</v>
      </c>
      <c r="E57" s="185"/>
      <c r="F57" s="172">
        <f>'Worksheet F, Inputs'!F80</f>
        <v>230674</v>
      </c>
    </row>
    <row r="58" spans="1:12" ht="15.75">
      <c r="A58" s="248">
        <f>A57+1</f>
        <v>36</v>
      </c>
      <c r="B58" s="205" t="s">
        <v>328</v>
      </c>
      <c r="C58" s="261"/>
      <c r="D58" s="261"/>
      <c r="E58" s="261"/>
      <c r="F58" s="253">
        <f>IFERROR(F57/D57,)</f>
        <v>1.1304798573198119E-3</v>
      </c>
    </row>
    <row r="59" spans="1:12" ht="15">
      <c r="A59" s="262"/>
      <c r="B59" s="119"/>
      <c r="C59" s="119"/>
      <c r="D59" s="119"/>
      <c r="E59" s="119"/>
      <c r="F59" s="119"/>
    </row>
    <row r="60" spans="1:12" ht="15">
      <c r="A60" s="258">
        <f>A58+1</f>
        <v>37</v>
      </c>
      <c r="B60" s="119" t="s">
        <v>283</v>
      </c>
      <c r="C60" s="119" t="str">
        <f>'Worksheet F, Inputs'!$F$3&amp;", Col "&amp;'Worksheet F, Inputs'!$F$10&amp;" Lines "&amp;'Worksheet F, Inputs'!A13&amp;" &amp; "&amp;'Worksheet F, Inputs'!A96</f>
        <v>Worksheet F, Col F Lines 1 &amp; 73</v>
      </c>
      <c r="D60" s="149">
        <f>'Worksheet F, Inputs'!F13</f>
        <v>487</v>
      </c>
      <c r="E60" s="119"/>
      <c r="F60" s="149">
        <f>'Worksheet F, Inputs'!F96</f>
        <v>33</v>
      </c>
    </row>
    <row r="61" spans="1:12" ht="15.75">
      <c r="A61" s="258">
        <f>A60+1</f>
        <v>38</v>
      </c>
      <c r="B61" s="205" t="s">
        <v>254</v>
      </c>
      <c r="C61" s="119"/>
      <c r="D61" s="119"/>
      <c r="E61" s="119"/>
      <c r="F61" s="253">
        <f>IFERROR(F60/D60,)</f>
        <v>6.7761806981519512E-2</v>
      </c>
    </row>
    <row r="62" spans="1:12" ht="15">
      <c r="A62" s="258"/>
      <c r="B62" s="119"/>
      <c r="C62" s="119"/>
      <c r="D62" s="119"/>
      <c r="E62" s="119"/>
      <c r="F62" s="119"/>
    </row>
    <row r="63" spans="1:12" ht="15">
      <c r="A63" s="258">
        <f>A61+1</f>
        <v>39</v>
      </c>
      <c r="B63" s="119" t="s">
        <v>332</v>
      </c>
      <c r="C63" s="119" t="str">
        <f>'Worksheet F, Inputs'!$F$3&amp;", Col "&amp;'Worksheet F, Inputs'!$F$10&amp;" Line "&amp;'Worksheet F, Inputs'!A61</f>
        <v>Worksheet F, Col F Line 43</v>
      </c>
      <c r="D63" s="119"/>
      <c r="E63" s="119"/>
      <c r="F63" s="208">
        <f>'Worksheet F, Inputs'!F61</f>
        <v>0</v>
      </c>
    </row>
    <row r="64" spans="1:12" ht="15">
      <c r="A64" s="258">
        <f>A63+1</f>
        <v>40</v>
      </c>
      <c r="B64" s="119" t="s">
        <v>333</v>
      </c>
      <c r="C64" s="119" t="str">
        <f>'Worksheet F, Inputs'!$F$3&amp;", Col "&amp;'Worksheet F, Inputs'!$F$10&amp;" Line "&amp;'Worksheet F, Inputs'!A67</f>
        <v>Worksheet F, Col F Line 49</v>
      </c>
      <c r="D64" s="119"/>
      <c r="E64" s="119"/>
      <c r="F64" s="208">
        <f>'Worksheet F, Inputs'!F67</f>
        <v>0</v>
      </c>
    </row>
    <row r="65" spans="1:6" ht="15">
      <c r="A65" s="258">
        <f>A64+1</f>
        <v>41</v>
      </c>
      <c r="B65" s="119" t="s">
        <v>331</v>
      </c>
      <c r="C65" s="119" t="str">
        <f>'Worksheet F, Inputs'!$F$3&amp;", Col "&amp;'Worksheet F, Inputs'!$F$10&amp;" Lines "&amp;'Worksheet F, Inputs'!A127&amp;" and Sum"</f>
        <v>Worksheet F, Col F Lines 95 and Sum</v>
      </c>
      <c r="D65" s="179">
        <f>'Worksheet F, Inputs'!F127</f>
        <v>0</v>
      </c>
      <c r="E65" s="119"/>
      <c r="F65" s="149">
        <f>SUM(F63:F64)</f>
        <v>0</v>
      </c>
    </row>
    <row r="66" spans="1:6" ht="15.75">
      <c r="A66" s="258">
        <f>A65+1</f>
        <v>42</v>
      </c>
      <c r="B66" s="205" t="s">
        <v>334</v>
      </c>
      <c r="C66" s="119"/>
      <c r="D66" s="119"/>
      <c r="E66" s="119"/>
      <c r="F66" s="253">
        <f>IF(F65&gt;0,F65/D65,0)</f>
        <v>0</v>
      </c>
    </row>
    <row r="67" spans="1:6" ht="15.75">
      <c r="A67" s="258"/>
      <c r="B67" s="205"/>
      <c r="C67" s="119"/>
      <c r="D67" s="119"/>
      <c r="E67" s="119"/>
      <c r="F67" s="253"/>
    </row>
    <row r="68" spans="1:6" ht="15">
      <c r="A68" s="258">
        <f>A66+1</f>
        <v>43</v>
      </c>
      <c r="B68" s="119" t="s">
        <v>336</v>
      </c>
      <c r="C68" s="119" t="str">
        <f>'Worksheet F, Inputs'!$F$3&amp;", Col "&amp;'Worksheet F, Inputs'!$F$10&amp;" Line "&amp;'Worksheet F, Inputs'!A62</f>
        <v>Worksheet F, Col F Line 44</v>
      </c>
      <c r="D68" s="119"/>
      <c r="E68" s="119"/>
      <c r="F68" s="208">
        <f>'Worksheet F, Inputs'!F62</f>
        <v>0</v>
      </c>
    </row>
    <row r="69" spans="1:6" ht="15">
      <c r="A69" s="258">
        <f>A68+1</f>
        <v>44</v>
      </c>
      <c r="B69" s="119" t="s">
        <v>337</v>
      </c>
      <c r="C69" s="119" t="str">
        <f>'Worksheet F, Inputs'!$F$3&amp;", Col "&amp;'Worksheet F, Inputs'!$F$10&amp;" Line "&amp;'Worksheet F, Inputs'!A68</f>
        <v>Worksheet F, Col F Line 50</v>
      </c>
      <c r="D69" s="119"/>
      <c r="E69" s="119"/>
      <c r="F69" s="208">
        <f>'Worksheet F, Inputs'!F68</f>
        <v>0</v>
      </c>
    </row>
    <row r="70" spans="1:6" ht="15">
      <c r="A70" s="258">
        <f>A69+1</f>
        <v>45</v>
      </c>
      <c r="B70" s="119" t="s">
        <v>338</v>
      </c>
      <c r="C70" s="119" t="str">
        <f>'Worksheet F, Inputs'!$F$3&amp;", Col "&amp;'Worksheet F, Inputs'!$F$10&amp;" Lines "&amp;'Worksheet F, Inputs'!A138&amp;" and Sum"</f>
        <v>Worksheet F, Col F Lines 105 and Sum</v>
      </c>
      <c r="D70" s="179">
        <f>'Worksheet F, Inputs'!F138</f>
        <v>0</v>
      </c>
      <c r="E70" s="119"/>
      <c r="F70" s="149">
        <f>SUM(F68:F69)</f>
        <v>0</v>
      </c>
    </row>
    <row r="71" spans="1:6" ht="15.75">
      <c r="A71" s="258">
        <f>A70+1</f>
        <v>46</v>
      </c>
      <c r="B71" s="205" t="s">
        <v>335</v>
      </c>
      <c r="C71" s="119"/>
      <c r="D71" s="119"/>
      <c r="E71" s="119"/>
      <c r="F71" s="253">
        <f>IF(F70&gt;0,F70/D70,0)</f>
        <v>0</v>
      </c>
    </row>
    <row r="72" spans="1:6" ht="15">
      <c r="A72" s="258"/>
      <c r="B72" s="119"/>
      <c r="C72" s="119"/>
      <c r="D72" s="119"/>
      <c r="E72" s="119"/>
      <c r="F72" s="119"/>
    </row>
    <row r="73" spans="1:6" ht="15">
      <c r="A73" s="258">
        <f>A71+1</f>
        <v>47</v>
      </c>
      <c r="B73" s="119" t="s">
        <v>264</v>
      </c>
      <c r="C73" s="119" t="str">
        <f>'Worksheet F, Inputs'!$F$3&amp;", Col "&amp;'Worksheet F, Inputs'!$F$10&amp;" Line "&amp;'Worksheet F, Inputs'!A22</f>
        <v>Worksheet F, Col F Line 9</v>
      </c>
      <c r="D73" s="119"/>
      <c r="E73" s="119"/>
      <c r="F73" s="149">
        <f>'Worksheet F, Inputs'!F22</f>
        <v>381294.27499999997</v>
      </c>
    </row>
    <row r="74" spans="1:6" ht="15">
      <c r="A74" s="258">
        <f>A73+1</f>
        <v>48</v>
      </c>
      <c r="B74" s="119" t="s">
        <v>265</v>
      </c>
      <c r="C74" s="119" t="str">
        <f>'Worksheet F, Inputs'!$F$3&amp;", Col "&amp;'Worksheet F, Inputs'!$F$10&amp;" Line "&amp;'Worksheet F, Inputs'!A60</f>
        <v>Worksheet F, Col F Line 42</v>
      </c>
      <c r="D74" s="119"/>
      <c r="E74" s="119"/>
      <c r="F74" s="208">
        <f>'Worksheet F, Inputs'!F60</f>
        <v>0</v>
      </c>
    </row>
    <row r="75" spans="1:6" ht="15">
      <c r="A75" s="258">
        <f>A74+1</f>
        <v>49</v>
      </c>
      <c r="B75" s="119" t="s">
        <v>266</v>
      </c>
      <c r="C75" s="254" t="str">
        <f>'Worksheet F, Inputs'!$F$3&amp;", Col "&amp;'Worksheet F, Inputs'!$F$10&amp;" Line "&amp;'Worksheet F, Inputs'!A39&amp;" and Sum"</f>
        <v>Worksheet F, Col F Line 24 and Sum</v>
      </c>
      <c r="D75" s="179">
        <f>'Worksheet F, Inputs'!F39</f>
        <v>16452607.539999979</v>
      </c>
      <c r="E75" s="119"/>
      <c r="F75" s="149">
        <f>SUM(F73:F74)</f>
        <v>381294.27499999997</v>
      </c>
    </row>
    <row r="76" spans="1:6" ht="15.75">
      <c r="A76" s="258">
        <f>A75+1</f>
        <v>50</v>
      </c>
      <c r="B76" s="205" t="s">
        <v>271</v>
      </c>
      <c r="C76" s="119" t="s">
        <v>267</v>
      </c>
      <c r="D76" s="119"/>
      <c r="E76" s="119"/>
      <c r="F76" s="253">
        <f>IFERROR(F75/D75,)</f>
        <v>2.3175309693189244E-2</v>
      </c>
    </row>
    <row r="77" spans="1:6" ht="15">
      <c r="A77" s="258"/>
      <c r="B77" s="119"/>
      <c r="C77" s="119"/>
      <c r="D77" s="119"/>
      <c r="E77" s="119"/>
      <c r="F77" s="119"/>
    </row>
    <row r="78" spans="1:6" ht="15">
      <c r="A78" s="258">
        <f>A76+1</f>
        <v>51</v>
      </c>
      <c r="B78" s="119" t="s">
        <v>280</v>
      </c>
      <c r="C78" s="119" t="str">
        <f>'Worksheet F, Inputs'!$F$3&amp;", Col "&amp;'Worksheet F, Inputs'!$F$10&amp;" Line "&amp;'Worksheet F, Inputs'!A26</f>
        <v>Worksheet F, Col F Line 13</v>
      </c>
      <c r="D78" s="119"/>
      <c r="E78" s="119"/>
      <c r="F78" s="149">
        <f>'Worksheet F, Inputs'!F26</f>
        <v>404242.55999999982</v>
      </c>
    </row>
    <row r="79" spans="1:6" ht="15">
      <c r="A79" s="258">
        <f>A78+1</f>
        <v>52</v>
      </c>
      <c r="B79" s="119" t="s">
        <v>268</v>
      </c>
      <c r="C79" s="119" t="str">
        <f>'Worksheet F, Inputs'!$F$3&amp;", Col "&amp;'Worksheet F, Inputs'!$F$10&amp;" Line "&amp;'Worksheet F, Inputs'!A66</f>
        <v>Worksheet F, Col F Line 48</v>
      </c>
      <c r="D79" s="119"/>
      <c r="E79" s="119"/>
      <c r="F79" s="208">
        <f>'Worksheet F, Inputs'!F66</f>
        <v>0</v>
      </c>
    </row>
    <row r="80" spans="1:6" ht="15">
      <c r="A80" s="258">
        <f>A79+1</f>
        <v>53</v>
      </c>
      <c r="B80" s="119" t="s">
        <v>269</v>
      </c>
      <c r="C80" s="254" t="str">
        <f>'Worksheet F, Inputs'!$F$3&amp;", Col "&amp;'Worksheet F, Inputs'!$F$10&amp;" Line "&amp;'Worksheet F, Inputs'!A40&amp;" and Sum"</f>
        <v>Worksheet F, Col F Line 25 and Sum</v>
      </c>
      <c r="D80" s="221">
        <f>'Worksheet F, Inputs'!F40</f>
        <v>12395462.43</v>
      </c>
      <c r="E80" s="119"/>
      <c r="F80" s="149">
        <f>SUM(F78:F79)</f>
        <v>404242.55999999982</v>
      </c>
    </row>
    <row r="81" spans="1:6" ht="15.75">
      <c r="A81" s="258">
        <f>A80+1</f>
        <v>54</v>
      </c>
      <c r="B81" s="205" t="s">
        <v>270</v>
      </c>
      <c r="C81" s="119" t="s">
        <v>272</v>
      </c>
      <c r="D81" s="119"/>
      <c r="E81" s="119"/>
      <c r="F81" s="253">
        <f>IFERROR(F80/D80,)</f>
        <v>3.2612140312057711E-2</v>
      </c>
    </row>
    <row r="82" spans="1:6" ht="15">
      <c r="A82" s="258"/>
      <c r="B82" s="119"/>
      <c r="C82" s="119"/>
      <c r="D82" s="119"/>
      <c r="E82" s="119"/>
      <c r="F82" s="119"/>
    </row>
    <row r="83" spans="1:6" ht="15">
      <c r="A83" s="258">
        <f>A81+1</f>
        <v>55</v>
      </c>
      <c r="B83" s="119" t="s">
        <v>249</v>
      </c>
      <c r="C83" s="254" t="str">
        <f>'Worksheet F, Inputs'!$F$3&amp;", Col "&amp;'Worksheet F, Inputs'!$F$10&amp;" Lines "&amp;'Worksheet F, Inputs'!A100&amp;" and "&amp;'Worksheet F, Inputs'!A105</f>
        <v>Worksheet F, Col F Lines 76 and 81</v>
      </c>
      <c r="D83" s="221">
        <f>'Worksheet F, Inputs'!F100</f>
        <v>2656619.4200000004</v>
      </c>
      <c r="E83" s="221"/>
      <c r="F83" s="221">
        <f>'Worksheet F, Inputs'!F105</f>
        <v>0</v>
      </c>
    </row>
    <row r="84" spans="1:6" ht="15.75">
      <c r="A84" s="258">
        <f>A83+1</f>
        <v>56</v>
      </c>
      <c r="B84" s="205" t="s">
        <v>273</v>
      </c>
      <c r="C84" s="119" t="s">
        <v>274</v>
      </c>
      <c r="D84" s="119"/>
      <c r="E84" s="119"/>
      <c r="F84" s="263">
        <f>IFERROR(F83/D83,)</f>
        <v>0</v>
      </c>
    </row>
    <row r="85" spans="1:6" ht="15">
      <c r="A85" s="258"/>
      <c r="B85" s="119"/>
      <c r="C85" s="119"/>
      <c r="D85" s="119"/>
      <c r="E85" s="119"/>
      <c r="F85" s="119"/>
    </row>
    <row r="86" spans="1:6" ht="15">
      <c r="A86" s="258">
        <f>A84+1</f>
        <v>57</v>
      </c>
      <c r="B86" s="119" t="s">
        <v>275</v>
      </c>
      <c r="C86" s="254" t="str">
        <f>'Worksheet F, Inputs'!$F$3&amp;", Col "&amp;'Worksheet F, Inputs'!$F$10&amp;" Lines "&amp;'Worksheet F, Inputs'!A47&amp;" and "&amp;'Worksheet F, Inputs'!A48</f>
        <v>Worksheet F, Col F Lines 31 and 32</v>
      </c>
      <c r="D86" s="221">
        <f>'Worksheet F, Inputs'!F47</f>
        <v>3817494.040000001</v>
      </c>
      <c r="E86" s="119"/>
      <c r="F86" s="221">
        <f>'Worksheet F, Inputs'!F48</f>
        <v>22582</v>
      </c>
    </row>
    <row r="87" spans="1:6" ht="15.75">
      <c r="A87" s="258">
        <f>A86+1</f>
        <v>58</v>
      </c>
      <c r="B87" s="205" t="s">
        <v>277</v>
      </c>
      <c r="C87" s="119" t="s">
        <v>276</v>
      </c>
      <c r="D87" s="119"/>
      <c r="E87" s="119"/>
      <c r="F87" s="253">
        <f>IFERROR(F86/D86,)</f>
        <v>5.9153988882193502E-3</v>
      </c>
    </row>
    <row r="88" spans="1:6" ht="15">
      <c r="A88" s="258"/>
      <c r="B88" s="119"/>
      <c r="C88" s="119"/>
      <c r="D88" s="119"/>
      <c r="E88" s="119"/>
      <c r="F88" s="119"/>
    </row>
    <row r="89" spans="1:6" ht="15">
      <c r="A89" s="258">
        <f>A87+1</f>
        <v>59</v>
      </c>
      <c r="B89" s="119" t="s">
        <v>531</v>
      </c>
      <c r="C89" s="254" t="str">
        <f>'Worksheet F, Inputs'!$F$3&amp;", Col "&amp;'Worksheet F, Inputs'!$F$10&amp;" Lines "&amp;'Worksheet F, Inputs'!A71&amp;" and "&amp;'Worksheet F, Inputs'!A72</f>
        <v>Worksheet F, Col F Lines 52 and 53</v>
      </c>
      <c r="D89" s="221">
        <f>'Worksheet F, Inputs'!F71</f>
        <v>50949240.469999999</v>
      </c>
      <c r="E89" s="119"/>
      <c r="F89" s="221">
        <f>'Worksheet F, Inputs'!F72</f>
        <v>1635593.92</v>
      </c>
    </row>
    <row r="90" spans="1:6" ht="15.75">
      <c r="A90" s="258">
        <f>A89+1</f>
        <v>60</v>
      </c>
      <c r="B90" s="205" t="s">
        <v>278</v>
      </c>
      <c r="C90" s="119" t="s">
        <v>279</v>
      </c>
      <c r="D90" s="119"/>
      <c r="E90" s="119"/>
      <c r="F90" s="264">
        <f>IFERROR(F89/D89,)</f>
        <v>3.2102420073623524E-2</v>
      </c>
    </row>
    <row r="91" spans="1:6" ht="15.75">
      <c r="A91" s="258"/>
      <c r="B91" s="205"/>
      <c r="C91" s="119"/>
      <c r="D91" s="119"/>
      <c r="E91" s="119"/>
      <c r="F91" s="264"/>
    </row>
    <row r="92" spans="1:6" ht="15.75">
      <c r="A92" s="258">
        <f>A90+1</f>
        <v>61</v>
      </c>
      <c r="B92" s="205" t="s">
        <v>362</v>
      </c>
      <c r="C92" s="119"/>
      <c r="D92" s="119"/>
      <c r="E92" s="119"/>
      <c r="F92" s="264">
        <v>0</v>
      </c>
    </row>
    <row r="93" spans="1:6" ht="15.75">
      <c r="A93" s="258">
        <f>A92+1</f>
        <v>62</v>
      </c>
      <c r="B93" s="205" t="s">
        <v>363</v>
      </c>
      <c r="C93" s="119"/>
      <c r="D93" s="119"/>
      <c r="E93" s="119"/>
      <c r="F93" s="264">
        <v>1</v>
      </c>
    </row>
    <row r="94" spans="1:6" ht="15.75">
      <c r="A94" s="258"/>
      <c r="B94" s="205"/>
      <c r="C94" s="119"/>
      <c r="D94" s="119"/>
      <c r="E94" s="119"/>
      <c r="F94" s="264"/>
    </row>
    <row r="95" spans="1:6" ht="15">
      <c r="A95" s="69" t="s">
        <v>364</v>
      </c>
      <c r="B95" s="119"/>
      <c r="C95" s="119"/>
      <c r="D95" s="119"/>
      <c r="E95" s="119"/>
      <c r="F95" s="119"/>
    </row>
    <row r="96" spans="1:6" ht="15">
      <c r="A96" s="258"/>
      <c r="B96" s="125">
        <v>1</v>
      </c>
      <c r="C96" s="125">
        <v>2</v>
      </c>
      <c r="D96" s="119">
        <v>3</v>
      </c>
      <c r="E96" s="119">
        <v>4</v>
      </c>
      <c r="F96" s="119">
        <v>5</v>
      </c>
    </row>
    <row r="97" spans="1:6" ht="16.5" thickBot="1">
      <c r="A97" s="258"/>
      <c r="B97" s="205" t="s">
        <v>0</v>
      </c>
      <c r="C97" s="205" t="s">
        <v>1</v>
      </c>
      <c r="D97" s="265" t="s">
        <v>2</v>
      </c>
      <c r="E97" s="265" t="s">
        <v>243</v>
      </c>
      <c r="F97" s="265" t="s">
        <v>5</v>
      </c>
    </row>
    <row r="98" spans="1:6" ht="15">
      <c r="A98" s="258">
        <f>A93+1</f>
        <v>63</v>
      </c>
      <c r="B98" s="266" t="str">
        <f>$B$61</f>
        <v>Customer Meters</v>
      </c>
      <c r="C98" s="267"/>
      <c r="D98" s="267"/>
      <c r="E98" s="267"/>
      <c r="F98" s="268">
        <f>F$61</f>
        <v>6.7761806981519512E-2</v>
      </c>
    </row>
    <row r="99" spans="1:6" ht="15">
      <c r="A99" s="258">
        <f>A98+1</f>
        <v>64</v>
      </c>
      <c r="B99" s="269" t="str">
        <f>$B$93</f>
        <v>Direct 100</v>
      </c>
      <c r="C99" s="126"/>
      <c r="D99" s="126"/>
      <c r="E99" s="126"/>
      <c r="F99" s="270">
        <f>$F$93</f>
        <v>1</v>
      </c>
    </row>
    <row r="100" spans="1:6" ht="15">
      <c r="A100" s="258">
        <f t="shared" ref="A100:A119" si="4">A99+1</f>
        <v>65</v>
      </c>
      <c r="B100" s="269" t="str">
        <f>B$92</f>
        <v>Direct Zero</v>
      </c>
      <c r="C100" s="126"/>
      <c r="D100" s="126"/>
      <c r="E100" s="126"/>
      <c r="F100" s="270">
        <f>F$92</f>
        <v>0</v>
      </c>
    </row>
    <row r="101" spans="1:6" ht="15">
      <c r="A101" s="258">
        <f t="shared" si="4"/>
        <v>66</v>
      </c>
      <c r="B101" s="269" t="str">
        <f>$B$55</f>
        <v>T-Completed</v>
      </c>
      <c r="C101" s="126"/>
      <c r="D101" s="126"/>
      <c r="E101" s="126"/>
      <c r="F101" s="270">
        <f>F$55</f>
        <v>1.4325109005225446E-2</v>
      </c>
    </row>
    <row r="102" spans="1:6" ht="15">
      <c r="A102" s="258">
        <f t="shared" si="4"/>
        <v>67</v>
      </c>
      <c r="B102" s="269" t="str">
        <f>$B$58</f>
        <v>T-CWIP</v>
      </c>
      <c r="C102" s="126"/>
      <c r="D102" s="126"/>
      <c r="E102" s="126"/>
      <c r="F102" s="270">
        <f>F$58</f>
        <v>1.1304798573198119E-3</v>
      </c>
    </row>
    <row r="103" spans="1:6" ht="15">
      <c r="A103" s="258">
        <f t="shared" si="4"/>
        <v>68</v>
      </c>
      <c r="B103" s="269" t="str">
        <f>$B$44</f>
        <v xml:space="preserve">T-Depr Reserv </v>
      </c>
      <c r="C103" s="126"/>
      <c r="D103" s="126"/>
      <c r="E103" s="126"/>
      <c r="F103" s="270">
        <f>F$44</f>
        <v>4.3009595851036052E-2</v>
      </c>
    </row>
    <row r="104" spans="1:6" ht="15">
      <c r="A104" s="258">
        <f t="shared" si="4"/>
        <v>69</v>
      </c>
      <c r="B104" s="269" t="str">
        <f>$B$81</f>
        <v>T-DeprEx Lines</v>
      </c>
      <c r="C104" s="126"/>
      <c r="D104" s="126"/>
      <c r="E104" s="126"/>
      <c r="F104" s="270">
        <f>F$81</f>
        <v>3.2612140312057711E-2</v>
      </c>
    </row>
    <row r="105" spans="1:6" ht="15">
      <c r="A105" s="258">
        <f t="shared" si="4"/>
        <v>70</v>
      </c>
      <c r="B105" s="269" t="str">
        <f>$B$76</f>
        <v>T-DeprEx Subs</v>
      </c>
      <c r="C105" s="126"/>
      <c r="D105" s="126"/>
      <c r="E105" s="126"/>
      <c r="F105" s="270">
        <f>F$76</f>
        <v>2.3175309693189244E-2</v>
      </c>
    </row>
    <row r="106" spans="1:6" ht="15">
      <c r="A106" s="258">
        <f t="shared" si="4"/>
        <v>71</v>
      </c>
      <c r="B106" s="269" t="str">
        <f>$B$50</f>
        <v>T-Future Use</v>
      </c>
      <c r="C106" s="126"/>
      <c r="D106" s="126"/>
      <c r="E106" s="126"/>
      <c r="F106" s="270">
        <f>F$50</f>
        <v>0</v>
      </c>
    </row>
    <row r="107" spans="1:6" ht="15">
      <c r="A107" s="258">
        <f t="shared" si="4"/>
        <v>72</v>
      </c>
      <c r="B107" s="269" t="str">
        <f>$B$47</f>
        <v>T-Net Allocation</v>
      </c>
      <c r="C107" s="126"/>
      <c r="D107" s="126"/>
      <c r="E107" s="126"/>
      <c r="F107" s="270">
        <f>F$47</f>
        <v>8.5917309196664581E-3</v>
      </c>
    </row>
    <row r="108" spans="1:6" ht="15">
      <c r="A108" s="258">
        <f t="shared" si="4"/>
        <v>73</v>
      </c>
      <c r="B108" s="269" t="str">
        <f>$B$37</f>
        <v>T-Plant Allocation</v>
      </c>
      <c r="C108" s="126"/>
      <c r="D108" s="126"/>
      <c r="E108" s="126"/>
      <c r="F108" s="270">
        <f>F$37</f>
        <v>1.0983409540489115E-2</v>
      </c>
    </row>
    <row r="109" spans="1:6" ht="15">
      <c r="A109" s="258">
        <f t="shared" si="4"/>
        <v>74</v>
      </c>
      <c r="B109" s="269" t="str">
        <f>$B$84</f>
        <v>T-Plant Held</v>
      </c>
      <c r="C109" s="126"/>
      <c r="D109" s="126"/>
      <c r="E109" s="126"/>
      <c r="F109" s="270">
        <f>F$84</f>
        <v>0</v>
      </c>
    </row>
    <row r="110" spans="1:6" ht="15">
      <c r="A110" s="258">
        <f t="shared" si="4"/>
        <v>75</v>
      </c>
      <c r="B110" s="269" t="str">
        <f>$B$87</f>
        <v>T-Rent</v>
      </c>
      <c r="C110" s="126"/>
      <c r="D110" s="126"/>
      <c r="E110" s="126"/>
      <c r="F110" s="270">
        <f>F$87</f>
        <v>5.9153988882193502E-3</v>
      </c>
    </row>
    <row r="111" spans="1:6" ht="15">
      <c r="A111" s="258">
        <f t="shared" si="4"/>
        <v>76</v>
      </c>
      <c r="B111" s="269" t="str">
        <f>$B$71</f>
        <v>T-RTO/ISO Maintenance</v>
      </c>
      <c r="C111" s="126"/>
      <c r="D111" s="126"/>
      <c r="E111" s="126"/>
      <c r="F111" s="270">
        <f>F$71</f>
        <v>0</v>
      </c>
    </row>
    <row r="112" spans="1:6" ht="15">
      <c r="A112" s="258">
        <f t="shared" si="4"/>
        <v>77</v>
      </c>
      <c r="B112" s="269" t="str">
        <f>$B$66</f>
        <v>T-RTO/ISO Operations</v>
      </c>
      <c r="C112" s="126"/>
      <c r="D112" s="126"/>
      <c r="E112" s="126"/>
      <c r="F112" s="270">
        <f>F$66</f>
        <v>0</v>
      </c>
    </row>
    <row r="113" spans="1:6" ht="15">
      <c r="A113" s="258">
        <f t="shared" si="4"/>
        <v>78</v>
      </c>
      <c r="B113" s="269" t="str">
        <f>$B$34</f>
        <v>T-RTO/ISO Plant</v>
      </c>
      <c r="C113" s="126"/>
      <c r="D113" s="126"/>
      <c r="E113" s="126"/>
      <c r="F113" s="270">
        <f>F$34</f>
        <v>0</v>
      </c>
    </row>
    <row r="114" spans="1:6" ht="15">
      <c r="A114" s="258">
        <f t="shared" si="4"/>
        <v>79</v>
      </c>
      <c r="B114" s="271" t="str">
        <f>$B$52</f>
        <v>T-Tax</v>
      </c>
      <c r="C114" s="126"/>
      <c r="D114" s="126"/>
      <c r="E114" s="126"/>
      <c r="F114" s="270">
        <f>F$52</f>
        <v>8.5917309196664581E-3</v>
      </c>
    </row>
    <row r="115" spans="1:6" ht="15">
      <c r="A115" s="258">
        <f t="shared" si="4"/>
        <v>80</v>
      </c>
      <c r="B115" s="269" t="str">
        <f>$B$90</f>
        <v>T-TIE</v>
      </c>
      <c r="C115" s="126"/>
      <c r="D115" s="126"/>
      <c r="E115" s="126"/>
      <c r="F115" s="270">
        <f>F$90</f>
        <v>3.2102420073623524E-2</v>
      </c>
    </row>
    <row r="116" spans="1:6" ht="15">
      <c r="A116" s="258">
        <f t="shared" si="4"/>
        <v>81</v>
      </c>
      <c r="B116" s="269" t="str">
        <f>$B$26</f>
        <v>T-Tran Lines</v>
      </c>
      <c r="C116" s="126"/>
      <c r="D116" s="126"/>
      <c r="E116" s="126"/>
      <c r="F116" s="270">
        <f>F$26</f>
        <v>3.8550660266060036E-2</v>
      </c>
    </row>
    <row r="117" spans="1:6" ht="15">
      <c r="A117" s="258">
        <f t="shared" si="4"/>
        <v>82</v>
      </c>
      <c r="B117" s="269" t="str">
        <f>$B$29</f>
        <v>T-Tran Plant</v>
      </c>
      <c r="C117" s="126"/>
      <c r="D117" s="126"/>
      <c r="E117" s="126"/>
      <c r="F117" s="270">
        <f>F$29</f>
        <v>3.2030604425698279E-2</v>
      </c>
    </row>
    <row r="118" spans="1:6" ht="15">
      <c r="A118" s="258">
        <f t="shared" si="4"/>
        <v>83</v>
      </c>
      <c r="B118" s="269" t="str">
        <f>$B$23</f>
        <v>T-Tran Stations</v>
      </c>
      <c r="C118" s="126"/>
      <c r="D118" s="126"/>
      <c r="E118" s="126"/>
      <c r="F118" s="270">
        <f>F$23</f>
        <v>2.6965081637855898E-2</v>
      </c>
    </row>
    <row r="119" spans="1:6" ht="15.75" thickBot="1">
      <c r="A119" s="258">
        <f t="shared" si="4"/>
        <v>84</v>
      </c>
      <c r="B119" s="272" t="str">
        <f>$B$20</f>
        <v>T-Wage Allocation</v>
      </c>
      <c r="C119" s="273"/>
      <c r="D119" s="273"/>
      <c r="E119" s="273"/>
      <c r="F119" s="274">
        <f>F$20</f>
        <v>1.6684417124725869E-2</v>
      </c>
    </row>
  </sheetData>
  <printOptions horizontalCentered="1"/>
  <pageMargins left="0.7" right="0.7" top="0.75" bottom="0.75" header="0.3" footer="0.3"/>
  <pageSetup scale="82" fitToHeight="0" orientation="landscape" horizontalDpi="1200" verticalDpi="1200" r:id="rId1"/>
  <rowBreaks count="1" manualBreakCount="1">
    <brk id="9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X743"/>
  <sheetViews>
    <sheetView workbookViewId="0">
      <pane xSplit="2" ySplit="11" topLeftCell="C72" activePane="bottomRight" state="frozen"/>
      <selection activeCell="A22" sqref="A22"/>
      <selection pane="topRight" activeCell="A22" sqref="A22"/>
      <selection pane="bottomLeft" activeCell="A22" sqref="A22"/>
      <selection pane="bottomRight" activeCell="D9" sqref="D9"/>
    </sheetView>
  </sheetViews>
  <sheetFormatPr defaultColWidth="9.25" defaultRowHeight="14.25"/>
  <cols>
    <col min="1" max="1" width="5.5" style="2" customWidth="1"/>
    <col min="2" max="2" width="40.375" style="2" customWidth="1"/>
    <col min="3" max="3" width="45.375" style="2" customWidth="1"/>
    <col min="4" max="4" width="20.625" style="2" customWidth="1"/>
    <col min="5" max="5" width="15.125" style="2" customWidth="1"/>
    <col min="6" max="6" width="16" style="2" customWidth="1"/>
    <col min="7" max="7" width="2.875" style="2" customWidth="1"/>
    <col min="8" max="8" width="46.5" style="2" bestFit="1" customWidth="1"/>
    <col min="9" max="9" width="14.25" style="2" bestFit="1" customWidth="1"/>
    <col min="10" max="10" width="15.5" style="15" customWidth="1"/>
    <col min="11" max="11" width="4.625" style="2" customWidth="1"/>
    <col min="12" max="12" width="14.25" style="2" customWidth="1"/>
    <col min="13" max="13" width="9.25" style="2"/>
    <col min="14" max="14" width="5.625" style="2" customWidth="1"/>
    <col min="15" max="15" width="12.625" style="2" customWidth="1"/>
    <col min="16" max="16" width="1.625" style="2" customWidth="1"/>
    <col min="17" max="17" width="9.25" style="2"/>
    <col min="18" max="18" width="13.875" style="16" customWidth="1"/>
    <col min="19" max="19" width="9.25" style="2"/>
    <col min="20" max="20" width="11.625" style="2" customWidth="1"/>
    <col min="21" max="21" width="1.625" style="2" customWidth="1"/>
    <col min="22" max="22" width="56.625" style="2" customWidth="1"/>
    <col min="23" max="23" width="9.25" style="2"/>
    <col min="24" max="24" width="11.625" style="2" customWidth="1"/>
    <col min="25" max="25" width="1.625" style="2" customWidth="1"/>
    <col min="26" max="16384" width="9.25" style="2"/>
  </cols>
  <sheetData>
    <row r="1" spans="1:19" ht="15">
      <c r="F1" s="225" t="str">
        <f>Index!$D$1</f>
        <v>Exhibit No. SPP-12</v>
      </c>
    </row>
    <row r="2" spans="1:19" ht="15">
      <c r="A2" s="14"/>
      <c r="B2" s="14"/>
      <c r="C2" s="14"/>
      <c r="D2" s="14"/>
      <c r="E2" s="14"/>
      <c r="F2" s="214" t="s">
        <v>369</v>
      </c>
    </row>
    <row r="3" spans="1:19" ht="15">
      <c r="A3" s="14"/>
      <c r="B3" s="14"/>
      <c r="C3" s="14"/>
      <c r="D3" s="14"/>
      <c r="E3" s="14"/>
      <c r="F3" s="214" t="s">
        <v>15</v>
      </c>
    </row>
    <row r="4" spans="1:19">
      <c r="A4" s="14"/>
      <c r="B4" s="14"/>
      <c r="C4" s="14"/>
      <c r="D4" s="14"/>
      <c r="E4" s="14"/>
      <c r="F4" s="72"/>
    </row>
    <row r="5" spans="1:19" ht="21">
      <c r="B5" s="107" t="str">
        <f>Index!B4</f>
        <v>Tri-State Generation and Transmission Association, Inc.</v>
      </c>
      <c r="C5" s="83"/>
      <c r="D5" s="83"/>
      <c r="E5" s="83"/>
      <c r="F5" s="84"/>
      <c r="G5" s="12"/>
    </row>
    <row r="6" spans="1:19" ht="15">
      <c r="B6" s="18"/>
      <c r="C6" s="83"/>
      <c r="D6" s="83"/>
      <c r="E6" s="83"/>
      <c r="F6" s="84"/>
      <c r="G6" s="12"/>
    </row>
    <row r="7" spans="1:19" ht="15.75">
      <c r="B7" s="108" t="s">
        <v>164</v>
      </c>
      <c r="C7" s="83"/>
      <c r="D7" s="83"/>
      <c r="E7" s="83"/>
      <c r="F7" s="84"/>
      <c r="G7" s="12"/>
    </row>
    <row r="8" spans="1:19" ht="15.75">
      <c r="B8" s="104" t="str">
        <f>Index!B7</f>
        <v>Year Ending December 31, 2016</v>
      </c>
      <c r="C8" s="14"/>
      <c r="D8" s="14"/>
      <c r="E8" s="14"/>
      <c r="F8" s="14"/>
      <c r="G8" s="12"/>
      <c r="O8" s="12"/>
      <c r="P8" s="12"/>
      <c r="Q8" s="12"/>
      <c r="R8" s="19"/>
      <c r="S8" s="12"/>
    </row>
    <row r="9" spans="1:19">
      <c r="A9" s="14"/>
      <c r="B9" s="14"/>
      <c r="C9" s="14"/>
      <c r="D9" s="14"/>
      <c r="E9" s="14"/>
      <c r="F9" s="14"/>
      <c r="G9" s="12"/>
      <c r="O9" s="12"/>
      <c r="P9" s="12"/>
      <c r="Q9" s="12"/>
      <c r="R9" s="19"/>
      <c r="S9" s="12"/>
    </row>
    <row r="10" spans="1:19" ht="15">
      <c r="A10" s="91" t="s">
        <v>20</v>
      </c>
      <c r="B10" s="91" t="s">
        <v>21</v>
      </c>
      <c r="C10" s="91" t="s">
        <v>22</v>
      </c>
      <c r="D10" s="91" t="s">
        <v>23</v>
      </c>
      <c r="E10" s="91" t="s">
        <v>24</v>
      </c>
      <c r="F10" s="91" t="s">
        <v>25</v>
      </c>
      <c r="G10" s="20"/>
      <c r="O10" s="12"/>
      <c r="P10" s="12"/>
      <c r="Q10" s="12"/>
      <c r="R10" s="19"/>
      <c r="S10" s="12"/>
    </row>
    <row r="11" spans="1:19" ht="31.5">
      <c r="A11" s="116" t="s">
        <v>19</v>
      </c>
      <c r="B11" s="117" t="s">
        <v>0</v>
      </c>
      <c r="C11" s="116" t="s">
        <v>1</v>
      </c>
      <c r="D11" s="116" t="s">
        <v>127</v>
      </c>
      <c r="E11" s="116" t="s">
        <v>126</v>
      </c>
      <c r="F11" s="117" t="s">
        <v>567</v>
      </c>
      <c r="G11" s="118"/>
      <c r="H11" s="119"/>
      <c r="I11" s="119"/>
      <c r="O11" s="12"/>
      <c r="P11" s="12"/>
      <c r="Q11" s="12"/>
      <c r="R11" s="19"/>
      <c r="S11" s="12"/>
    </row>
    <row r="12" spans="1:19" ht="14.25" customHeight="1">
      <c r="A12" s="120"/>
      <c r="B12" s="121"/>
      <c r="C12" s="122"/>
      <c r="F12" s="123" t="str">
        <f>Index!$D$39</f>
        <v xml:space="preserve">Total </v>
      </c>
      <c r="G12" s="124"/>
      <c r="H12" s="125"/>
      <c r="I12" s="119"/>
    </row>
    <row r="13" spans="1:19" s="3" customFormat="1" ht="15">
      <c r="A13" s="126">
        <v>1</v>
      </c>
      <c r="B13" s="119" t="s">
        <v>343</v>
      </c>
      <c r="C13" s="127" t="s">
        <v>284</v>
      </c>
      <c r="D13" s="127"/>
      <c r="E13" s="127"/>
      <c r="F13" s="307">
        <v>487</v>
      </c>
      <c r="G13" s="125"/>
      <c r="H13" s="125"/>
      <c r="I13" s="125"/>
      <c r="J13" s="23"/>
      <c r="O13" s="24"/>
      <c r="R13" s="25"/>
    </row>
    <row r="14" spans="1:19" s="3" customFormat="1" ht="15">
      <c r="A14" s="126">
        <f t="shared" ref="A14:A162" si="0">A13+1</f>
        <v>2</v>
      </c>
      <c r="B14" s="128" t="s">
        <v>533</v>
      </c>
      <c r="C14" s="127"/>
      <c r="D14" s="127"/>
      <c r="E14" s="127"/>
      <c r="F14" s="125"/>
      <c r="G14" s="125"/>
      <c r="H14" s="125"/>
      <c r="I14" s="125"/>
      <c r="J14" s="23"/>
      <c r="O14" s="24"/>
      <c r="R14" s="25"/>
    </row>
    <row r="15" spans="1:19" ht="15">
      <c r="A15" s="126">
        <f>A14+1</f>
        <v>3</v>
      </c>
      <c r="B15" s="129" t="s">
        <v>46</v>
      </c>
      <c r="C15" s="130" t="s">
        <v>568</v>
      </c>
      <c r="D15" s="119"/>
      <c r="E15" s="119"/>
      <c r="F15" s="135">
        <v>45</v>
      </c>
      <c r="G15" s="119"/>
      <c r="H15" s="131" t="s">
        <v>534</v>
      </c>
      <c r="I15" s="119"/>
      <c r="J15" s="27"/>
      <c r="O15" s="22"/>
    </row>
    <row r="16" spans="1:19" ht="15">
      <c r="A16" s="126">
        <f t="shared" si="0"/>
        <v>4</v>
      </c>
      <c r="B16" s="132" t="s">
        <v>136</v>
      </c>
      <c r="C16" s="126" t="s">
        <v>382</v>
      </c>
      <c r="D16" s="126"/>
      <c r="E16" s="126"/>
      <c r="F16" s="275">
        <v>0.1087</v>
      </c>
      <c r="G16" s="119"/>
      <c r="H16" s="131" t="s">
        <v>534</v>
      </c>
      <c r="I16" s="119"/>
      <c r="O16" s="22"/>
    </row>
    <row r="17" spans="1:15" ht="15">
      <c r="A17" s="126"/>
      <c r="B17" s="132"/>
      <c r="C17" s="126"/>
      <c r="D17" s="126"/>
      <c r="E17" s="126"/>
      <c r="F17" s="119"/>
      <c r="G17" s="119"/>
      <c r="H17" s="125"/>
      <c r="I17" s="119"/>
      <c r="O17" s="22"/>
    </row>
    <row r="18" spans="1:15" ht="15.75">
      <c r="A18" s="119">
        <f>A16+1</f>
        <v>5</v>
      </c>
      <c r="B18" s="133" t="s">
        <v>478</v>
      </c>
      <c r="C18" s="126"/>
      <c r="D18" s="126"/>
      <c r="E18" s="126"/>
      <c r="F18" s="119"/>
      <c r="G18" s="119"/>
      <c r="H18" s="125"/>
      <c r="I18" s="119"/>
      <c r="O18" s="22"/>
    </row>
    <row r="19" spans="1:15" ht="15">
      <c r="A19" s="119">
        <f>A18+1</f>
        <v>6</v>
      </c>
      <c r="B19" s="132" t="s">
        <v>474</v>
      </c>
      <c r="C19" s="126" t="str">
        <f>"Line subs-breakout VerXX.xlsx, Tab: Gen and Summary, Line "&amp;"1"</f>
        <v>Line subs-breakout VerXX.xlsx, Tab: Gen and Summary, Line 1</v>
      </c>
      <c r="D19" s="126"/>
      <c r="E19" s="126"/>
      <c r="F19" s="310">
        <v>16171826.331666676</v>
      </c>
      <c r="G19" s="119"/>
      <c r="H19" s="316"/>
      <c r="I19" s="317"/>
      <c r="O19" s="22"/>
    </row>
    <row r="20" spans="1:15" ht="15">
      <c r="A20" s="119">
        <f>A19+1</f>
        <v>7</v>
      </c>
      <c r="B20" s="132" t="s">
        <v>475</v>
      </c>
      <c r="C20" s="126" t="str">
        <f>"Line subs-breakout VerXX.xlsx, Tab: Gen and Summary, Line "&amp;"2"</f>
        <v>Line subs-breakout VerXX.xlsx, Tab: Gen and Summary, Line 2</v>
      </c>
      <c r="D20" s="126"/>
      <c r="E20" s="126"/>
      <c r="F20" s="310">
        <v>9093478.1516666617</v>
      </c>
      <c r="G20" s="119"/>
      <c r="H20" s="316"/>
      <c r="I20" s="317"/>
      <c r="O20" s="22"/>
    </row>
    <row r="21" spans="1:15" ht="15">
      <c r="A21" s="119">
        <f t="shared" ref="A21:A26" si="1">A20+1</f>
        <v>8</v>
      </c>
      <c r="B21" s="132" t="s">
        <v>476</v>
      </c>
      <c r="C21" s="126" t="str">
        <f>"Line subs-breakout VerXX.xlsx, Tab: Gen and Summary, Line "&amp;"3"</f>
        <v>Line subs-breakout VerXX.xlsx, Tab: Gen and Summary, Line 3</v>
      </c>
      <c r="D21" s="126"/>
      <c r="E21" s="126"/>
      <c r="F21" s="310">
        <v>7078348.1799999997</v>
      </c>
      <c r="G21" s="119"/>
      <c r="H21" s="316"/>
      <c r="I21" s="317"/>
      <c r="O21" s="22"/>
    </row>
    <row r="22" spans="1:15" ht="15">
      <c r="A22" s="119">
        <f t="shared" si="1"/>
        <v>9</v>
      </c>
      <c r="B22" s="132" t="s">
        <v>477</v>
      </c>
      <c r="C22" s="126" t="str">
        <f>"Line subs-breakout VerXX.xlsx, Tab: Gen and Summary, Line "&amp;"4"</f>
        <v>Line subs-breakout VerXX.xlsx, Tab: Gen and Summary, Line 4</v>
      </c>
      <c r="D22" s="126"/>
      <c r="E22" s="126"/>
      <c r="F22" s="310">
        <v>381294.27499999997</v>
      </c>
      <c r="G22" s="119"/>
      <c r="H22" s="316"/>
      <c r="I22" s="317"/>
      <c r="O22" s="22"/>
    </row>
    <row r="23" spans="1:15" ht="15">
      <c r="A23" s="119">
        <f t="shared" si="1"/>
        <v>10</v>
      </c>
      <c r="B23" s="132" t="s">
        <v>470</v>
      </c>
      <c r="C23" s="126" t="str">
        <f>"Line subs-breakout VerXX.xlsx, Tab: Gen and Summary, Line "&amp;"5"</f>
        <v>Line subs-breakout VerXX.xlsx, Tab: Gen and Summary, Line 5</v>
      </c>
      <c r="D23" s="126"/>
      <c r="E23" s="126"/>
      <c r="F23" s="310">
        <v>17962306.730000008</v>
      </c>
      <c r="G23" s="119"/>
      <c r="H23" s="316"/>
      <c r="I23" s="317"/>
      <c r="O23" s="22"/>
    </row>
    <row r="24" spans="1:15" ht="15">
      <c r="A24" s="119">
        <f t="shared" si="1"/>
        <v>11</v>
      </c>
      <c r="B24" s="132" t="s">
        <v>471</v>
      </c>
      <c r="C24" s="126" t="str">
        <f>"Line subs-breakout VerXX.xlsx, Tab: Gen and Summary, Line "&amp;"6"</f>
        <v>Line subs-breakout VerXX.xlsx, Tab: Gen and Summary, Line 6</v>
      </c>
      <c r="D24" s="126"/>
      <c r="E24" s="126"/>
      <c r="F24" s="310">
        <v>10698668.42</v>
      </c>
      <c r="G24" s="119"/>
      <c r="H24" s="316"/>
      <c r="I24" s="317"/>
      <c r="O24" s="22"/>
    </row>
    <row r="25" spans="1:15" ht="15">
      <c r="A25" s="119">
        <f t="shared" si="1"/>
        <v>12</v>
      </c>
      <c r="B25" s="132" t="s">
        <v>472</v>
      </c>
      <c r="C25" s="126" t="str">
        <f>"Line subs-breakout VerXX.xlsx, Tab: Gen and Summary, Line "&amp;"7"</f>
        <v>Line subs-breakout VerXX.xlsx, Tab: Gen and Summary, Line 7</v>
      </c>
      <c r="D25" s="126"/>
      <c r="E25" s="126"/>
      <c r="F25" s="310">
        <v>7263638.3099999987</v>
      </c>
      <c r="G25" s="119"/>
      <c r="H25" s="316"/>
      <c r="I25" s="317"/>
      <c r="O25" s="22"/>
    </row>
    <row r="26" spans="1:15" ht="15">
      <c r="A26" s="119">
        <f t="shared" si="1"/>
        <v>13</v>
      </c>
      <c r="B26" s="132" t="s">
        <v>473</v>
      </c>
      <c r="C26" s="126" t="str">
        <f>"Line subs-breakout VerXX.xlsx, Tab: Gen and Summary, Line "&amp;"8"</f>
        <v>Line subs-breakout VerXX.xlsx, Tab: Gen and Summary, Line 8</v>
      </c>
      <c r="D26" s="126"/>
      <c r="E26" s="126"/>
      <c r="F26" s="310">
        <v>404242.55999999982</v>
      </c>
      <c r="G26" s="119"/>
      <c r="H26" s="316"/>
      <c r="I26" s="317"/>
      <c r="O26" s="22"/>
    </row>
    <row r="27" spans="1:15" ht="15">
      <c r="A27" s="126"/>
      <c r="B27" s="132"/>
      <c r="C27" s="126"/>
      <c r="D27" s="126"/>
      <c r="E27" s="126"/>
      <c r="F27" s="126"/>
      <c r="G27" s="119"/>
      <c r="H27" s="125"/>
      <c r="I27" s="317"/>
      <c r="O27" s="22"/>
    </row>
    <row r="28" spans="1:15" ht="15.75">
      <c r="A28" s="119">
        <f>A26+1</f>
        <v>14</v>
      </c>
      <c r="B28" s="134" t="s">
        <v>192</v>
      </c>
      <c r="C28" s="126"/>
      <c r="D28" s="126"/>
      <c r="E28" s="126"/>
      <c r="F28" s="126"/>
      <c r="G28" s="119"/>
      <c r="H28" s="125"/>
      <c r="I28" s="119"/>
      <c r="O28" s="22"/>
    </row>
    <row r="29" spans="1:15" ht="15">
      <c r="A29" s="119">
        <f>A28+1</f>
        <v>15</v>
      </c>
      <c r="B29" s="135" t="s">
        <v>479</v>
      </c>
      <c r="C29" s="126" t="str">
        <f>"Tri-State_Populated_VXX WkPapers.xlsx, Tab Index and Summary"</f>
        <v>Tri-State_Populated_VXX WkPapers.xlsx, Tab Index and Summary</v>
      </c>
      <c r="D29" s="126"/>
      <c r="E29" s="126"/>
      <c r="F29" s="307">
        <v>53700499.990000002</v>
      </c>
      <c r="G29" s="119"/>
      <c r="H29" s="125"/>
      <c r="I29" s="119"/>
      <c r="O29" s="22"/>
    </row>
    <row r="30" spans="1:15" ht="15">
      <c r="A30" s="119">
        <f>A29+1</f>
        <v>16</v>
      </c>
      <c r="B30" s="135" t="s">
        <v>480</v>
      </c>
      <c r="C30" s="126" t="str">
        <f>$C$29</f>
        <v>Tri-State_Populated_VXX WkPapers.xlsx, Tab Index and Summary</v>
      </c>
      <c r="D30" s="126"/>
      <c r="E30" s="126"/>
      <c r="F30" s="307">
        <v>51156264.659999996</v>
      </c>
      <c r="G30" s="119"/>
      <c r="H30" s="125"/>
      <c r="I30" s="119"/>
      <c r="O30" s="22"/>
    </row>
    <row r="31" spans="1:15" ht="15">
      <c r="A31" s="119">
        <f t="shared" ref="A31:A35" si="2">A30+1</f>
        <v>17</v>
      </c>
      <c r="B31" s="135" t="s">
        <v>481</v>
      </c>
      <c r="C31" s="126" t="str">
        <f t="shared" ref="C31:C35" si="3">$C$29</f>
        <v>Tri-State_Populated_VXX WkPapers.xlsx, Tab Index and Summary</v>
      </c>
      <c r="D31" s="126"/>
      <c r="E31" s="126"/>
      <c r="F31" s="307">
        <v>6301826.4699999997</v>
      </c>
      <c r="G31" s="119"/>
      <c r="H31" s="125"/>
      <c r="I31" s="119"/>
      <c r="O31" s="22"/>
    </row>
    <row r="32" spans="1:15" ht="15">
      <c r="A32" s="119">
        <f t="shared" si="2"/>
        <v>18</v>
      </c>
      <c r="B32" s="135" t="s">
        <v>482</v>
      </c>
      <c r="C32" s="126" t="str">
        <f t="shared" si="3"/>
        <v>Tri-State_Populated_VXX WkPapers.xlsx, Tab Index and Summary</v>
      </c>
      <c r="D32" s="126"/>
      <c r="E32" s="126"/>
      <c r="F32" s="307">
        <v>421701.15</v>
      </c>
      <c r="G32" s="119"/>
      <c r="H32" s="125"/>
      <c r="I32" s="119"/>
      <c r="O32" s="22"/>
    </row>
    <row r="33" spans="1:15" ht="15">
      <c r="A33" s="119">
        <f t="shared" si="2"/>
        <v>19</v>
      </c>
      <c r="B33" s="135" t="s">
        <v>483</v>
      </c>
      <c r="C33" s="126" t="str">
        <f t="shared" si="3"/>
        <v>Tri-State_Populated_VXX WkPapers.xlsx, Tab Index and Summary</v>
      </c>
      <c r="D33" s="126"/>
      <c r="E33" s="126"/>
      <c r="F33" s="307">
        <v>457329.61</v>
      </c>
      <c r="G33" s="119"/>
      <c r="H33" s="125"/>
      <c r="I33" s="119"/>
      <c r="O33" s="22"/>
    </row>
    <row r="34" spans="1:15" ht="15">
      <c r="A34" s="119">
        <f t="shared" si="2"/>
        <v>20</v>
      </c>
      <c r="B34" s="135" t="s">
        <v>484</v>
      </c>
      <c r="C34" s="126" t="str">
        <f t="shared" si="3"/>
        <v>Tri-State_Populated_VXX WkPapers.xlsx, Tab Index and Summary</v>
      </c>
      <c r="D34" s="126"/>
      <c r="E34" s="126"/>
      <c r="F34" s="307">
        <v>127331.49000000002</v>
      </c>
      <c r="G34" s="119"/>
      <c r="H34" s="125"/>
      <c r="I34" s="119"/>
      <c r="O34" s="22"/>
    </row>
    <row r="35" spans="1:15" ht="15">
      <c r="A35" s="119">
        <f t="shared" si="2"/>
        <v>21</v>
      </c>
      <c r="B35" s="135" t="s">
        <v>485</v>
      </c>
      <c r="C35" s="126" t="str">
        <f t="shared" si="3"/>
        <v>Tri-State_Populated_VXX WkPapers.xlsx, Tab Index and Summary</v>
      </c>
      <c r="D35" s="126"/>
      <c r="E35" s="126"/>
      <c r="F35" s="307">
        <v>0</v>
      </c>
      <c r="G35" s="119"/>
      <c r="H35" s="125"/>
      <c r="I35" s="119"/>
      <c r="O35" s="22"/>
    </row>
    <row r="36" spans="1:15" ht="15">
      <c r="A36" s="119"/>
      <c r="B36" s="135"/>
      <c r="C36" s="126"/>
      <c r="D36" s="126"/>
      <c r="E36" s="126"/>
      <c r="F36" s="126"/>
      <c r="G36" s="119"/>
      <c r="H36" s="125"/>
      <c r="I36" s="119"/>
      <c r="O36" s="22"/>
    </row>
    <row r="37" spans="1:15" ht="15.75">
      <c r="A37" s="119">
        <f>A35+1</f>
        <v>22</v>
      </c>
      <c r="B37" s="134" t="s">
        <v>193</v>
      </c>
      <c r="C37" s="126"/>
      <c r="D37" s="126"/>
      <c r="E37" s="126"/>
      <c r="F37" s="126"/>
      <c r="G37" s="119"/>
      <c r="H37" s="125"/>
      <c r="I37" s="119"/>
      <c r="O37" s="22"/>
    </row>
    <row r="38" spans="1:15" ht="15">
      <c r="A38" s="119">
        <f>A37+1</f>
        <v>23</v>
      </c>
      <c r="B38" s="135" t="s">
        <v>486</v>
      </c>
      <c r="C38" s="126" t="str">
        <f t="shared" ref="C38:C44" si="4">$C$29</f>
        <v>Tri-State_Populated_VXX WkPapers.xlsx, Tab Index and Summary</v>
      </c>
      <c r="D38" s="126"/>
      <c r="E38" s="126"/>
      <c r="F38" s="307">
        <v>45234379.949999988</v>
      </c>
      <c r="G38" s="119"/>
      <c r="H38" s="125"/>
      <c r="I38" s="119"/>
      <c r="O38" s="22"/>
    </row>
    <row r="39" spans="1:15" ht="15">
      <c r="A39" s="119">
        <f>A38+1</f>
        <v>24</v>
      </c>
      <c r="B39" s="135" t="s">
        <v>487</v>
      </c>
      <c r="C39" s="126" t="str">
        <f t="shared" si="4"/>
        <v>Tri-State_Populated_VXX WkPapers.xlsx, Tab Index and Summary</v>
      </c>
      <c r="D39" s="126"/>
      <c r="E39" s="126"/>
      <c r="F39" s="307">
        <v>16452607.539999979</v>
      </c>
      <c r="G39" s="119"/>
      <c r="H39" s="125"/>
      <c r="I39" s="119"/>
      <c r="O39" s="22"/>
    </row>
    <row r="40" spans="1:15" ht="15">
      <c r="A40" s="119">
        <f>A39+1</f>
        <v>25</v>
      </c>
      <c r="B40" s="135" t="s">
        <v>488</v>
      </c>
      <c r="C40" s="126" t="str">
        <f t="shared" si="4"/>
        <v>Tri-State_Populated_VXX WkPapers.xlsx, Tab Index and Summary</v>
      </c>
      <c r="D40" s="126"/>
      <c r="E40" s="126"/>
      <c r="F40" s="307">
        <v>12395462.43</v>
      </c>
      <c r="G40" s="119"/>
      <c r="H40" s="125"/>
      <c r="I40" s="119"/>
      <c r="O40" s="22"/>
    </row>
    <row r="41" spans="1:15" ht="15">
      <c r="A41" s="119">
        <f>A40+1</f>
        <v>26</v>
      </c>
      <c r="B41" s="135" t="s">
        <v>489</v>
      </c>
      <c r="C41" s="126" t="str">
        <f t="shared" si="4"/>
        <v>Tri-State_Populated_VXX WkPapers.xlsx, Tab Index and Summary</v>
      </c>
      <c r="D41" s="126"/>
      <c r="E41" s="126"/>
      <c r="F41" s="307">
        <v>2718588.1799999997</v>
      </c>
      <c r="G41" s="119"/>
      <c r="H41" s="125"/>
      <c r="I41" s="119"/>
      <c r="O41" s="22"/>
    </row>
    <row r="42" spans="1:15" ht="15">
      <c r="A42" s="119">
        <f>A41+1</f>
        <v>27</v>
      </c>
      <c r="B42" s="135" t="s">
        <v>490</v>
      </c>
      <c r="C42" s="126" t="str">
        <f t="shared" si="4"/>
        <v>Tri-State_Populated_VXX WkPapers.xlsx, Tab Index and Summary</v>
      </c>
      <c r="D42" s="126"/>
      <c r="E42" s="126"/>
      <c r="F42" s="307">
        <v>28353061.309999995</v>
      </c>
      <c r="G42" s="119"/>
      <c r="H42" s="125"/>
      <c r="I42" s="119"/>
      <c r="O42" s="22"/>
    </row>
    <row r="43" spans="1:15" ht="15">
      <c r="A43" s="119">
        <f t="shared" ref="A43:A44" si="5">A42+1</f>
        <v>28</v>
      </c>
      <c r="B43" s="135" t="s">
        <v>491</v>
      </c>
      <c r="C43" s="126" t="str">
        <f t="shared" si="4"/>
        <v>Tri-State_Populated_VXX WkPapers.xlsx, Tab Index and Summary</v>
      </c>
      <c r="D43" s="126"/>
      <c r="E43" s="126"/>
      <c r="F43" s="307">
        <v>0</v>
      </c>
      <c r="G43" s="119"/>
      <c r="H43" s="125"/>
      <c r="I43" s="119"/>
      <c r="O43" s="22"/>
    </row>
    <row r="44" spans="1:15" ht="15">
      <c r="A44" s="119">
        <f t="shared" si="5"/>
        <v>29</v>
      </c>
      <c r="B44" s="135" t="s">
        <v>492</v>
      </c>
      <c r="C44" s="126" t="str">
        <f t="shared" si="4"/>
        <v>Tri-State_Populated_VXX WkPapers.xlsx, Tab Index and Summary</v>
      </c>
      <c r="D44" s="126"/>
      <c r="E44" s="126"/>
      <c r="F44" s="307">
        <v>22692385.839999989</v>
      </c>
      <c r="G44" s="119"/>
      <c r="H44" s="125"/>
      <c r="I44" s="119"/>
      <c r="O44" s="22"/>
    </row>
    <row r="45" spans="1:15" ht="15">
      <c r="A45" s="119"/>
      <c r="B45" s="135"/>
      <c r="C45" s="126"/>
      <c r="D45" s="126"/>
      <c r="E45" s="126"/>
      <c r="F45" s="126"/>
      <c r="G45" s="119"/>
      <c r="H45" s="125"/>
      <c r="I45" s="119"/>
      <c r="O45" s="22"/>
    </row>
    <row r="46" spans="1:15" ht="15.75">
      <c r="A46" s="119">
        <f>A44+1</f>
        <v>30</v>
      </c>
      <c r="B46" s="134" t="s">
        <v>365</v>
      </c>
      <c r="C46" s="126"/>
      <c r="D46" s="126"/>
      <c r="E46" s="126"/>
      <c r="F46" s="126"/>
      <c r="G46" s="119"/>
      <c r="H46" s="125"/>
      <c r="I46" s="119"/>
      <c r="O46" s="22"/>
    </row>
    <row r="47" spans="1:15" ht="15">
      <c r="A47" s="119">
        <f>A46+1</f>
        <v>31</v>
      </c>
      <c r="B47" s="135" t="s">
        <v>493</v>
      </c>
      <c r="C47" s="126" t="str">
        <f t="shared" ref="C47:C51" si="6">$C$29</f>
        <v>Tri-State_Populated_VXX WkPapers.xlsx, Tab Index and Summary</v>
      </c>
      <c r="D47" s="126"/>
      <c r="E47" s="126"/>
      <c r="F47" s="307">
        <v>3817494.040000001</v>
      </c>
      <c r="G47" s="119"/>
      <c r="H47" s="125"/>
      <c r="I47" s="119"/>
      <c r="O47" s="22"/>
    </row>
    <row r="48" spans="1:15" ht="15">
      <c r="A48" s="119">
        <f>A47+1</f>
        <v>32</v>
      </c>
      <c r="B48" s="135" t="s">
        <v>494</v>
      </c>
      <c r="C48" s="126" t="str">
        <f t="shared" si="6"/>
        <v>Tri-State_Populated_VXX WkPapers.xlsx, Tab Index and Summary</v>
      </c>
      <c r="D48" s="126"/>
      <c r="E48" s="126"/>
      <c r="F48" s="307">
        <v>22582</v>
      </c>
      <c r="G48" s="119"/>
      <c r="H48" s="125"/>
      <c r="I48" s="119"/>
      <c r="O48" s="22"/>
    </row>
    <row r="49" spans="1:15" ht="15">
      <c r="A49" s="119">
        <f>A48+1</f>
        <v>33</v>
      </c>
      <c r="B49" s="135" t="s">
        <v>495</v>
      </c>
      <c r="C49" s="126" t="str">
        <f t="shared" si="6"/>
        <v>Tri-State_Populated_VXX WkPapers.xlsx, Tab Index and Summary</v>
      </c>
      <c r="D49" s="126"/>
      <c r="E49" s="126"/>
      <c r="F49" s="307">
        <v>0</v>
      </c>
      <c r="G49" s="119"/>
      <c r="H49" s="125"/>
      <c r="I49" s="119"/>
      <c r="O49" s="22"/>
    </row>
    <row r="50" spans="1:15" ht="15">
      <c r="A50" s="119">
        <f t="shared" ref="A50:A51" si="7">A49+1</f>
        <v>34</v>
      </c>
      <c r="B50" s="135" t="s">
        <v>496</v>
      </c>
      <c r="C50" s="126" t="str">
        <f t="shared" si="6"/>
        <v>Tri-State_Populated_VXX WkPapers.xlsx, Tab Index and Summary</v>
      </c>
      <c r="D50" s="126"/>
      <c r="E50" s="126"/>
      <c r="F50" s="330">
        <v>766731.95</v>
      </c>
      <c r="G50" s="119"/>
      <c r="H50" s="125"/>
      <c r="I50" s="119"/>
      <c r="O50" s="22"/>
    </row>
    <row r="51" spans="1:15" ht="15">
      <c r="A51" s="119">
        <f t="shared" si="7"/>
        <v>35</v>
      </c>
      <c r="B51" s="135" t="s">
        <v>497</v>
      </c>
      <c r="C51" s="126" t="str">
        <f t="shared" si="6"/>
        <v>Tri-State_Populated_VXX WkPapers.xlsx, Tab Index and Summary</v>
      </c>
      <c r="D51" s="126"/>
      <c r="E51" s="126"/>
      <c r="F51" s="307">
        <v>20570461.460000001</v>
      </c>
      <c r="G51" s="119"/>
      <c r="H51" s="125"/>
      <c r="I51" s="119"/>
      <c r="O51" s="22"/>
    </row>
    <row r="52" spans="1:15" ht="15">
      <c r="A52" s="135"/>
      <c r="B52" s="135"/>
      <c r="C52" s="126"/>
      <c r="D52" s="126"/>
      <c r="E52" s="126"/>
      <c r="F52" s="126"/>
      <c r="G52" s="119"/>
      <c r="H52" s="125"/>
      <c r="I52" s="119"/>
      <c r="O52" s="22"/>
    </row>
    <row r="53" spans="1:15" ht="15.75">
      <c r="A53" s="119">
        <f>A51+1</f>
        <v>36</v>
      </c>
      <c r="B53" s="134" t="s">
        <v>498</v>
      </c>
      <c r="C53" s="126"/>
      <c r="D53" s="126"/>
      <c r="E53" s="126"/>
      <c r="F53" s="126"/>
      <c r="G53" s="119"/>
      <c r="H53" s="125"/>
      <c r="I53" s="119"/>
      <c r="O53" s="22"/>
    </row>
    <row r="54" spans="1:15" ht="15">
      <c r="A54" s="119">
        <f>A53+1</f>
        <v>37</v>
      </c>
      <c r="B54" s="135" t="s">
        <v>499</v>
      </c>
      <c r="C54" s="126" t="str">
        <f>$C$29</f>
        <v>Tri-State_Populated_VXX WkPapers.xlsx, Tab Index and Summary</v>
      </c>
      <c r="D54" s="126"/>
      <c r="E54" s="126"/>
      <c r="F54" s="307">
        <v>0</v>
      </c>
      <c r="G54" s="119"/>
      <c r="H54" s="125"/>
      <c r="I54" s="119"/>
      <c r="O54" s="22"/>
    </row>
    <row r="55" spans="1:15" ht="15">
      <c r="A55" s="135"/>
      <c r="B55" s="135"/>
      <c r="C55" s="126"/>
      <c r="D55" s="126"/>
      <c r="E55" s="126"/>
      <c r="F55" s="126"/>
      <c r="G55" s="119"/>
      <c r="H55" s="125"/>
      <c r="I55" s="119"/>
      <c r="O55" s="22"/>
    </row>
    <row r="56" spans="1:15" ht="15.75">
      <c r="A56" s="119">
        <f>A54+1</f>
        <v>38</v>
      </c>
      <c r="B56" s="134" t="s">
        <v>510</v>
      </c>
      <c r="C56" s="126"/>
      <c r="D56" s="126"/>
      <c r="E56" s="126"/>
      <c r="F56" s="136" t="s">
        <v>2</v>
      </c>
      <c r="G56" s="119"/>
      <c r="H56" s="125"/>
      <c r="I56" s="119"/>
      <c r="O56" s="22"/>
    </row>
    <row r="57" spans="1:15" ht="15">
      <c r="A57" s="119">
        <f>A56+1</f>
        <v>39</v>
      </c>
      <c r="B57" s="132" t="s">
        <v>474</v>
      </c>
      <c r="C57" s="126" t="str">
        <f t="shared" ref="C57:C68" si="8">$C$29</f>
        <v>Tri-State_Populated_VXX WkPapers.xlsx, Tab Index and Summary</v>
      </c>
      <c r="D57" s="126"/>
      <c r="E57" s="126"/>
      <c r="F57" s="307">
        <v>0</v>
      </c>
      <c r="G57" s="119"/>
      <c r="H57" s="125"/>
      <c r="I57" s="119"/>
      <c r="O57" s="22"/>
    </row>
    <row r="58" spans="1:15" ht="15">
      <c r="A58" s="119">
        <f t="shared" ref="A58:A63" si="9">A57+1</f>
        <v>40</v>
      </c>
      <c r="B58" s="132" t="s">
        <v>475</v>
      </c>
      <c r="C58" s="126" t="str">
        <f t="shared" si="8"/>
        <v>Tri-State_Populated_VXX WkPapers.xlsx, Tab Index and Summary</v>
      </c>
      <c r="D58" s="126"/>
      <c r="E58" s="126"/>
      <c r="F58" s="307">
        <v>0</v>
      </c>
      <c r="G58" s="119"/>
      <c r="H58" s="125"/>
      <c r="I58" s="119"/>
      <c r="O58" s="22"/>
    </row>
    <row r="59" spans="1:15" ht="15">
      <c r="A59" s="119">
        <f t="shared" si="9"/>
        <v>41</v>
      </c>
      <c r="B59" s="132" t="s">
        <v>476</v>
      </c>
      <c r="C59" s="126" t="str">
        <f t="shared" si="8"/>
        <v>Tri-State_Populated_VXX WkPapers.xlsx, Tab Index and Summary</v>
      </c>
      <c r="D59" s="126"/>
      <c r="E59" s="126"/>
      <c r="F59" s="307">
        <v>0</v>
      </c>
      <c r="G59" s="119"/>
      <c r="H59" s="125"/>
      <c r="I59" s="119"/>
      <c r="O59" s="22"/>
    </row>
    <row r="60" spans="1:15" ht="15">
      <c r="A60" s="119">
        <f t="shared" si="9"/>
        <v>42</v>
      </c>
      <c r="B60" s="132" t="s">
        <v>477</v>
      </c>
      <c r="C60" s="126" t="str">
        <f t="shared" si="8"/>
        <v>Tri-State_Populated_VXX WkPapers.xlsx, Tab Index and Summary</v>
      </c>
      <c r="D60" s="126"/>
      <c r="E60" s="126"/>
      <c r="F60" s="307">
        <v>0</v>
      </c>
      <c r="G60" s="119"/>
      <c r="H60" s="125"/>
      <c r="I60" s="119"/>
      <c r="O60" s="22"/>
    </row>
    <row r="61" spans="1:15" ht="15">
      <c r="A61" s="119">
        <f t="shared" si="9"/>
        <v>43</v>
      </c>
      <c r="B61" s="132" t="s">
        <v>527</v>
      </c>
      <c r="C61" s="126" t="str">
        <f t="shared" si="8"/>
        <v>Tri-State_Populated_VXX WkPapers.xlsx, Tab Index and Summary</v>
      </c>
      <c r="D61" s="126"/>
      <c r="E61" s="126"/>
      <c r="F61" s="307">
        <v>0</v>
      </c>
      <c r="G61" s="119"/>
      <c r="H61" s="125"/>
      <c r="I61" s="119"/>
      <c r="O61" s="22"/>
    </row>
    <row r="62" spans="1:15" ht="15">
      <c r="A62" s="119">
        <f t="shared" si="9"/>
        <v>44</v>
      </c>
      <c r="B62" s="132" t="s">
        <v>528</v>
      </c>
      <c r="C62" s="126" t="str">
        <f t="shared" si="8"/>
        <v>Tri-State_Populated_VXX WkPapers.xlsx, Tab Index and Summary</v>
      </c>
      <c r="D62" s="126"/>
      <c r="E62" s="126"/>
      <c r="F62" s="307">
        <v>0</v>
      </c>
      <c r="G62" s="119"/>
      <c r="H62" s="125"/>
      <c r="I62" s="119"/>
      <c r="O62" s="22"/>
    </row>
    <row r="63" spans="1:15" ht="15">
      <c r="A63" s="119">
        <f t="shared" si="9"/>
        <v>45</v>
      </c>
      <c r="B63" s="132" t="s">
        <v>470</v>
      </c>
      <c r="C63" s="126" t="str">
        <f t="shared" si="8"/>
        <v>Tri-State_Populated_VXX WkPapers.xlsx, Tab Index and Summary</v>
      </c>
      <c r="D63" s="126"/>
      <c r="E63" s="126"/>
      <c r="F63" s="307">
        <v>0</v>
      </c>
      <c r="G63" s="119"/>
      <c r="H63" s="125"/>
      <c r="I63" s="119"/>
      <c r="O63" s="22"/>
    </row>
    <row r="64" spans="1:15" ht="15">
      <c r="A64" s="119">
        <f>A63+1</f>
        <v>46</v>
      </c>
      <c r="B64" s="132" t="s">
        <v>471</v>
      </c>
      <c r="C64" s="126" t="str">
        <f t="shared" si="8"/>
        <v>Tri-State_Populated_VXX WkPapers.xlsx, Tab Index and Summary</v>
      </c>
      <c r="D64" s="126"/>
      <c r="E64" s="126"/>
      <c r="F64" s="307">
        <v>0</v>
      </c>
      <c r="G64" s="119"/>
      <c r="H64" s="125"/>
      <c r="I64" s="119"/>
      <c r="O64" s="22"/>
    </row>
    <row r="65" spans="1:15" ht="15">
      <c r="A65" s="119">
        <f t="shared" ref="A65:A68" si="10">A64+1</f>
        <v>47</v>
      </c>
      <c r="B65" s="132" t="s">
        <v>472</v>
      </c>
      <c r="C65" s="126" t="str">
        <f t="shared" si="8"/>
        <v>Tri-State_Populated_VXX WkPapers.xlsx, Tab Index and Summary</v>
      </c>
      <c r="D65" s="126"/>
      <c r="E65" s="126"/>
      <c r="F65" s="307">
        <v>0</v>
      </c>
      <c r="G65" s="119"/>
      <c r="H65" s="125"/>
      <c r="I65" s="119"/>
      <c r="O65" s="22"/>
    </row>
    <row r="66" spans="1:15" ht="15">
      <c r="A66" s="119">
        <f t="shared" si="10"/>
        <v>48</v>
      </c>
      <c r="B66" s="132" t="s">
        <v>473</v>
      </c>
      <c r="C66" s="126" t="str">
        <f t="shared" si="8"/>
        <v>Tri-State_Populated_VXX WkPapers.xlsx, Tab Index and Summary</v>
      </c>
      <c r="D66" s="126"/>
      <c r="E66" s="126"/>
      <c r="F66" s="307">
        <v>0</v>
      </c>
      <c r="G66" s="119"/>
      <c r="H66" s="125"/>
      <c r="I66" s="119"/>
      <c r="O66" s="22"/>
    </row>
    <row r="67" spans="1:15" ht="15">
      <c r="A67" s="119">
        <f t="shared" si="10"/>
        <v>49</v>
      </c>
      <c r="B67" s="132" t="s">
        <v>529</v>
      </c>
      <c r="C67" s="126" t="str">
        <f t="shared" si="8"/>
        <v>Tri-State_Populated_VXX WkPapers.xlsx, Tab Index and Summary</v>
      </c>
      <c r="D67" s="126"/>
      <c r="E67" s="126"/>
      <c r="F67" s="307">
        <v>0</v>
      </c>
      <c r="G67" s="119"/>
      <c r="H67" s="125"/>
      <c r="I67" s="119"/>
      <c r="O67" s="22"/>
    </row>
    <row r="68" spans="1:15" ht="15">
      <c r="A68" s="119">
        <f t="shared" si="10"/>
        <v>50</v>
      </c>
      <c r="B68" s="132" t="s">
        <v>530</v>
      </c>
      <c r="C68" s="126" t="str">
        <f t="shared" si="8"/>
        <v>Tri-State_Populated_VXX WkPapers.xlsx, Tab Index and Summary</v>
      </c>
      <c r="D68" s="126"/>
      <c r="E68" s="126"/>
      <c r="F68" s="307">
        <v>0</v>
      </c>
      <c r="G68" s="119"/>
      <c r="H68" s="125"/>
      <c r="I68" s="119"/>
      <c r="O68" s="22"/>
    </row>
    <row r="69" spans="1:15" ht="15">
      <c r="A69" s="135"/>
      <c r="B69" s="135"/>
      <c r="C69" s="126"/>
      <c r="D69" s="126"/>
      <c r="E69" s="126"/>
      <c r="F69" s="126"/>
      <c r="G69" s="119"/>
      <c r="H69" s="125"/>
      <c r="I69" s="119"/>
      <c r="O69" s="22"/>
    </row>
    <row r="70" spans="1:15" ht="15.75">
      <c r="A70" s="119">
        <f>A68+1</f>
        <v>51</v>
      </c>
      <c r="B70" s="133" t="s">
        <v>511</v>
      </c>
      <c r="C70" s="126"/>
      <c r="D70" s="126"/>
      <c r="E70" s="126"/>
      <c r="F70" s="126"/>
      <c r="G70" s="119"/>
      <c r="H70" s="125"/>
      <c r="I70" s="119"/>
      <c r="O70" s="22"/>
    </row>
    <row r="71" spans="1:15" ht="15">
      <c r="A71" s="119">
        <f>A70+1</f>
        <v>52</v>
      </c>
      <c r="B71" s="132" t="s">
        <v>4</v>
      </c>
      <c r="C71" s="126" t="str">
        <f t="shared" ref="C71:C72" si="11">$C$29</f>
        <v>Tri-State_Populated_VXX WkPapers.xlsx, Tab Index and Summary</v>
      </c>
      <c r="D71" s="126"/>
      <c r="E71" s="126"/>
      <c r="F71" s="307">
        <v>50949240.469999999</v>
      </c>
      <c r="G71" s="119"/>
      <c r="H71" s="125"/>
      <c r="I71" s="119"/>
      <c r="O71" s="22"/>
    </row>
    <row r="72" spans="1:15" ht="15">
      <c r="A72" s="119">
        <f t="shared" ref="A72" si="12">A71+1</f>
        <v>53</v>
      </c>
      <c r="B72" s="132" t="s">
        <v>200</v>
      </c>
      <c r="C72" s="126" t="str">
        <f t="shared" si="11"/>
        <v>Tri-State_Populated_VXX WkPapers.xlsx, Tab Index and Summary</v>
      </c>
      <c r="D72" s="126"/>
      <c r="E72" s="126"/>
      <c r="F72" s="330">
        <v>1635593.92</v>
      </c>
      <c r="G72" s="119"/>
      <c r="H72" s="125"/>
      <c r="I72" s="119"/>
      <c r="O72" s="22"/>
    </row>
    <row r="73" spans="1:15" ht="15">
      <c r="A73" s="135"/>
      <c r="B73" s="135"/>
      <c r="C73" s="126"/>
      <c r="D73" s="126"/>
      <c r="E73" s="126"/>
      <c r="F73" s="126"/>
      <c r="G73" s="119"/>
      <c r="H73" s="125"/>
      <c r="I73" s="119"/>
      <c r="O73" s="22"/>
    </row>
    <row r="74" spans="1:15" ht="15.75">
      <c r="A74" s="119">
        <f>A72+1</f>
        <v>54</v>
      </c>
      <c r="B74" s="137" t="s">
        <v>536</v>
      </c>
      <c r="C74" s="126"/>
      <c r="D74" s="126"/>
      <c r="E74" s="126"/>
      <c r="F74" s="126"/>
      <c r="G74" s="119"/>
      <c r="H74" s="125"/>
      <c r="I74" s="119"/>
      <c r="O74" s="22"/>
    </row>
    <row r="75" spans="1:15" ht="15">
      <c r="A75" s="119">
        <f>A74+1</f>
        <v>55</v>
      </c>
      <c r="B75" s="115" t="s">
        <v>535</v>
      </c>
      <c r="C75" s="126" t="str">
        <f t="shared" ref="C75:C76" si="13">$C$29</f>
        <v>Tri-State_Populated_VXX WkPapers.xlsx, Tab Index and Summary</v>
      </c>
      <c r="D75" s="126"/>
      <c r="E75" s="126"/>
      <c r="F75" s="307">
        <v>33250653.91</v>
      </c>
      <c r="G75" s="119"/>
      <c r="H75" s="125"/>
      <c r="I75" s="119"/>
      <c r="O75" s="22"/>
    </row>
    <row r="76" spans="1:15" ht="15">
      <c r="A76" s="119">
        <f t="shared" ref="A76" si="14">A75+1</f>
        <v>56</v>
      </c>
      <c r="B76" s="115" t="s">
        <v>282</v>
      </c>
      <c r="C76" s="126" t="str">
        <f t="shared" si="13"/>
        <v>Tri-State_Populated_VXX WkPapers.xlsx, Tab Index and Summary</v>
      </c>
      <c r="D76" s="126"/>
      <c r="E76" s="126"/>
      <c r="F76" s="307">
        <v>546056000</v>
      </c>
      <c r="G76" s="119"/>
      <c r="H76" s="125"/>
      <c r="I76" s="119"/>
      <c r="O76" s="22"/>
    </row>
    <row r="77" spans="1:15" ht="15">
      <c r="A77" s="135"/>
      <c r="B77" s="115"/>
      <c r="C77" s="126"/>
      <c r="D77" s="126"/>
      <c r="E77" s="126"/>
      <c r="F77" s="126"/>
      <c r="G77" s="119"/>
      <c r="H77" s="125"/>
      <c r="I77" s="119"/>
      <c r="O77" s="22"/>
    </row>
    <row r="78" spans="1:15" ht="15.75">
      <c r="A78" s="119">
        <f>A76+1</f>
        <v>57</v>
      </c>
      <c r="B78" s="134" t="s">
        <v>512</v>
      </c>
      <c r="C78" s="126"/>
      <c r="D78" s="126"/>
      <c r="E78" s="126"/>
      <c r="F78" s="126"/>
      <c r="G78" s="119"/>
      <c r="H78" s="125"/>
      <c r="I78" s="119"/>
      <c r="O78" s="22"/>
    </row>
    <row r="79" spans="1:15" ht="15">
      <c r="A79" s="119">
        <f>A78+1</f>
        <v>58</v>
      </c>
      <c r="B79" s="135" t="s">
        <v>513</v>
      </c>
      <c r="C79" s="126" t="str">
        <f t="shared" ref="C79:C80" si="15">$C$29</f>
        <v>Tri-State_Populated_VXX WkPapers.xlsx, Tab Index and Summary</v>
      </c>
      <c r="D79" s="126"/>
      <c r="E79" s="126"/>
      <c r="F79" s="307">
        <v>3526485.5</v>
      </c>
      <c r="G79" s="119"/>
      <c r="H79" s="125"/>
      <c r="I79" s="119"/>
      <c r="O79" s="22"/>
    </row>
    <row r="80" spans="1:15" ht="15">
      <c r="A80" s="119">
        <f t="shared" ref="A80" si="16">A79+1</f>
        <v>59</v>
      </c>
      <c r="B80" s="135" t="s">
        <v>514</v>
      </c>
      <c r="C80" s="126" t="str">
        <f t="shared" si="15"/>
        <v>Tri-State_Populated_VXX WkPapers.xlsx, Tab Index and Summary</v>
      </c>
      <c r="D80" s="126"/>
      <c r="E80" s="126"/>
      <c r="F80" s="307">
        <v>230674</v>
      </c>
      <c r="G80" s="119"/>
      <c r="H80" s="125"/>
      <c r="I80" s="119"/>
      <c r="O80" s="22"/>
    </row>
    <row r="81" spans="1:20" ht="15">
      <c r="A81" s="135"/>
      <c r="B81" s="135"/>
      <c r="C81" s="126"/>
      <c r="D81" s="126"/>
      <c r="E81" s="126"/>
      <c r="F81" s="126"/>
      <c r="G81" s="119"/>
      <c r="H81" s="125"/>
      <c r="I81" s="119"/>
      <c r="O81" s="22"/>
    </row>
    <row r="82" spans="1:20" ht="15.75">
      <c r="A82" s="119">
        <f>A80+1</f>
        <v>60</v>
      </c>
      <c r="B82" s="134" t="s">
        <v>515</v>
      </c>
      <c r="C82" s="126"/>
      <c r="D82" s="126"/>
      <c r="E82" s="126"/>
      <c r="F82" s="126"/>
      <c r="G82" s="119"/>
      <c r="H82" s="125"/>
      <c r="I82" s="119"/>
      <c r="O82" s="22"/>
    </row>
    <row r="83" spans="1:20" ht="15.75">
      <c r="A83" s="119">
        <f>A82+1</f>
        <v>61</v>
      </c>
      <c r="B83" s="135" t="s">
        <v>516</v>
      </c>
      <c r="C83" s="126" t="s">
        <v>566</v>
      </c>
      <c r="D83" s="126"/>
      <c r="E83" s="126"/>
      <c r="F83" s="307">
        <v>51321</v>
      </c>
      <c r="G83" s="119"/>
      <c r="H83" s="125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</row>
    <row r="84" spans="1:20" ht="15">
      <c r="A84" s="119">
        <f t="shared" ref="A84:A94" si="17">A83+1</f>
        <v>62</v>
      </c>
      <c r="B84" s="135" t="s">
        <v>517</v>
      </c>
      <c r="C84" s="126" t="s">
        <v>566</v>
      </c>
      <c r="D84" s="126"/>
      <c r="E84" s="126"/>
      <c r="F84" s="307">
        <v>51533</v>
      </c>
      <c r="G84" s="119"/>
      <c r="H84" s="125"/>
      <c r="I84" s="119"/>
      <c r="O84" s="22"/>
    </row>
    <row r="85" spans="1:20" ht="15">
      <c r="A85" s="119">
        <f t="shared" si="17"/>
        <v>63</v>
      </c>
      <c r="B85" s="135" t="s">
        <v>518</v>
      </c>
      <c r="C85" s="126" t="s">
        <v>566</v>
      </c>
      <c r="D85" s="126"/>
      <c r="E85" s="126"/>
      <c r="F85" s="307">
        <v>40741</v>
      </c>
      <c r="G85" s="119"/>
      <c r="H85" s="125"/>
      <c r="I85" s="119"/>
      <c r="O85" s="22"/>
    </row>
    <row r="86" spans="1:20" ht="15">
      <c r="A86" s="119">
        <f t="shared" si="17"/>
        <v>64</v>
      </c>
      <c r="B86" s="135" t="s">
        <v>519</v>
      </c>
      <c r="C86" s="126" t="s">
        <v>566</v>
      </c>
      <c r="D86" s="126"/>
      <c r="E86" s="126"/>
      <c r="F86" s="307">
        <v>63549</v>
      </c>
      <c r="G86" s="119"/>
      <c r="H86" s="125"/>
      <c r="I86" s="119"/>
      <c r="O86" s="22"/>
    </row>
    <row r="87" spans="1:20" ht="15">
      <c r="A87" s="119">
        <f t="shared" si="17"/>
        <v>65</v>
      </c>
      <c r="B87" s="135" t="s">
        <v>38</v>
      </c>
      <c r="C87" s="126" t="s">
        <v>566</v>
      </c>
      <c r="D87" s="126"/>
      <c r="E87" s="126"/>
      <c r="F87" s="307">
        <v>74791</v>
      </c>
      <c r="G87" s="119"/>
      <c r="H87" s="125"/>
      <c r="I87" s="119"/>
      <c r="O87" s="22"/>
    </row>
    <row r="88" spans="1:20" ht="15">
      <c r="A88" s="119">
        <f t="shared" si="17"/>
        <v>66</v>
      </c>
      <c r="B88" s="135" t="s">
        <v>520</v>
      </c>
      <c r="C88" s="126" t="s">
        <v>566</v>
      </c>
      <c r="D88" s="126"/>
      <c r="E88" s="126"/>
      <c r="F88" s="307">
        <v>234819</v>
      </c>
      <c r="G88" s="119"/>
      <c r="H88" s="125"/>
      <c r="I88" s="119"/>
      <c r="O88" s="22"/>
    </row>
    <row r="89" spans="1:20" ht="15">
      <c r="A89" s="119">
        <f t="shared" si="17"/>
        <v>67</v>
      </c>
      <c r="B89" s="135" t="s">
        <v>521</v>
      </c>
      <c r="C89" s="126" t="s">
        <v>566</v>
      </c>
      <c r="D89" s="126"/>
      <c r="E89" s="126"/>
      <c r="F89" s="307">
        <v>284642</v>
      </c>
      <c r="G89" s="119"/>
      <c r="H89" s="125"/>
      <c r="I89" s="119"/>
      <c r="O89" s="22"/>
    </row>
    <row r="90" spans="1:20" ht="15">
      <c r="A90" s="119">
        <f t="shared" si="17"/>
        <v>68</v>
      </c>
      <c r="B90" s="135" t="s">
        <v>522</v>
      </c>
      <c r="C90" s="126" t="s">
        <v>566</v>
      </c>
      <c r="D90" s="126"/>
      <c r="E90" s="126"/>
      <c r="F90" s="307">
        <v>283650</v>
      </c>
      <c r="G90" s="119"/>
      <c r="H90" s="125"/>
      <c r="I90" s="119"/>
      <c r="O90" s="22"/>
    </row>
    <row r="91" spans="1:20" ht="15">
      <c r="A91" s="119">
        <f t="shared" si="17"/>
        <v>69</v>
      </c>
      <c r="B91" s="135" t="s">
        <v>523</v>
      </c>
      <c r="C91" s="126" t="s">
        <v>566</v>
      </c>
      <c r="D91" s="126"/>
      <c r="E91" s="126"/>
      <c r="F91" s="307">
        <v>90809</v>
      </c>
      <c r="G91" s="119"/>
      <c r="H91" s="125"/>
      <c r="I91" s="119"/>
      <c r="O91" s="22"/>
    </row>
    <row r="92" spans="1:20" ht="15">
      <c r="A92" s="119">
        <f t="shared" si="17"/>
        <v>70</v>
      </c>
      <c r="B92" s="135" t="s">
        <v>524</v>
      </c>
      <c r="C92" s="126" t="s">
        <v>566</v>
      </c>
      <c r="D92" s="126"/>
      <c r="E92" s="126"/>
      <c r="F92" s="307">
        <v>52534</v>
      </c>
      <c r="G92" s="119"/>
      <c r="H92" s="125"/>
      <c r="I92" s="119"/>
      <c r="O92" s="22"/>
    </row>
    <row r="93" spans="1:20" ht="15">
      <c r="A93" s="119">
        <f t="shared" si="17"/>
        <v>71</v>
      </c>
      <c r="B93" s="135" t="s">
        <v>525</v>
      </c>
      <c r="C93" s="126" t="s">
        <v>566</v>
      </c>
      <c r="D93" s="126"/>
      <c r="E93" s="126"/>
      <c r="F93" s="307">
        <v>44923</v>
      </c>
      <c r="G93" s="119"/>
      <c r="H93" s="125"/>
      <c r="I93" s="119"/>
      <c r="O93" s="22"/>
    </row>
    <row r="94" spans="1:20" ht="15">
      <c r="A94" s="119">
        <f t="shared" si="17"/>
        <v>72</v>
      </c>
      <c r="B94" s="135" t="s">
        <v>526</v>
      </c>
      <c r="C94" s="126" t="s">
        <v>566</v>
      </c>
      <c r="D94" s="126"/>
      <c r="E94" s="126"/>
      <c r="F94" s="307">
        <v>59755</v>
      </c>
      <c r="G94" s="119"/>
      <c r="H94" s="125"/>
      <c r="I94" s="119"/>
      <c r="O94" s="22"/>
    </row>
    <row r="95" spans="1:20" ht="15">
      <c r="A95" s="119"/>
      <c r="B95" s="135"/>
      <c r="C95" s="126"/>
      <c r="D95" s="126"/>
      <c r="E95" s="126"/>
      <c r="F95" s="125"/>
      <c r="G95" s="119"/>
      <c r="H95" s="125"/>
      <c r="I95" s="119"/>
      <c r="O95" s="22"/>
    </row>
    <row r="96" spans="1:20" ht="15">
      <c r="A96" s="119">
        <f>A94+1</f>
        <v>73</v>
      </c>
      <c r="B96" s="135" t="s">
        <v>532</v>
      </c>
      <c r="C96" s="126" t="s">
        <v>566</v>
      </c>
      <c r="D96" s="126"/>
      <c r="E96" s="126"/>
      <c r="F96" s="307">
        <v>33</v>
      </c>
      <c r="G96" s="119"/>
      <c r="H96" s="125"/>
      <c r="I96" s="119"/>
      <c r="O96" s="22"/>
    </row>
    <row r="97" spans="1:15" ht="15">
      <c r="A97" s="126"/>
      <c r="B97" s="132"/>
      <c r="C97" s="126"/>
      <c r="D97" s="126"/>
      <c r="E97" s="126"/>
      <c r="F97" s="126"/>
      <c r="G97" s="119"/>
      <c r="H97" s="125"/>
      <c r="I97" s="119"/>
      <c r="O97" s="22"/>
    </row>
    <row r="98" spans="1:15" ht="15.75">
      <c r="A98" s="119">
        <f>A96+1</f>
        <v>74</v>
      </c>
      <c r="B98" s="134" t="s">
        <v>249</v>
      </c>
      <c r="C98" s="126"/>
      <c r="D98" s="138" t="s">
        <v>127</v>
      </c>
      <c r="E98" s="138" t="s">
        <v>126</v>
      </c>
      <c r="F98" s="138" t="s">
        <v>54</v>
      </c>
      <c r="G98" s="119"/>
      <c r="H98" s="125"/>
      <c r="I98" s="119"/>
      <c r="O98" s="22"/>
    </row>
    <row r="99" spans="1:15" ht="15">
      <c r="A99" s="119">
        <f>A98+1</f>
        <v>75</v>
      </c>
      <c r="B99" s="135" t="s">
        <v>500</v>
      </c>
      <c r="C99" s="126" t="str">
        <f t="shared" ref="C99:C108" si="18">$C$29</f>
        <v>Tri-State_Populated_VXX WkPapers.xlsx, Tab Index and Summary</v>
      </c>
      <c r="D99" s="311">
        <v>74567532.409999996</v>
      </c>
      <c r="E99" s="311">
        <v>74567532.409999996</v>
      </c>
      <c r="F99" s="139">
        <f t="shared" ref="F99:F108" si="19">(D99+E99)/2</f>
        <v>74567532.409999996</v>
      </c>
      <c r="G99" s="119"/>
      <c r="H99" s="125"/>
      <c r="I99" s="119"/>
      <c r="O99" s="22"/>
    </row>
    <row r="100" spans="1:15" ht="15">
      <c r="A100" s="119">
        <f t="shared" ref="A100:A103" si="20">A99+1</f>
        <v>76</v>
      </c>
      <c r="B100" s="135" t="s">
        <v>501</v>
      </c>
      <c r="C100" s="126" t="str">
        <f t="shared" si="18"/>
        <v>Tri-State_Populated_VXX WkPapers.xlsx, Tab Index and Summary</v>
      </c>
      <c r="D100" s="311">
        <v>2656619.4200000004</v>
      </c>
      <c r="E100" s="311">
        <v>2656619.4200000004</v>
      </c>
      <c r="F100" s="139">
        <f t="shared" si="19"/>
        <v>2656619.4200000004</v>
      </c>
      <c r="G100" s="119"/>
      <c r="H100" s="125"/>
      <c r="I100" s="119"/>
      <c r="O100" s="22"/>
    </row>
    <row r="101" spans="1:15" ht="15">
      <c r="A101" s="119">
        <f t="shared" si="20"/>
        <v>77</v>
      </c>
      <c r="B101" s="135" t="s">
        <v>502</v>
      </c>
      <c r="C101" s="126" t="str">
        <f t="shared" si="18"/>
        <v>Tri-State_Populated_VXX WkPapers.xlsx, Tab Index and Summary</v>
      </c>
      <c r="D101" s="307">
        <v>0</v>
      </c>
      <c r="E101" s="307">
        <v>0</v>
      </c>
      <c r="F101" s="139">
        <f t="shared" si="19"/>
        <v>0</v>
      </c>
      <c r="G101" s="119"/>
      <c r="H101" s="125"/>
      <c r="I101" s="119"/>
      <c r="O101" s="22"/>
    </row>
    <row r="102" spans="1:15" ht="15">
      <c r="A102" s="119">
        <f t="shared" si="20"/>
        <v>78</v>
      </c>
      <c r="B102" s="135" t="s">
        <v>503</v>
      </c>
      <c r="C102" s="126" t="str">
        <f t="shared" si="18"/>
        <v>Tri-State_Populated_VXX WkPapers.xlsx, Tab Index and Summary</v>
      </c>
      <c r="D102" s="307">
        <v>0</v>
      </c>
      <c r="E102" s="307">
        <v>0</v>
      </c>
      <c r="F102" s="139">
        <f t="shared" si="19"/>
        <v>0</v>
      </c>
      <c r="G102" s="119"/>
      <c r="H102" s="125"/>
      <c r="I102" s="119"/>
      <c r="O102" s="22"/>
    </row>
    <row r="103" spans="1:15" ht="15">
      <c r="A103" s="119">
        <f t="shared" si="20"/>
        <v>79</v>
      </c>
      <c r="B103" s="135" t="s">
        <v>504</v>
      </c>
      <c r="C103" s="126" t="str">
        <f t="shared" si="18"/>
        <v>Tri-State_Populated_VXX WkPapers.xlsx, Tab Index and Summary</v>
      </c>
      <c r="D103" s="307">
        <v>0</v>
      </c>
      <c r="E103" s="307">
        <v>0</v>
      </c>
      <c r="F103" s="139">
        <f t="shared" si="19"/>
        <v>0</v>
      </c>
      <c r="G103" s="119"/>
      <c r="H103" s="125"/>
      <c r="I103" s="119"/>
      <c r="O103" s="22"/>
    </row>
    <row r="104" spans="1:15" ht="15">
      <c r="A104" s="119">
        <f>A103+1</f>
        <v>80</v>
      </c>
      <c r="B104" s="135" t="s">
        <v>505</v>
      </c>
      <c r="C104" s="126" t="str">
        <f t="shared" si="18"/>
        <v>Tri-State_Populated_VXX WkPapers.xlsx, Tab Index and Summary</v>
      </c>
      <c r="D104" s="307">
        <v>0</v>
      </c>
      <c r="E104" s="307">
        <v>0</v>
      </c>
      <c r="F104" s="139">
        <f t="shared" si="19"/>
        <v>0</v>
      </c>
      <c r="G104" s="119"/>
      <c r="H104" s="125"/>
      <c r="I104" s="119"/>
      <c r="O104" s="22"/>
    </row>
    <row r="105" spans="1:15" ht="15">
      <c r="A105" s="119">
        <f>A104+1</f>
        <v>81</v>
      </c>
      <c r="B105" s="135" t="s">
        <v>506</v>
      </c>
      <c r="C105" s="126" t="str">
        <f t="shared" si="18"/>
        <v>Tri-State_Populated_VXX WkPapers.xlsx, Tab Index and Summary</v>
      </c>
      <c r="D105" s="307">
        <v>0</v>
      </c>
      <c r="E105" s="307">
        <v>0</v>
      </c>
      <c r="F105" s="139">
        <f t="shared" si="19"/>
        <v>0</v>
      </c>
      <c r="G105" s="119"/>
      <c r="H105" s="125"/>
      <c r="I105" s="119"/>
      <c r="O105" s="22"/>
    </row>
    <row r="106" spans="1:15" ht="15">
      <c r="A106" s="119">
        <f t="shared" ref="A106:A108" si="21">A105+1</f>
        <v>82</v>
      </c>
      <c r="B106" s="135" t="s">
        <v>507</v>
      </c>
      <c r="C106" s="126" t="str">
        <f t="shared" si="18"/>
        <v>Tri-State_Populated_VXX WkPapers.xlsx, Tab Index and Summary</v>
      </c>
      <c r="D106" s="307">
        <v>0</v>
      </c>
      <c r="E106" s="307">
        <v>0</v>
      </c>
      <c r="F106" s="139">
        <f t="shared" si="19"/>
        <v>0</v>
      </c>
      <c r="G106" s="119"/>
      <c r="H106" s="125"/>
      <c r="I106" s="119"/>
      <c r="O106" s="22"/>
    </row>
    <row r="107" spans="1:15" ht="15">
      <c r="A107" s="119">
        <f t="shared" si="21"/>
        <v>83</v>
      </c>
      <c r="B107" s="135" t="s">
        <v>508</v>
      </c>
      <c r="C107" s="126" t="str">
        <f t="shared" si="18"/>
        <v>Tri-State_Populated_VXX WkPapers.xlsx, Tab Index and Summary</v>
      </c>
      <c r="D107" s="307">
        <v>0</v>
      </c>
      <c r="E107" s="307">
        <v>0</v>
      </c>
      <c r="F107" s="139">
        <f t="shared" si="19"/>
        <v>0</v>
      </c>
      <c r="G107" s="119"/>
      <c r="H107" s="125"/>
      <c r="I107" s="119"/>
      <c r="O107" s="22"/>
    </row>
    <row r="108" spans="1:15" ht="15">
      <c r="A108" s="119">
        <f t="shared" si="21"/>
        <v>84</v>
      </c>
      <c r="B108" s="135" t="s">
        <v>509</v>
      </c>
      <c r="C108" s="126" t="str">
        <f t="shared" si="18"/>
        <v>Tri-State_Populated_VXX WkPapers.xlsx, Tab Index and Summary</v>
      </c>
      <c r="D108" s="307">
        <v>0</v>
      </c>
      <c r="E108" s="307">
        <v>0</v>
      </c>
      <c r="F108" s="139">
        <f t="shared" si="19"/>
        <v>0</v>
      </c>
      <c r="G108" s="119"/>
      <c r="H108" s="125"/>
      <c r="I108" s="119"/>
      <c r="O108" s="22"/>
    </row>
    <row r="109" spans="1:15" ht="15">
      <c r="A109" s="135"/>
      <c r="B109" s="135"/>
      <c r="C109" s="126"/>
      <c r="D109" s="126"/>
      <c r="E109" s="126"/>
      <c r="F109" s="126"/>
      <c r="G109" s="119"/>
      <c r="H109" s="125"/>
      <c r="I109" s="119"/>
      <c r="O109" s="22"/>
    </row>
    <row r="110" spans="1:15" ht="15">
      <c r="A110" s="126"/>
      <c r="B110" s="132"/>
      <c r="C110" s="126"/>
      <c r="D110" s="126"/>
      <c r="E110" s="126"/>
      <c r="F110" s="126"/>
      <c r="G110" s="119"/>
      <c r="H110" s="125"/>
      <c r="I110" s="119"/>
      <c r="O110" s="22"/>
    </row>
    <row r="111" spans="1:15" ht="15">
      <c r="A111" s="126"/>
      <c r="B111" s="132"/>
      <c r="C111" s="126"/>
      <c r="D111" s="126"/>
      <c r="E111" s="126"/>
      <c r="F111" s="126"/>
      <c r="G111" s="119"/>
      <c r="H111" s="125"/>
      <c r="I111" s="119"/>
      <c r="O111" s="22"/>
    </row>
    <row r="112" spans="1:15" ht="15">
      <c r="A112" s="126"/>
      <c r="B112" s="132"/>
      <c r="C112" s="126"/>
      <c r="D112" s="126"/>
      <c r="E112" s="126"/>
      <c r="F112" s="126"/>
      <c r="G112" s="119"/>
      <c r="H112" s="125"/>
      <c r="I112" s="119"/>
      <c r="O112" s="22"/>
    </row>
    <row r="113" spans="1:15" ht="15">
      <c r="A113" s="126"/>
      <c r="B113" s="132"/>
      <c r="C113" s="126"/>
      <c r="D113" s="126"/>
      <c r="E113" s="126"/>
      <c r="F113" s="126"/>
      <c r="G113" s="119"/>
      <c r="H113" s="125"/>
      <c r="I113" s="119"/>
      <c r="O113" s="22"/>
    </row>
    <row r="114" spans="1:15" ht="15">
      <c r="A114" s="126"/>
      <c r="B114" s="132"/>
      <c r="C114" s="126"/>
      <c r="D114" s="126"/>
      <c r="E114" s="126"/>
      <c r="F114" s="126"/>
      <c r="G114" s="119"/>
      <c r="H114" s="125"/>
      <c r="I114" s="119"/>
      <c r="O114" s="22"/>
    </row>
    <row r="115" spans="1:15" ht="15">
      <c r="A115" s="126"/>
      <c r="B115" s="132"/>
      <c r="C115" s="126"/>
      <c r="D115" s="126"/>
      <c r="E115" s="126"/>
      <c r="F115" s="126"/>
      <c r="G115" s="119"/>
      <c r="H115" s="125"/>
      <c r="I115" s="119"/>
      <c r="O115" s="22"/>
    </row>
    <row r="116" spans="1:15" ht="15.75">
      <c r="A116" s="126">
        <f>A108+1</f>
        <v>85</v>
      </c>
      <c r="B116" s="140" t="s">
        <v>469</v>
      </c>
      <c r="C116" s="126"/>
      <c r="D116" s="126"/>
      <c r="E116" s="126"/>
      <c r="F116" s="119"/>
      <c r="G116" s="119"/>
      <c r="H116" s="125"/>
      <c r="I116" s="119"/>
      <c r="O116" s="22"/>
    </row>
    <row r="117" spans="1:15" ht="15">
      <c r="A117" s="119">
        <f t="shared" ref="A117:A118" si="22">A116+1</f>
        <v>86</v>
      </c>
      <c r="B117" s="129" t="s">
        <v>184</v>
      </c>
      <c r="C117" s="122" t="s">
        <v>383</v>
      </c>
      <c r="D117" s="126"/>
      <c r="E117" s="126"/>
      <c r="F117" s="318">
        <v>1266989410</v>
      </c>
      <c r="G117" s="119"/>
      <c r="H117" s="125"/>
      <c r="I117" s="119"/>
      <c r="O117" s="22"/>
    </row>
    <row r="118" spans="1:15" ht="15">
      <c r="A118" s="119">
        <f t="shared" si="22"/>
        <v>87</v>
      </c>
      <c r="B118" s="129" t="s">
        <v>234</v>
      </c>
      <c r="C118" s="122" t="s">
        <v>384</v>
      </c>
      <c r="D118" s="126"/>
      <c r="E118" s="126"/>
      <c r="F118" s="318">
        <v>0</v>
      </c>
      <c r="G118" s="119"/>
      <c r="H118" s="125"/>
      <c r="I118" s="119"/>
      <c r="O118" s="22"/>
    </row>
    <row r="119" spans="1:15" ht="15">
      <c r="A119" s="126">
        <f>A118+1</f>
        <v>88</v>
      </c>
      <c r="B119" s="129" t="s">
        <v>185</v>
      </c>
      <c r="C119" s="122" t="s">
        <v>385</v>
      </c>
      <c r="D119" s="126"/>
      <c r="E119" s="126"/>
      <c r="F119" s="318">
        <v>32256373</v>
      </c>
      <c r="G119" s="119"/>
      <c r="H119" s="125"/>
      <c r="I119" s="119"/>
      <c r="O119" s="22"/>
    </row>
    <row r="120" spans="1:15" ht="15">
      <c r="A120" s="126">
        <f>A119+1</f>
        <v>89</v>
      </c>
      <c r="B120" s="129" t="s">
        <v>201</v>
      </c>
      <c r="C120" s="122" t="s">
        <v>16</v>
      </c>
      <c r="D120" s="126"/>
      <c r="E120" s="126"/>
      <c r="F120" s="141">
        <f>SUM(F117:F119)</f>
        <v>1299245783</v>
      </c>
      <c r="G120" s="119"/>
      <c r="H120" s="125"/>
      <c r="I120" s="119"/>
      <c r="O120" s="22"/>
    </row>
    <row r="121" spans="1:15" ht="15">
      <c r="A121" s="126"/>
      <c r="B121" s="129"/>
      <c r="C121" s="122"/>
      <c r="D121" s="126"/>
      <c r="E121" s="126"/>
      <c r="F121" s="125"/>
      <c r="G121" s="119"/>
      <c r="H121" s="125"/>
      <c r="I121" s="119"/>
      <c r="O121" s="22"/>
    </row>
    <row r="122" spans="1:15" ht="15.75">
      <c r="A122" s="126">
        <f>A120+1</f>
        <v>90</v>
      </c>
      <c r="B122" s="142" t="s">
        <v>202</v>
      </c>
      <c r="C122" s="122"/>
      <c r="D122" s="126"/>
      <c r="E122" s="126"/>
      <c r="F122" s="125"/>
      <c r="G122" s="119"/>
      <c r="H122" s="125"/>
      <c r="I122" s="119"/>
      <c r="O122" s="22"/>
    </row>
    <row r="123" spans="1:15" ht="15">
      <c r="A123" s="126">
        <f>A122+1</f>
        <v>91</v>
      </c>
      <c r="B123" s="129" t="s">
        <v>169</v>
      </c>
      <c r="C123" s="122" t="s">
        <v>386</v>
      </c>
      <c r="D123" s="126"/>
      <c r="E123" s="126"/>
      <c r="F123" s="318">
        <v>174072882</v>
      </c>
      <c r="G123" s="119"/>
      <c r="H123" s="125"/>
      <c r="I123" s="119"/>
      <c r="O123" s="22"/>
    </row>
    <row r="124" spans="1:15" ht="15">
      <c r="A124" s="126">
        <f t="shared" si="0"/>
        <v>92</v>
      </c>
      <c r="B124" s="129" t="s">
        <v>170</v>
      </c>
      <c r="C124" s="122" t="s">
        <v>387</v>
      </c>
      <c r="D124" s="126"/>
      <c r="E124" s="126"/>
      <c r="F124" s="318">
        <v>262706673</v>
      </c>
      <c r="G124" s="119"/>
      <c r="H124" s="125"/>
      <c r="I124" s="119"/>
      <c r="O124" s="22"/>
    </row>
    <row r="125" spans="1:15" ht="15">
      <c r="A125" s="126">
        <f t="shared" si="0"/>
        <v>93</v>
      </c>
      <c r="B125" s="129" t="s">
        <v>171</v>
      </c>
      <c r="C125" s="122" t="s">
        <v>388</v>
      </c>
      <c r="D125" s="126"/>
      <c r="E125" s="126"/>
      <c r="F125" s="318">
        <v>341288742</v>
      </c>
      <c r="G125" s="119"/>
      <c r="H125" s="125"/>
      <c r="I125" s="119"/>
      <c r="O125" s="22"/>
    </row>
    <row r="126" spans="1:15" ht="15">
      <c r="A126" s="126">
        <f t="shared" si="0"/>
        <v>94</v>
      </c>
      <c r="B126" s="129" t="s">
        <v>172</v>
      </c>
      <c r="C126" s="122" t="s">
        <v>389</v>
      </c>
      <c r="D126" s="126"/>
      <c r="E126" s="126"/>
      <c r="F126" s="318">
        <v>124965723</v>
      </c>
      <c r="G126" s="119"/>
      <c r="H126" s="125"/>
      <c r="I126" s="119"/>
      <c r="O126" s="22"/>
    </row>
    <row r="127" spans="1:15" ht="15">
      <c r="A127" s="126">
        <f t="shared" si="0"/>
        <v>95</v>
      </c>
      <c r="B127" s="129" t="s">
        <v>173</v>
      </c>
      <c r="C127" s="122" t="s">
        <v>390</v>
      </c>
      <c r="D127" s="126"/>
      <c r="E127" s="126"/>
      <c r="F127" s="318">
        <v>0</v>
      </c>
      <c r="G127" s="119"/>
      <c r="H127" s="125"/>
      <c r="I127" s="119"/>
      <c r="O127" s="22"/>
    </row>
    <row r="128" spans="1:15" ht="15">
      <c r="A128" s="126">
        <f t="shared" si="0"/>
        <v>96</v>
      </c>
      <c r="B128" s="121" t="s">
        <v>174</v>
      </c>
      <c r="C128" s="122" t="s">
        <v>391</v>
      </c>
      <c r="D128" s="122"/>
      <c r="E128" s="122"/>
      <c r="F128" s="318">
        <v>990916</v>
      </c>
      <c r="G128" s="124"/>
      <c r="H128" s="125"/>
      <c r="I128" s="119"/>
    </row>
    <row r="129" spans="1:15" ht="15">
      <c r="A129" s="126">
        <f t="shared" si="0"/>
        <v>97</v>
      </c>
      <c r="B129" s="121" t="s">
        <v>175</v>
      </c>
      <c r="C129" s="122" t="s">
        <v>392</v>
      </c>
      <c r="D129" s="122"/>
      <c r="E129" s="122"/>
      <c r="F129" s="318">
        <v>772995</v>
      </c>
      <c r="G129" s="124"/>
      <c r="H129" s="125"/>
      <c r="I129" s="119"/>
    </row>
    <row r="130" spans="1:15" ht="15">
      <c r="A130" s="126">
        <f t="shared" si="0"/>
        <v>98</v>
      </c>
      <c r="B130" s="121" t="s">
        <v>176</v>
      </c>
      <c r="C130" s="122" t="s">
        <v>393</v>
      </c>
      <c r="D130" s="122"/>
      <c r="E130" s="122"/>
      <c r="F130" s="318">
        <v>2387255</v>
      </c>
      <c r="G130" s="124"/>
      <c r="H130" s="125"/>
      <c r="I130" s="119"/>
    </row>
    <row r="131" spans="1:15" ht="15">
      <c r="A131" s="126">
        <f t="shared" si="0"/>
        <v>99</v>
      </c>
      <c r="B131" s="121" t="s">
        <v>177</v>
      </c>
      <c r="C131" s="122" t="s">
        <v>394</v>
      </c>
      <c r="D131" s="122"/>
      <c r="E131" s="122"/>
      <c r="F131" s="318">
        <v>0</v>
      </c>
      <c r="G131" s="124"/>
      <c r="H131" s="125"/>
      <c r="I131" s="119"/>
    </row>
    <row r="132" spans="1:15" ht="15">
      <c r="A132" s="126">
        <f t="shared" si="0"/>
        <v>100</v>
      </c>
      <c r="B132" s="121" t="s">
        <v>178</v>
      </c>
      <c r="C132" s="122" t="s">
        <v>395</v>
      </c>
      <c r="D132" s="122"/>
      <c r="E132" s="122"/>
      <c r="F132" s="318">
        <v>12413884</v>
      </c>
      <c r="G132" s="124"/>
      <c r="H132" s="125"/>
      <c r="I132" s="119"/>
    </row>
    <row r="133" spans="1:15" ht="15">
      <c r="A133" s="126">
        <f t="shared" si="0"/>
        <v>101</v>
      </c>
      <c r="B133" s="121" t="s">
        <v>302</v>
      </c>
      <c r="C133" s="122" t="s">
        <v>16</v>
      </c>
      <c r="D133" s="122"/>
      <c r="E133" s="122"/>
      <c r="F133" s="141">
        <f>SUM(F123:F132)</f>
        <v>919599070</v>
      </c>
      <c r="G133" s="124"/>
      <c r="H133" s="125"/>
      <c r="I133" s="119"/>
    </row>
    <row r="134" spans="1:15" ht="15">
      <c r="A134" s="126"/>
      <c r="B134" s="121"/>
      <c r="C134" s="122"/>
      <c r="D134" s="122"/>
      <c r="E134" s="122"/>
      <c r="F134" s="125"/>
      <c r="G134" s="124"/>
      <c r="H134" s="125"/>
      <c r="I134" s="119"/>
    </row>
    <row r="135" spans="1:15" ht="15.75">
      <c r="A135" s="126">
        <f>A133+1</f>
        <v>102</v>
      </c>
      <c r="B135" s="142" t="s">
        <v>203</v>
      </c>
      <c r="C135" s="122"/>
      <c r="D135" s="122"/>
      <c r="E135" s="122"/>
      <c r="F135" s="125"/>
      <c r="G135" s="124"/>
      <c r="H135" s="125"/>
      <c r="I135" s="119"/>
    </row>
    <row r="136" spans="1:15" ht="15">
      <c r="A136" s="126">
        <f>A135+1</f>
        <v>103</v>
      </c>
      <c r="B136" s="121" t="s">
        <v>179</v>
      </c>
      <c r="C136" s="122" t="s">
        <v>396</v>
      </c>
      <c r="D136" s="122"/>
      <c r="E136" s="122"/>
      <c r="F136" s="318">
        <v>96754185</v>
      </c>
      <c r="G136" s="124"/>
      <c r="H136" s="125"/>
      <c r="I136" s="119"/>
    </row>
    <row r="137" spans="1:15" ht="15">
      <c r="A137" s="126">
        <f t="shared" si="0"/>
        <v>104</v>
      </c>
      <c r="B137" s="121" t="s">
        <v>180</v>
      </c>
      <c r="C137" s="122" t="s">
        <v>397</v>
      </c>
      <c r="D137" s="126"/>
      <c r="E137" s="122"/>
      <c r="F137" s="318">
        <v>30741419</v>
      </c>
      <c r="G137" s="124"/>
      <c r="H137" s="125"/>
      <c r="I137" s="119"/>
    </row>
    <row r="138" spans="1:15" ht="15">
      <c r="A138" s="126">
        <f t="shared" si="0"/>
        <v>105</v>
      </c>
      <c r="B138" s="121" t="s">
        <v>181</v>
      </c>
      <c r="C138" s="122" t="s">
        <v>398</v>
      </c>
      <c r="D138" s="122"/>
      <c r="E138" s="122"/>
      <c r="F138" s="318">
        <v>0</v>
      </c>
      <c r="G138" s="124"/>
      <c r="H138" s="125"/>
      <c r="I138" s="119"/>
    </row>
    <row r="139" spans="1:15" ht="15">
      <c r="A139" s="126">
        <f t="shared" si="0"/>
        <v>106</v>
      </c>
      <c r="B139" s="121" t="s">
        <v>182</v>
      </c>
      <c r="C139" s="122" t="s">
        <v>399</v>
      </c>
      <c r="D139" s="122"/>
      <c r="E139" s="122"/>
      <c r="F139" s="318">
        <v>14921</v>
      </c>
      <c r="G139" s="124"/>
      <c r="H139" s="125"/>
      <c r="I139" s="119"/>
    </row>
    <row r="140" spans="1:15" ht="15">
      <c r="A140" s="126">
        <f t="shared" si="0"/>
        <v>107</v>
      </c>
      <c r="B140" s="121" t="s">
        <v>183</v>
      </c>
      <c r="C140" s="122" t="s">
        <v>400</v>
      </c>
      <c r="D140" s="122"/>
      <c r="E140" s="122"/>
      <c r="F140" s="318">
        <v>10745455</v>
      </c>
      <c r="G140" s="124"/>
      <c r="H140" s="125"/>
      <c r="I140" s="119"/>
    </row>
    <row r="141" spans="1:15" ht="15">
      <c r="A141" s="126">
        <f t="shared" si="0"/>
        <v>108</v>
      </c>
      <c r="B141" s="121" t="s">
        <v>303</v>
      </c>
      <c r="C141" s="122" t="s">
        <v>16</v>
      </c>
      <c r="D141" s="122"/>
      <c r="E141" s="122"/>
      <c r="F141" s="141">
        <f>SUM(F136:F140)</f>
        <v>138255980</v>
      </c>
      <c r="G141" s="124"/>
      <c r="H141" s="125"/>
      <c r="I141" s="119"/>
    </row>
    <row r="142" spans="1:15" ht="15">
      <c r="A142" s="126"/>
      <c r="B142" s="121"/>
      <c r="C142" s="122"/>
      <c r="D142" s="122"/>
      <c r="E142" s="122"/>
      <c r="F142" s="125"/>
      <c r="G142" s="124"/>
      <c r="H142" s="125"/>
      <c r="I142" s="119"/>
    </row>
    <row r="143" spans="1:15" ht="15.75">
      <c r="A143" s="126">
        <f>A141+1</f>
        <v>109</v>
      </c>
      <c r="B143" s="142" t="s">
        <v>204</v>
      </c>
      <c r="C143" s="122"/>
      <c r="D143" s="122"/>
      <c r="E143" s="122"/>
      <c r="F143" s="125"/>
      <c r="G143" s="124"/>
      <c r="H143" s="125"/>
      <c r="I143" s="119"/>
    </row>
    <row r="144" spans="1:15" ht="15">
      <c r="A144" s="126">
        <f>A143+1</f>
        <v>110</v>
      </c>
      <c r="B144" s="143" t="s">
        <v>205</v>
      </c>
      <c r="C144" s="122" t="s">
        <v>401</v>
      </c>
      <c r="D144" s="122"/>
      <c r="E144" s="122"/>
      <c r="F144" s="319">
        <v>127159050</v>
      </c>
      <c r="G144" s="124"/>
      <c r="H144" s="125"/>
      <c r="I144" s="144"/>
      <c r="J144" s="31"/>
      <c r="O144" s="22"/>
    </row>
    <row r="145" spans="1:15" ht="15">
      <c r="A145" s="126">
        <f t="shared" ref="A145:A152" si="23">A144+1</f>
        <v>111</v>
      </c>
      <c r="B145" s="143" t="s">
        <v>206</v>
      </c>
      <c r="C145" s="145" t="s">
        <v>402</v>
      </c>
      <c r="D145" s="145"/>
      <c r="E145" s="145"/>
      <c r="F145" s="319">
        <v>-1371998</v>
      </c>
      <c r="G145" s="124"/>
      <c r="H145" s="125"/>
      <c r="I145" s="119"/>
    </row>
    <row r="146" spans="1:15" ht="15.75">
      <c r="A146" s="126">
        <f t="shared" si="23"/>
        <v>112</v>
      </c>
      <c r="B146" s="143" t="s">
        <v>32</v>
      </c>
      <c r="C146" s="145" t="s">
        <v>403</v>
      </c>
      <c r="D146" s="145"/>
      <c r="E146" s="145"/>
      <c r="F146" s="319">
        <v>124788433</v>
      </c>
      <c r="G146" s="146"/>
      <c r="H146" s="125"/>
      <c r="I146" s="119"/>
    </row>
    <row r="147" spans="1:15" ht="15.75">
      <c r="A147" s="126">
        <f t="shared" si="23"/>
        <v>113</v>
      </c>
      <c r="B147" s="143" t="s">
        <v>207</v>
      </c>
      <c r="C147" s="145" t="s">
        <v>404</v>
      </c>
      <c r="D147" s="145"/>
      <c r="E147" s="145"/>
      <c r="F147" s="319">
        <v>-13559844</v>
      </c>
      <c r="G147" s="146"/>
      <c r="H147" s="125"/>
      <c r="I147" s="119"/>
    </row>
    <row r="148" spans="1:15" ht="15.75">
      <c r="A148" s="126">
        <f t="shared" si="23"/>
        <v>114</v>
      </c>
      <c r="B148" s="143" t="s">
        <v>133</v>
      </c>
      <c r="C148" s="145" t="s">
        <v>405</v>
      </c>
      <c r="D148" s="145"/>
      <c r="E148" s="145"/>
      <c r="F148" s="319">
        <v>1310682</v>
      </c>
      <c r="G148" s="146"/>
      <c r="H148" s="125"/>
      <c r="I148" s="119"/>
    </row>
    <row r="149" spans="1:15" ht="15">
      <c r="A149" s="126">
        <f t="shared" si="23"/>
        <v>115</v>
      </c>
      <c r="B149" s="143" t="s">
        <v>208</v>
      </c>
      <c r="C149" s="145" t="s">
        <v>406</v>
      </c>
      <c r="D149" s="145"/>
      <c r="E149" s="145"/>
      <c r="F149" s="319">
        <v>1527780</v>
      </c>
      <c r="G149" s="124"/>
      <c r="H149" s="125"/>
      <c r="I149" s="119"/>
    </row>
    <row r="150" spans="1:15" ht="15">
      <c r="A150" s="126">
        <f t="shared" si="23"/>
        <v>116</v>
      </c>
      <c r="B150" s="143" t="s">
        <v>187</v>
      </c>
      <c r="C150" s="145" t="s">
        <v>407</v>
      </c>
      <c r="D150" s="145"/>
      <c r="E150" s="145"/>
      <c r="F150" s="319">
        <v>9551695</v>
      </c>
      <c r="G150" s="124"/>
      <c r="H150" s="125"/>
      <c r="I150" s="125"/>
    </row>
    <row r="151" spans="1:15" ht="15">
      <c r="A151" s="126">
        <f t="shared" si="23"/>
        <v>117</v>
      </c>
      <c r="B151" s="132" t="s">
        <v>209</v>
      </c>
      <c r="C151" s="145" t="s">
        <v>16</v>
      </c>
      <c r="D151" s="147"/>
      <c r="E151" s="147"/>
      <c r="F151" s="148">
        <f>SUM(F133,F141,F144:F150)</f>
        <v>1307260848</v>
      </c>
      <c r="G151" s="119"/>
      <c r="H151" s="125"/>
      <c r="I151" s="119"/>
      <c r="O151" s="22"/>
    </row>
    <row r="152" spans="1:15" ht="15">
      <c r="A152" s="126">
        <f t="shared" si="23"/>
        <v>118</v>
      </c>
      <c r="B152" s="132" t="s">
        <v>210</v>
      </c>
      <c r="C152" s="145" t="s">
        <v>304</v>
      </c>
      <c r="D152" s="147"/>
      <c r="E152" s="147"/>
      <c r="F152" s="148">
        <f>F120-F151</f>
        <v>-8015065</v>
      </c>
      <c r="G152" s="119"/>
      <c r="H152" s="125"/>
      <c r="I152" s="119"/>
      <c r="O152" s="22"/>
    </row>
    <row r="153" spans="1:15" ht="15">
      <c r="A153" s="126"/>
      <c r="B153" s="132"/>
      <c r="C153" s="145"/>
      <c r="D153" s="147"/>
      <c r="E153" s="147"/>
      <c r="F153" s="125"/>
      <c r="G153" s="119"/>
      <c r="H153" s="125"/>
      <c r="I153" s="119"/>
      <c r="O153" s="22"/>
    </row>
    <row r="154" spans="1:15" ht="15">
      <c r="A154" s="126"/>
      <c r="B154" s="132"/>
      <c r="C154" s="145"/>
      <c r="D154" s="147"/>
      <c r="E154" s="147"/>
      <c r="F154" s="125"/>
      <c r="G154" s="119"/>
      <c r="H154" s="125"/>
      <c r="I154" s="119"/>
      <c r="O154" s="22"/>
    </row>
    <row r="155" spans="1:15" ht="15">
      <c r="A155" s="126">
        <f>+A152+1</f>
        <v>119</v>
      </c>
      <c r="B155" s="143" t="s">
        <v>186</v>
      </c>
      <c r="C155" s="145" t="s">
        <v>408</v>
      </c>
      <c r="D155" s="145"/>
      <c r="E155" s="145"/>
      <c r="F155" s="319">
        <v>12714516</v>
      </c>
      <c r="G155" s="124"/>
      <c r="H155" s="125"/>
      <c r="I155" s="119"/>
    </row>
    <row r="156" spans="1:15" ht="15">
      <c r="A156" s="126">
        <f t="shared" si="0"/>
        <v>120</v>
      </c>
      <c r="B156" s="143" t="s">
        <v>211</v>
      </c>
      <c r="C156" s="145" t="s">
        <v>409</v>
      </c>
      <c r="D156" s="145"/>
      <c r="E156" s="145"/>
      <c r="F156" s="319">
        <v>0</v>
      </c>
      <c r="G156" s="124"/>
      <c r="H156" s="125"/>
      <c r="I156" s="119"/>
    </row>
    <row r="157" spans="1:15" ht="15">
      <c r="A157" s="126">
        <f t="shared" si="0"/>
        <v>121</v>
      </c>
      <c r="B157" s="143" t="s">
        <v>212</v>
      </c>
      <c r="C157" s="145" t="s">
        <v>410</v>
      </c>
      <c r="D157" s="145"/>
      <c r="E157" s="145"/>
      <c r="F157" s="319">
        <v>1272151</v>
      </c>
      <c r="G157" s="124"/>
      <c r="H157" s="125"/>
      <c r="I157" s="119"/>
    </row>
    <row r="158" spans="1:15" ht="15">
      <c r="A158" s="126">
        <f t="shared" si="0"/>
        <v>122</v>
      </c>
      <c r="B158" s="143" t="s">
        <v>213</v>
      </c>
      <c r="C158" s="145" t="s">
        <v>411</v>
      </c>
      <c r="D158" s="145"/>
      <c r="E158" s="145"/>
      <c r="F158" s="319">
        <v>5439671</v>
      </c>
      <c r="G158" s="124"/>
      <c r="H158" s="125"/>
      <c r="I158" s="119"/>
    </row>
    <row r="159" spans="1:15" ht="15">
      <c r="A159" s="126">
        <f t="shared" si="0"/>
        <v>123</v>
      </c>
      <c r="B159" s="143" t="s">
        <v>214</v>
      </c>
      <c r="C159" s="145" t="s">
        <v>412</v>
      </c>
      <c r="D159" s="145"/>
      <c r="E159" s="145"/>
      <c r="F159" s="319">
        <v>14426029</v>
      </c>
      <c r="G159" s="124"/>
      <c r="H159" s="125"/>
      <c r="I159" s="119"/>
    </row>
    <row r="160" spans="1:15" ht="15">
      <c r="A160" s="126">
        <f t="shared" si="0"/>
        <v>124</v>
      </c>
      <c r="B160" s="143" t="s">
        <v>215</v>
      </c>
      <c r="C160" s="145" t="s">
        <v>413</v>
      </c>
      <c r="D160" s="147"/>
      <c r="E160" s="147"/>
      <c r="F160" s="319">
        <v>5911189</v>
      </c>
      <c r="G160" s="119"/>
      <c r="H160" s="125"/>
      <c r="I160" s="119"/>
      <c r="O160" s="22"/>
    </row>
    <row r="161" spans="1:15" ht="15">
      <c r="A161" s="126">
        <f t="shared" si="0"/>
        <v>125</v>
      </c>
      <c r="B161" s="143" t="s">
        <v>216</v>
      </c>
      <c r="C161" s="145" t="s">
        <v>414</v>
      </c>
      <c r="D161" s="147"/>
      <c r="E161" s="147"/>
      <c r="F161" s="319">
        <v>0</v>
      </c>
      <c r="G161" s="119"/>
      <c r="H161" s="125"/>
      <c r="I161" s="119"/>
      <c r="O161" s="22"/>
    </row>
    <row r="162" spans="1:15" ht="15.75">
      <c r="A162" s="126">
        <f t="shared" si="0"/>
        <v>126</v>
      </c>
      <c r="B162" s="142" t="s">
        <v>305</v>
      </c>
      <c r="C162" s="119" t="s">
        <v>304</v>
      </c>
      <c r="D162" s="119"/>
      <c r="E162" s="119"/>
      <c r="F162" s="149">
        <f>SUM(F152,F155:F161)</f>
        <v>31748491</v>
      </c>
      <c r="G162" s="119"/>
      <c r="H162" s="119"/>
      <c r="I162" s="119"/>
    </row>
    <row r="163" spans="1:15" ht="15">
      <c r="A163" s="126"/>
      <c r="B163" s="132"/>
      <c r="C163" s="145"/>
      <c r="D163" s="147"/>
      <c r="E163" s="147"/>
      <c r="F163" s="119"/>
      <c r="G163" s="119"/>
      <c r="H163" s="125"/>
      <c r="I163" s="119"/>
      <c r="O163" s="22"/>
    </row>
    <row r="164" spans="1:15" ht="15.75">
      <c r="A164" s="126">
        <f>A162+1</f>
        <v>127</v>
      </c>
      <c r="B164" s="150" t="s">
        <v>217</v>
      </c>
      <c r="C164" s="145"/>
      <c r="D164" s="147"/>
      <c r="E164" s="147"/>
      <c r="F164" s="119"/>
      <c r="G164" s="119"/>
      <c r="H164" s="125"/>
      <c r="I164" s="119"/>
      <c r="O164" s="22"/>
    </row>
    <row r="165" spans="1:15" ht="15.75">
      <c r="A165" s="119">
        <f t="shared" ref="A165:A170" si="24">A164+1</f>
        <v>128</v>
      </c>
      <c r="B165" s="142" t="s">
        <v>218</v>
      </c>
      <c r="C165" s="119"/>
      <c r="D165" s="125" t="s">
        <v>127</v>
      </c>
      <c r="E165" s="125" t="s">
        <v>126</v>
      </c>
      <c r="F165" s="151" t="s">
        <v>380</v>
      </c>
      <c r="G165" s="119"/>
      <c r="H165" s="119"/>
      <c r="I165" s="119"/>
    </row>
    <row r="166" spans="1:15" ht="15">
      <c r="A166" s="119">
        <f t="shared" si="24"/>
        <v>129</v>
      </c>
      <c r="B166" s="143" t="s">
        <v>82</v>
      </c>
      <c r="C166" s="152" t="s">
        <v>415</v>
      </c>
      <c r="D166" s="308">
        <v>199319369</v>
      </c>
      <c r="E166" s="312">
        <v>208779897</v>
      </c>
      <c r="F166" s="139">
        <f>(D166+E166)/2</f>
        <v>204049633</v>
      </c>
      <c r="G166" s="119"/>
      <c r="H166" s="119"/>
      <c r="I166" s="119"/>
    </row>
    <row r="167" spans="1:15" ht="15">
      <c r="A167" s="126">
        <f t="shared" si="24"/>
        <v>130</v>
      </c>
      <c r="B167" s="153" t="s">
        <v>219</v>
      </c>
      <c r="C167" s="147" t="s">
        <v>416</v>
      </c>
      <c r="D167" s="309">
        <v>224491</v>
      </c>
      <c r="E167" s="320">
        <v>218150</v>
      </c>
      <c r="F167" s="139">
        <f>E167</f>
        <v>218150</v>
      </c>
      <c r="G167" s="119"/>
      <c r="H167" s="119"/>
      <c r="I167" s="119"/>
    </row>
    <row r="168" spans="1:15" ht="30">
      <c r="A168" s="126">
        <f t="shared" si="24"/>
        <v>131</v>
      </c>
      <c r="B168" s="153" t="s">
        <v>537</v>
      </c>
      <c r="C168" s="154" t="s">
        <v>417</v>
      </c>
      <c r="D168" s="307">
        <v>12158177</v>
      </c>
      <c r="E168" s="320">
        <v>15220316</v>
      </c>
      <c r="F168" s="139">
        <f t="shared" ref="F168:F170" si="25">(D168+E168)/2</f>
        <v>13689246.5</v>
      </c>
      <c r="G168" s="119"/>
      <c r="H168" s="125"/>
      <c r="I168" s="119"/>
      <c r="O168" s="22"/>
    </row>
    <row r="169" spans="1:15" ht="30">
      <c r="A169" s="126">
        <f t="shared" si="24"/>
        <v>132</v>
      </c>
      <c r="B169" s="153" t="s">
        <v>220</v>
      </c>
      <c r="C169" s="155" t="s">
        <v>418</v>
      </c>
      <c r="D169" s="307">
        <v>11809851</v>
      </c>
      <c r="E169" s="320">
        <v>12312664</v>
      </c>
      <c r="F169" s="139">
        <f t="shared" si="25"/>
        <v>12061257.5</v>
      </c>
      <c r="G169" s="119"/>
      <c r="H169" s="125"/>
      <c r="I169" s="119"/>
      <c r="O169" s="22"/>
    </row>
    <row r="170" spans="1:15" ht="30">
      <c r="A170" s="126">
        <f t="shared" si="24"/>
        <v>133</v>
      </c>
      <c r="B170" s="153" t="s">
        <v>538</v>
      </c>
      <c r="C170" s="155" t="s">
        <v>419</v>
      </c>
      <c r="D170" s="307">
        <v>223579611</v>
      </c>
      <c r="E170" s="320">
        <v>230641351</v>
      </c>
      <c r="F170" s="139">
        <f t="shared" si="25"/>
        <v>227110481</v>
      </c>
      <c r="G170" s="119"/>
      <c r="H170" s="125"/>
      <c r="I170" s="119"/>
      <c r="O170" s="22"/>
    </row>
    <row r="171" spans="1:15" ht="15">
      <c r="A171" s="126"/>
      <c r="B171" s="156"/>
      <c r="C171" s="130"/>
      <c r="D171" s="139"/>
      <c r="E171" s="139"/>
      <c r="F171" s="139"/>
      <c r="G171" s="119"/>
      <c r="H171" s="125"/>
      <c r="I171" s="119"/>
      <c r="O171" s="22"/>
    </row>
    <row r="172" spans="1:15" ht="15.75">
      <c r="A172" s="126">
        <f>A170+1</f>
        <v>134</v>
      </c>
      <c r="B172" s="157" t="s">
        <v>221</v>
      </c>
      <c r="C172" s="130"/>
      <c r="D172" s="139"/>
      <c r="E172" s="139"/>
      <c r="F172" s="123" t="str">
        <f>Index!$D$39</f>
        <v xml:space="preserve">Total </v>
      </c>
      <c r="G172" s="119"/>
      <c r="H172" s="125"/>
      <c r="I172" s="119"/>
      <c r="O172" s="22"/>
    </row>
    <row r="173" spans="1:15" ht="15.75">
      <c r="A173" s="126">
        <f t="shared" ref="A173" si="26">A172+1</f>
        <v>135</v>
      </c>
      <c r="B173" s="153" t="s">
        <v>222</v>
      </c>
      <c r="C173" s="147" t="s">
        <v>420</v>
      </c>
      <c r="D173" s="139"/>
      <c r="E173" s="321">
        <v>961324461</v>
      </c>
      <c r="F173" s="139">
        <f>E173</f>
        <v>961324461</v>
      </c>
      <c r="G173" s="146"/>
      <c r="H173" s="125"/>
      <c r="I173" s="119"/>
      <c r="O173" s="22"/>
    </row>
    <row r="174" spans="1:15" ht="15.75">
      <c r="A174" s="126">
        <f t="shared" ref="A174:A179" si="27">A173+1</f>
        <v>136</v>
      </c>
      <c r="B174" s="153" t="s">
        <v>41</v>
      </c>
      <c r="C174" s="122" t="s">
        <v>571</v>
      </c>
      <c r="D174" s="139"/>
      <c r="E174" s="322">
        <v>2728693056</v>
      </c>
      <c r="F174" s="139">
        <f t="shared" ref="F174:F179" si="28">E174</f>
        <v>2728693056</v>
      </c>
      <c r="G174" s="146"/>
      <c r="H174" s="125"/>
      <c r="I174" s="119"/>
      <c r="O174" s="22"/>
    </row>
    <row r="175" spans="1:15" ht="15.75">
      <c r="A175" s="126">
        <f t="shared" si="27"/>
        <v>137</v>
      </c>
      <c r="B175" s="153" t="s">
        <v>223</v>
      </c>
      <c r="C175" s="122" t="s">
        <v>572</v>
      </c>
      <c r="D175" s="139"/>
      <c r="E175" s="307"/>
      <c r="F175" s="139">
        <f t="shared" si="28"/>
        <v>0</v>
      </c>
      <c r="G175" s="146"/>
      <c r="H175" s="125"/>
      <c r="I175" s="119"/>
      <c r="O175" s="22"/>
    </row>
    <row r="176" spans="1:15" ht="15.75">
      <c r="A176" s="126">
        <f t="shared" si="27"/>
        <v>138</v>
      </c>
      <c r="B176" s="153" t="s">
        <v>52</v>
      </c>
      <c r="C176" s="122" t="s">
        <v>421</v>
      </c>
      <c r="D176" s="139"/>
      <c r="E176" s="307">
        <v>119900721</v>
      </c>
      <c r="F176" s="139">
        <f t="shared" si="28"/>
        <v>119900721</v>
      </c>
      <c r="G176" s="146"/>
      <c r="H176" s="125"/>
      <c r="I176" s="119"/>
      <c r="O176" s="22"/>
    </row>
    <row r="177" spans="1:15" ht="15.75">
      <c r="A177" s="126">
        <f t="shared" si="27"/>
        <v>139</v>
      </c>
      <c r="B177" s="153" t="s">
        <v>224</v>
      </c>
      <c r="C177" s="122" t="s">
        <v>573</v>
      </c>
      <c r="D177" s="139"/>
      <c r="E177" s="323">
        <v>68677087</v>
      </c>
      <c r="F177" s="303">
        <f t="shared" si="28"/>
        <v>68677087</v>
      </c>
      <c r="G177" s="146"/>
      <c r="H177" s="125"/>
      <c r="I177" s="119"/>
      <c r="O177" s="22"/>
    </row>
    <row r="178" spans="1:15" ht="15.75">
      <c r="A178" s="126">
        <f t="shared" si="27"/>
        <v>140</v>
      </c>
      <c r="B178" s="153" t="s">
        <v>225</v>
      </c>
      <c r="C178" s="122" t="s">
        <v>422</v>
      </c>
      <c r="D178" s="139"/>
      <c r="E178" s="323">
        <v>0</v>
      </c>
      <c r="F178" s="303">
        <f t="shared" si="28"/>
        <v>0</v>
      </c>
      <c r="G178" s="146"/>
      <c r="H178" s="125"/>
      <c r="I178" s="119"/>
      <c r="O178" s="22"/>
    </row>
    <row r="179" spans="1:15" ht="15.75">
      <c r="A179" s="126">
        <f t="shared" si="27"/>
        <v>141</v>
      </c>
      <c r="B179" s="153" t="s">
        <v>539</v>
      </c>
      <c r="C179" s="122" t="s">
        <v>570</v>
      </c>
      <c r="D179" s="139"/>
      <c r="E179" s="323">
        <v>282471761</v>
      </c>
      <c r="F179" s="303">
        <f t="shared" si="28"/>
        <v>282471761</v>
      </c>
      <c r="G179" s="146"/>
      <c r="H179" s="125"/>
      <c r="I179" s="119"/>
      <c r="O179" s="22"/>
    </row>
    <row r="180" spans="1:15" ht="15.75">
      <c r="A180" s="126"/>
      <c r="B180" s="126"/>
      <c r="C180" s="122"/>
      <c r="D180" s="139"/>
      <c r="E180" s="139"/>
      <c r="F180" s="139"/>
      <c r="G180" s="146"/>
      <c r="H180" s="125"/>
      <c r="I180" s="119"/>
      <c r="O180" s="22"/>
    </row>
    <row r="181" spans="1:15" ht="15">
      <c r="A181" s="126"/>
      <c r="B181" s="126"/>
      <c r="C181" s="122"/>
      <c r="D181" s="122"/>
      <c r="E181" s="122"/>
      <c r="F181" s="139"/>
      <c r="G181" s="119"/>
      <c r="H181" s="125"/>
      <c r="I181" s="119"/>
      <c r="O181" s="22"/>
    </row>
    <row r="182" spans="1:15" ht="15">
      <c r="A182" s="120"/>
      <c r="B182" s="153"/>
      <c r="C182" s="122"/>
      <c r="D182" s="125" t="s">
        <v>127</v>
      </c>
      <c r="E182" s="125" t="s">
        <v>126</v>
      </c>
      <c r="F182" s="158" t="s">
        <v>54</v>
      </c>
      <c r="G182" s="124"/>
      <c r="H182" s="125"/>
      <c r="I182" s="119"/>
    </row>
    <row r="183" spans="1:15" ht="15">
      <c r="A183" s="120">
        <f>A179+1</f>
        <v>142</v>
      </c>
      <c r="B183" s="121" t="s">
        <v>59</v>
      </c>
      <c r="C183" s="122" t="s">
        <v>423</v>
      </c>
      <c r="D183" s="312">
        <v>146790220</v>
      </c>
      <c r="E183" s="312">
        <v>152771585</v>
      </c>
      <c r="F183" s="139">
        <f>(D183+E183)/2</f>
        <v>149780902.5</v>
      </c>
      <c r="G183" s="124"/>
      <c r="H183" s="125"/>
      <c r="I183" s="119"/>
    </row>
    <row r="184" spans="1:15" ht="15">
      <c r="A184" s="120"/>
      <c r="B184" s="153"/>
      <c r="C184" s="122"/>
      <c r="D184" s="125"/>
      <c r="E184" s="125"/>
      <c r="F184" s="158"/>
      <c r="G184" s="124"/>
      <c r="H184" s="125"/>
      <c r="I184" s="119"/>
    </row>
    <row r="185" spans="1:15" ht="15">
      <c r="A185" s="120">
        <f>A183+1</f>
        <v>143</v>
      </c>
      <c r="B185" s="153" t="s">
        <v>352</v>
      </c>
      <c r="C185" s="122" t="s">
        <v>424</v>
      </c>
      <c r="D185" s="312">
        <v>1957914089</v>
      </c>
      <c r="E185" s="312">
        <v>1990832699</v>
      </c>
      <c r="F185" s="139">
        <f t="shared" ref="F185:F188" si="29">(D185+E185)/2</f>
        <v>1974373394</v>
      </c>
      <c r="G185" s="124"/>
      <c r="H185" s="125"/>
      <c r="I185" s="119"/>
    </row>
    <row r="186" spans="1:15" ht="15">
      <c r="A186" s="126">
        <f>A185+1</f>
        <v>144</v>
      </c>
      <c r="B186" s="153" t="s">
        <v>353</v>
      </c>
      <c r="C186" s="122" t="s">
        <v>425</v>
      </c>
      <c r="D186" s="312">
        <v>0</v>
      </c>
      <c r="E186" s="312">
        <v>0</v>
      </c>
      <c r="F186" s="139">
        <f t="shared" si="29"/>
        <v>0</v>
      </c>
      <c r="G186" s="124"/>
      <c r="H186" s="125"/>
      <c r="I186" s="119"/>
    </row>
    <row r="187" spans="1:15" ht="15">
      <c r="A187" s="126">
        <f>A186+1</f>
        <v>145</v>
      </c>
      <c r="B187" s="153" t="s">
        <v>354</v>
      </c>
      <c r="C187" s="122" t="s">
        <v>426</v>
      </c>
      <c r="D187" s="312">
        <v>0</v>
      </c>
      <c r="E187" s="312">
        <v>0</v>
      </c>
      <c r="F187" s="139">
        <f t="shared" si="29"/>
        <v>0</v>
      </c>
      <c r="G187" s="124"/>
      <c r="H187" s="125"/>
      <c r="I187" s="119"/>
    </row>
    <row r="188" spans="1:15" ht="15">
      <c r="A188" s="126">
        <f>A187+1</f>
        <v>146</v>
      </c>
      <c r="B188" s="153" t="s">
        <v>355</v>
      </c>
      <c r="C188" s="122" t="s">
        <v>427</v>
      </c>
      <c r="D188" s="312">
        <v>282613405</v>
      </c>
      <c r="E188" s="312">
        <v>282817711</v>
      </c>
      <c r="F188" s="139">
        <f t="shared" si="29"/>
        <v>282715558</v>
      </c>
      <c r="G188" s="124"/>
      <c r="H188" s="125"/>
      <c r="I188" s="119"/>
    </row>
    <row r="189" spans="1:15" ht="15.75">
      <c r="A189" s="126">
        <f>A188+1</f>
        <v>147</v>
      </c>
      <c r="B189" s="157" t="s">
        <v>60</v>
      </c>
      <c r="C189" s="122" t="s">
        <v>16</v>
      </c>
      <c r="D189" s="159">
        <f>SUM(D185:D188)</f>
        <v>2240527494</v>
      </c>
      <c r="E189" s="159">
        <f>SUM(E185:E188)</f>
        <v>2273650410</v>
      </c>
      <c r="F189" s="159">
        <f>SUM(F185:F188)</f>
        <v>2257088952</v>
      </c>
      <c r="G189" s="124"/>
      <c r="H189" s="125"/>
      <c r="I189" s="119"/>
    </row>
    <row r="190" spans="1:15" ht="15">
      <c r="A190" s="120"/>
      <c r="B190" s="153"/>
      <c r="C190" s="122"/>
      <c r="D190" s="159"/>
      <c r="E190" s="159"/>
      <c r="F190" s="158"/>
      <c r="G190" s="124"/>
      <c r="H190" s="125"/>
      <c r="I190" s="119"/>
    </row>
    <row r="191" spans="1:15" ht="15">
      <c r="A191" s="120">
        <f>A189+1</f>
        <v>148</v>
      </c>
      <c r="B191" s="153" t="s">
        <v>356</v>
      </c>
      <c r="C191" s="122" t="s">
        <v>428</v>
      </c>
      <c r="D191" s="312">
        <v>96521575</v>
      </c>
      <c r="E191" s="312">
        <v>102483522</v>
      </c>
      <c r="F191" s="139">
        <f t="shared" ref="F191:F194" si="30">(D191+E191)/2</f>
        <v>99502548.5</v>
      </c>
      <c r="G191" s="124"/>
      <c r="H191" s="125"/>
      <c r="I191" s="119"/>
    </row>
    <row r="192" spans="1:15" ht="15">
      <c r="A192" s="126">
        <f>A191+1</f>
        <v>149</v>
      </c>
      <c r="B192" s="153" t="s">
        <v>357</v>
      </c>
      <c r="C192" s="122" t="s">
        <v>429</v>
      </c>
      <c r="D192" s="312">
        <v>32221586</v>
      </c>
      <c r="E192" s="312">
        <v>40531406</v>
      </c>
      <c r="F192" s="139">
        <f t="shared" si="30"/>
        <v>36376496</v>
      </c>
      <c r="G192" s="124"/>
      <c r="H192" s="125"/>
      <c r="I192" s="119"/>
    </row>
    <row r="193" spans="1:9" ht="15">
      <c r="A193" s="126">
        <f>A192+1</f>
        <v>150</v>
      </c>
      <c r="B193" s="153" t="s">
        <v>63</v>
      </c>
      <c r="C193" s="122" t="s">
        <v>430</v>
      </c>
      <c r="D193" s="312">
        <v>443400198</v>
      </c>
      <c r="E193" s="312">
        <v>484306009</v>
      </c>
      <c r="F193" s="139">
        <f t="shared" si="30"/>
        <v>463853103.5</v>
      </c>
      <c r="G193" s="124"/>
      <c r="H193" s="125"/>
      <c r="I193" s="119"/>
    </row>
    <row r="194" spans="1:9" ht="15">
      <c r="A194" s="126">
        <f>A193+1</f>
        <v>151</v>
      </c>
      <c r="B194" s="121" t="s">
        <v>64</v>
      </c>
      <c r="C194" s="122" t="s">
        <v>431</v>
      </c>
      <c r="D194" s="312">
        <v>456343037</v>
      </c>
      <c r="E194" s="312">
        <v>475537590</v>
      </c>
      <c r="F194" s="139">
        <f t="shared" si="30"/>
        <v>465940313.5</v>
      </c>
      <c r="G194" s="124"/>
      <c r="H194" s="125"/>
      <c r="I194" s="119"/>
    </row>
    <row r="195" spans="1:9" ht="15.75">
      <c r="A195" s="126">
        <f>A194+1</f>
        <v>152</v>
      </c>
      <c r="B195" s="160" t="s">
        <v>310</v>
      </c>
      <c r="C195" s="122" t="s">
        <v>16</v>
      </c>
      <c r="D195" s="161">
        <f>SUM(D191:D194)</f>
        <v>1028486396</v>
      </c>
      <c r="E195" s="161">
        <f>SUM(E191:E194)</f>
        <v>1102858527</v>
      </c>
      <c r="F195" s="161">
        <f>SUM(F191:F194)</f>
        <v>1065672461.5</v>
      </c>
      <c r="G195" s="124"/>
      <c r="H195" s="125"/>
      <c r="I195" s="119"/>
    </row>
    <row r="196" spans="1:9" ht="15">
      <c r="A196" s="120"/>
      <c r="B196" s="121"/>
      <c r="C196" s="122"/>
      <c r="D196" s="122"/>
      <c r="E196" s="122"/>
      <c r="F196" s="139"/>
      <c r="G196" s="124"/>
      <c r="H196" s="125"/>
      <c r="I196" s="119"/>
    </row>
    <row r="197" spans="1:9" ht="15">
      <c r="A197" s="120">
        <f>A195+1</f>
        <v>153</v>
      </c>
      <c r="B197" s="153" t="s">
        <v>311</v>
      </c>
      <c r="C197" s="122" t="s">
        <v>432</v>
      </c>
      <c r="D197" s="312">
        <v>1574044</v>
      </c>
      <c r="E197" s="312">
        <v>1563936</v>
      </c>
      <c r="F197" s="139">
        <f t="shared" ref="F197:F200" si="31">(D197+E197)/2</f>
        <v>1568990</v>
      </c>
      <c r="G197" s="124"/>
      <c r="H197" s="125"/>
      <c r="I197" s="119"/>
    </row>
    <row r="198" spans="1:9" ht="15">
      <c r="A198" s="120">
        <f t="shared" ref="A198:A215" si="32">A197+1</f>
        <v>154</v>
      </c>
      <c r="B198" s="153" t="s">
        <v>312</v>
      </c>
      <c r="C198" s="122" t="s">
        <v>433</v>
      </c>
      <c r="D198" s="312">
        <v>9211719</v>
      </c>
      <c r="E198" s="312">
        <v>9314357</v>
      </c>
      <c r="F198" s="139">
        <f t="shared" si="31"/>
        <v>9263038</v>
      </c>
      <c r="G198" s="124"/>
      <c r="H198" s="125"/>
      <c r="I198" s="119"/>
    </row>
    <row r="199" spans="1:9" ht="15">
      <c r="A199" s="120">
        <f t="shared" si="32"/>
        <v>155</v>
      </c>
      <c r="B199" s="153" t="s">
        <v>313</v>
      </c>
      <c r="C199" s="122" t="s">
        <v>434</v>
      </c>
      <c r="D199" s="312">
        <v>74064910</v>
      </c>
      <c r="E199" s="312">
        <v>77779574</v>
      </c>
      <c r="F199" s="139">
        <f t="shared" si="31"/>
        <v>75922242</v>
      </c>
      <c r="G199" s="124"/>
      <c r="H199" s="125"/>
      <c r="I199" s="119"/>
    </row>
    <row r="200" spans="1:9" ht="15">
      <c r="A200" s="120">
        <f t="shared" si="32"/>
        <v>156</v>
      </c>
      <c r="B200" s="153" t="s">
        <v>314</v>
      </c>
      <c r="C200" s="122" t="s">
        <v>435</v>
      </c>
      <c r="D200" s="312">
        <v>0</v>
      </c>
      <c r="E200" s="312">
        <v>0</v>
      </c>
      <c r="F200" s="139">
        <f t="shared" si="31"/>
        <v>0</v>
      </c>
      <c r="G200" s="124"/>
      <c r="H200" s="125"/>
      <c r="I200" s="119"/>
    </row>
    <row r="201" spans="1:9" ht="15.75">
      <c r="A201" s="120">
        <f t="shared" si="32"/>
        <v>157</v>
      </c>
      <c r="B201" s="160" t="s">
        <v>39</v>
      </c>
      <c r="C201" s="122" t="s">
        <v>16</v>
      </c>
      <c r="D201" s="139">
        <f>SUM(D197:D200)</f>
        <v>84850673</v>
      </c>
      <c r="E201" s="139">
        <f>SUM(E197:E200)</f>
        <v>88657867</v>
      </c>
      <c r="F201" s="139">
        <f>SUM(F197:F200)</f>
        <v>86754270</v>
      </c>
      <c r="G201" s="124"/>
      <c r="H201" s="125"/>
      <c r="I201" s="119"/>
    </row>
    <row r="202" spans="1:9" ht="15">
      <c r="A202" s="120"/>
      <c r="B202" s="121"/>
      <c r="C202" s="122"/>
      <c r="D202" s="139"/>
      <c r="E202" s="139"/>
      <c r="F202" s="139"/>
      <c r="G202" s="124"/>
      <c r="H202" s="125"/>
      <c r="I202" s="119"/>
    </row>
    <row r="203" spans="1:9" ht="15">
      <c r="A203" s="120">
        <f>A201+1</f>
        <v>158</v>
      </c>
      <c r="B203" s="121" t="s">
        <v>196</v>
      </c>
      <c r="C203" s="122" t="s">
        <v>436</v>
      </c>
      <c r="D203" s="313"/>
      <c r="E203" s="313">
        <v>0</v>
      </c>
      <c r="F203" s="139">
        <f t="shared" ref="F203:F204" si="33">(D203+E203)/2</f>
        <v>0</v>
      </c>
      <c r="G203" s="124"/>
      <c r="H203" s="125"/>
      <c r="I203" s="119"/>
    </row>
    <row r="204" spans="1:9" ht="15">
      <c r="A204" s="120">
        <f t="shared" si="32"/>
        <v>159</v>
      </c>
      <c r="B204" s="121" t="s">
        <v>65</v>
      </c>
      <c r="C204" s="122" t="s">
        <v>437</v>
      </c>
      <c r="D204" s="312">
        <v>418084246</v>
      </c>
      <c r="E204" s="312">
        <v>444946342</v>
      </c>
      <c r="F204" s="139">
        <f t="shared" si="33"/>
        <v>431515294</v>
      </c>
      <c r="G204" s="124"/>
      <c r="H204" s="125"/>
      <c r="I204" s="119"/>
    </row>
    <row r="205" spans="1:9" ht="15.75">
      <c r="A205" s="120">
        <f t="shared" si="32"/>
        <v>160</v>
      </c>
      <c r="B205" s="160" t="s">
        <v>315</v>
      </c>
      <c r="C205" s="122" t="s">
        <v>16</v>
      </c>
      <c r="D205" s="162">
        <f>SUM(D183,D189,D195,D201,D203:D204)</f>
        <v>3918739029</v>
      </c>
      <c r="E205" s="162">
        <f>SUM(E183,E189,E195,E201,E203:E204)</f>
        <v>4062884731</v>
      </c>
      <c r="F205" s="162">
        <f>SUM(F183,F189,F195,F201,F203:F204)</f>
        <v>3990811880</v>
      </c>
      <c r="G205" s="124"/>
      <c r="H205" s="125"/>
      <c r="I205" s="119"/>
    </row>
    <row r="206" spans="1:9" ht="15">
      <c r="A206" s="120"/>
      <c r="B206" s="121"/>
      <c r="C206" s="122"/>
      <c r="D206" s="122"/>
      <c r="E206" s="122"/>
      <c r="F206" s="139"/>
      <c r="G206" s="124"/>
      <c r="H206" s="125"/>
      <c r="I206" s="119"/>
    </row>
    <row r="207" spans="1:9" ht="15">
      <c r="A207" s="120">
        <f>A205+1</f>
        <v>161</v>
      </c>
      <c r="B207" s="121" t="s">
        <v>316</v>
      </c>
      <c r="C207" s="122" t="s">
        <v>438</v>
      </c>
      <c r="D207" s="307"/>
      <c r="E207" s="307">
        <v>0</v>
      </c>
      <c r="F207" s="139">
        <f t="shared" ref="F207:F214" si="34">(D207+E207)/2</f>
        <v>0</v>
      </c>
      <c r="G207" s="124"/>
      <c r="H207" s="125"/>
      <c r="I207" s="119"/>
    </row>
    <row r="208" spans="1:9" ht="15">
      <c r="A208" s="120">
        <f t="shared" si="32"/>
        <v>162</v>
      </c>
      <c r="B208" s="121" t="s">
        <v>317</v>
      </c>
      <c r="C208" s="122" t="s">
        <v>439</v>
      </c>
      <c r="D208" s="307"/>
      <c r="E208" s="307">
        <v>0</v>
      </c>
      <c r="F208" s="139">
        <f t="shared" si="34"/>
        <v>0</v>
      </c>
      <c r="G208" s="124"/>
      <c r="H208" s="125"/>
      <c r="I208" s="119"/>
    </row>
    <row r="209" spans="1:9" ht="15">
      <c r="A209" s="120">
        <f t="shared" si="32"/>
        <v>163</v>
      </c>
      <c r="B209" s="121" t="s">
        <v>66</v>
      </c>
      <c r="C209" s="122" t="s">
        <v>440</v>
      </c>
      <c r="D209" s="308">
        <v>77324152</v>
      </c>
      <c r="E209" s="308">
        <v>77224152</v>
      </c>
      <c r="F209" s="139">
        <f t="shared" si="34"/>
        <v>77274152</v>
      </c>
      <c r="G209" s="124"/>
      <c r="H209" s="125"/>
      <c r="I209" s="119"/>
    </row>
    <row r="210" spans="1:9" ht="15">
      <c r="A210" s="120">
        <f t="shared" si="32"/>
        <v>164</v>
      </c>
      <c r="B210" s="121" t="s">
        <v>67</v>
      </c>
      <c r="C210" s="122" t="s">
        <v>441</v>
      </c>
      <c r="D210" s="313">
        <v>226302527</v>
      </c>
      <c r="E210" s="313">
        <v>266047723</v>
      </c>
      <c r="F210" s="139">
        <f t="shared" si="34"/>
        <v>246175125</v>
      </c>
      <c r="G210" s="124"/>
      <c r="H210" s="125"/>
      <c r="I210" s="119"/>
    </row>
    <row r="211" spans="1:9" ht="15">
      <c r="A211" s="120">
        <f t="shared" si="32"/>
        <v>165</v>
      </c>
      <c r="B211" s="121" t="s">
        <v>239</v>
      </c>
      <c r="C211" s="122" t="s">
        <v>442</v>
      </c>
      <c r="D211" s="313">
        <v>39163114</v>
      </c>
      <c r="E211" s="313">
        <v>41045432</v>
      </c>
      <c r="F211" s="139">
        <f t="shared" si="34"/>
        <v>40104273</v>
      </c>
      <c r="G211" s="124"/>
      <c r="H211" s="125"/>
      <c r="I211" s="119"/>
    </row>
    <row r="212" spans="1:9" ht="15">
      <c r="A212" s="120">
        <f t="shared" si="32"/>
        <v>166</v>
      </c>
      <c r="B212" s="121" t="s">
        <v>318</v>
      </c>
      <c r="C212" s="122" t="s">
        <v>443</v>
      </c>
      <c r="D212" s="313"/>
      <c r="E212" s="313">
        <v>0</v>
      </c>
      <c r="F212" s="139">
        <f t="shared" si="34"/>
        <v>0</v>
      </c>
      <c r="G212" s="124"/>
      <c r="H212" s="125"/>
      <c r="I212" s="119"/>
    </row>
    <row r="213" spans="1:9" ht="15">
      <c r="A213" s="120">
        <f t="shared" si="32"/>
        <v>167</v>
      </c>
      <c r="B213" s="121" t="s">
        <v>319</v>
      </c>
      <c r="C213" s="122" t="s">
        <v>444</v>
      </c>
      <c r="D213" s="313"/>
      <c r="E213" s="313">
        <v>0</v>
      </c>
      <c r="F213" s="139">
        <f t="shared" si="34"/>
        <v>0</v>
      </c>
      <c r="G213" s="124"/>
      <c r="H213" s="125"/>
      <c r="I213" s="119"/>
    </row>
    <row r="214" spans="1:9" ht="15.75">
      <c r="A214" s="120">
        <f t="shared" si="32"/>
        <v>168</v>
      </c>
      <c r="B214" s="121" t="s">
        <v>68</v>
      </c>
      <c r="C214" s="122" t="s">
        <v>445</v>
      </c>
      <c r="D214" s="307">
        <v>199319369</v>
      </c>
      <c r="E214" s="307">
        <v>208779897</v>
      </c>
      <c r="F214" s="139">
        <f t="shared" si="34"/>
        <v>204049633</v>
      </c>
      <c r="G214" s="163"/>
      <c r="H214" s="125"/>
      <c r="I214" s="119"/>
    </row>
    <row r="215" spans="1:9" ht="15.75">
      <c r="A215" s="120">
        <f t="shared" si="32"/>
        <v>169</v>
      </c>
      <c r="B215" s="160" t="s">
        <v>320</v>
      </c>
      <c r="C215" s="122" t="s">
        <v>16</v>
      </c>
      <c r="D215" s="149">
        <f>SUM(D205,D207:D214)</f>
        <v>4460848191</v>
      </c>
      <c r="E215" s="149">
        <f>SUM(E205,E207:E214)</f>
        <v>4655981935</v>
      </c>
      <c r="F215" s="149">
        <f>SUM(F205,F207:F214)</f>
        <v>4558415063</v>
      </c>
      <c r="G215" s="119"/>
      <c r="H215" s="119"/>
      <c r="I215" s="119"/>
    </row>
    <row r="216" spans="1:9" ht="15">
      <c r="A216" s="120"/>
      <c r="B216" s="121"/>
      <c r="C216" s="122"/>
      <c r="D216" s="164"/>
      <c r="E216" s="164"/>
      <c r="F216" s="165"/>
      <c r="G216" s="124"/>
      <c r="H216" s="125"/>
      <c r="I216" s="119"/>
    </row>
    <row r="217" spans="1:9" ht="15">
      <c r="A217" s="120">
        <f>A215+1</f>
        <v>170</v>
      </c>
      <c r="B217" s="166" t="s">
        <v>158</v>
      </c>
      <c r="C217" s="122"/>
      <c r="D217" s="164"/>
      <c r="E217" s="164"/>
      <c r="F217" s="158" t="s">
        <v>54</v>
      </c>
      <c r="G217" s="124"/>
      <c r="H217" s="125"/>
      <c r="I217" s="119"/>
    </row>
    <row r="218" spans="1:9" ht="15">
      <c r="A218" s="120">
        <f>A217+1</f>
        <v>171</v>
      </c>
      <c r="B218" s="121" t="s">
        <v>344</v>
      </c>
      <c r="C218" s="122" t="s">
        <v>446</v>
      </c>
      <c r="D218" s="314">
        <v>1006273377</v>
      </c>
      <c r="E218" s="314">
        <v>1043827020</v>
      </c>
      <c r="F218" s="139">
        <f t="shared" ref="F218:F227" si="35">(D218+E218)/2</f>
        <v>1025050198.5</v>
      </c>
      <c r="G218" s="124"/>
      <c r="H218" s="125"/>
      <c r="I218" s="119"/>
    </row>
    <row r="219" spans="1:9" ht="15">
      <c r="A219" s="120">
        <f>A218+1</f>
        <v>172</v>
      </c>
      <c r="B219" s="121" t="s">
        <v>345</v>
      </c>
      <c r="C219" s="122" t="s">
        <v>447</v>
      </c>
      <c r="D219" s="314">
        <v>0</v>
      </c>
      <c r="E219" s="314">
        <v>0</v>
      </c>
      <c r="F219" s="139">
        <f t="shared" si="35"/>
        <v>0</v>
      </c>
      <c r="G219" s="124"/>
      <c r="H219" s="125"/>
      <c r="I219" s="119"/>
    </row>
    <row r="220" spans="1:9" ht="15">
      <c r="A220" s="120">
        <f>A219+1</f>
        <v>173</v>
      </c>
      <c r="B220" s="121" t="s">
        <v>346</v>
      </c>
      <c r="C220" s="122" t="s">
        <v>448</v>
      </c>
      <c r="D220" s="314">
        <v>0</v>
      </c>
      <c r="E220" s="314">
        <v>0</v>
      </c>
      <c r="F220" s="139">
        <f t="shared" si="35"/>
        <v>0</v>
      </c>
      <c r="G220" s="124"/>
      <c r="H220" s="125"/>
      <c r="I220" s="119"/>
    </row>
    <row r="221" spans="1:9" ht="15">
      <c r="A221" s="120">
        <f>A220+1</f>
        <v>174</v>
      </c>
      <c r="B221" s="121" t="s">
        <v>347</v>
      </c>
      <c r="C221" s="122" t="s">
        <v>449</v>
      </c>
      <c r="D221" s="314">
        <v>103508386</v>
      </c>
      <c r="E221" s="314">
        <v>108736878</v>
      </c>
      <c r="F221" s="139">
        <f t="shared" si="35"/>
        <v>106122632</v>
      </c>
      <c r="G221" s="124"/>
      <c r="H221" s="125"/>
      <c r="I221" s="119"/>
    </row>
    <row r="222" spans="1:9" ht="15">
      <c r="A222" s="120">
        <f t="shared" ref="A222:A228" si="36">A221+1</f>
        <v>175</v>
      </c>
      <c r="B222" s="121" t="s">
        <v>69</v>
      </c>
      <c r="C222" s="122" t="s">
        <v>450</v>
      </c>
      <c r="D222" s="314">
        <v>446515690</v>
      </c>
      <c r="E222" s="314">
        <v>473843880</v>
      </c>
      <c r="F222" s="139">
        <f t="shared" si="35"/>
        <v>460179785</v>
      </c>
      <c r="G222" s="124"/>
      <c r="H222" s="125"/>
      <c r="I222" s="119"/>
    </row>
    <row r="223" spans="1:9" ht="15">
      <c r="A223" s="120">
        <f t="shared" si="36"/>
        <v>176</v>
      </c>
      <c r="B223" s="121" t="s">
        <v>70</v>
      </c>
      <c r="C223" s="122" t="s">
        <v>451</v>
      </c>
      <c r="D223" s="314">
        <v>37738500</v>
      </c>
      <c r="E223" s="314">
        <v>39641409</v>
      </c>
      <c r="F223" s="139">
        <f t="shared" si="35"/>
        <v>38689954.5</v>
      </c>
      <c r="G223" s="124"/>
      <c r="H223" s="125"/>
      <c r="I223" s="119"/>
    </row>
    <row r="224" spans="1:9" ht="15">
      <c r="A224" s="120">
        <f t="shared" si="36"/>
        <v>177</v>
      </c>
      <c r="B224" s="121" t="s">
        <v>71</v>
      </c>
      <c r="C224" s="122" t="s">
        <v>452</v>
      </c>
      <c r="D224" s="314">
        <v>260526212</v>
      </c>
      <c r="E224" s="314">
        <v>286923684</v>
      </c>
      <c r="F224" s="139">
        <f t="shared" si="35"/>
        <v>273724948</v>
      </c>
      <c r="G224" s="124"/>
      <c r="H224" s="125"/>
      <c r="I224" s="119"/>
    </row>
    <row r="225" spans="1:15" ht="15.75">
      <c r="A225" s="120">
        <f t="shared" si="36"/>
        <v>178</v>
      </c>
      <c r="B225" s="121" t="s">
        <v>72</v>
      </c>
      <c r="C225" s="122" t="s">
        <v>453</v>
      </c>
      <c r="D225" s="314">
        <v>-908761</v>
      </c>
      <c r="E225" s="314">
        <v>-801347</v>
      </c>
      <c r="F225" s="139">
        <f t="shared" si="35"/>
        <v>-855054</v>
      </c>
      <c r="G225" s="146"/>
      <c r="H225" s="125"/>
      <c r="I225" s="119"/>
    </row>
    <row r="226" spans="1:15" ht="15.75">
      <c r="A226" s="120">
        <f t="shared" si="36"/>
        <v>179</v>
      </c>
      <c r="B226" s="121" t="s">
        <v>73</v>
      </c>
      <c r="C226" s="122" t="s">
        <v>454</v>
      </c>
      <c r="D226" s="314">
        <v>84119245</v>
      </c>
      <c r="E226" s="314">
        <v>88160589</v>
      </c>
      <c r="F226" s="139">
        <f t="shared" si="35"/>
        <v>86139917</v>
      </c>
      <c r="G226" s="146"/>
      <c r="H226" s="125"/>
      <c r="I226" s="119"/>
    </row>
    <row r="227" spans="1:15" ht="15.75">
      <c r="A227" s="120">
        <f t="shared" si="36"/>
        <v>180</v>
      </c>
      <c r="B227" s="121" t="s">
        <v>348</v>
      </c>
      <c r="C227" s="122" t="s">
        <v>455</v>
      </c>
      <c r="D227" s="314">
        <v>30679354</v>
      </c>
      <c r="E227" s="314">
        <v>31938012</v>
      </c>
      <c r="F227" s="139">
        <f t="shared" si="35"/>
        <v>31308683</v>
      </c>
      <c r="G227" s="146"/>
      <c r="H227" s="125"/>
      <c r="I227" s="119"/>
    </row>
    <row r="228" spans="1:15" ht="15.75">
      <c r="A228" s="120">
        <f t="shared" si="36"/>
        <v>181</v>
      </c>
      <c r="B228" s="160" t="s">
        <v>321</v>
      </c>
      <c r="C228" s="122" t="s">
        <v>16</v>
      </c>
      <c r="D228" s="149">
        <f>SUM(D218:D227)</f>
        <v>1968452003</v>
      </c>
      <c r="E228" s="149">
        <f>SUM(E218:E227)</f>
        <v>2072270125</v>
      </c>
      <c r="F228" s="149">
        <f>SUM(F218:F227)</f>
        <v>2020361064</v>
      </c>
      <c r="G228" s="124"/>
      <c r="H228" s="125"/>
      <c r="I228" s="119"/>
    </row>
    <row r="229" spans="1:15" ht="15">
      <c r="A229" s="120"/>
      <c r="B229" s="121"/>
      <c r="C229" s="122"/>
      <c r="D229" s="149"/>
      <c r="E229" s="149"/>
      <c r="F229" s="139"/>
      <c r="G229" s="124"/>
      <c r="H229" s="125"/>
      <c r="I229" s="119"/>
    </row>
    <row r="230" spans="1:15" ht="15.75">
      <c r="A230" s="120"/>
      <c r="B230" s="121"/>
      <c r="C230" s="122"/>
      <c r="D230" s="167"/>
      <c r="E230" s="167"/>
      <c r="F230" s="168"/>
      <c r="G230" s="124"/>
      <c r="H230" s="125"/>
      <c r="I230" s="119"/>
    </row>
    <row r="231" spans="1:15" ht="15">
      <c r="A231" s="126">
        <f>A228+1</f>
        <v>182</v>
      </c>
      <c r="B231" s="169" t="s">
        <v>53</v>
      </c>
      <c r="C231" s="170"/>
      <c r="D231" s="120"/>
      <c r="E231" s="120"/>
      <c r="F231" s="158" t="s">
        <v>54</v>
      </c>
      <c r="G231" s="119"/>
      <c r="H231" s="125"/>
      <c r="I231" s="119"/>
      <c r="O231" s="22"/>
    </row>
    <row r="232" spans="1:15" ht="15">
      <c r="A232" s="126">
        <f>A231+1</f>
        <v>183</v>
      </c>
      <c r="B232" s="156" t="s">
        <v>143</v>
      </c>
      <c r="C232" s="130" t="s">
        <v>456</v>
      </c>
      <c r="D232" s="315">
        <v>48600766</v>
      </c>
      <c r="E232" s="315">
        <v>56189379</v>
      </c>
      <c r="F232" s="139">
        <f t="shared" ref="F232:F237" si="37">(D232+E232)/2</f>
        <v>52395072.5</v>
      </c>
      <c r="G232" s="119"/>
      <c r="H232" s="125"/>
      <c r="I232" s="119"/>
      <c r="O232" s="22"/>
    </row>
    <row r="233" spans="1:15" ht="15">
      <c r="A233" s="120">
        <f t="shared" ref="A233:A238" si="38">A232+1</f>
        <v>184</v>
      </c>
      <c r="B233" s="156" t="s">
        <v>144</v>
      </c>
      <c r="C233" s="130" t="s">
        <v>457</v>
      </c>
      <c r="D233" s="315">
        <v>5905518</v>
      </c>
      <c r="E233" s="315">
        <v>5874682</v>
      </c>
      <c r="F233" s="139">
        <f t="shared" si="37"/>
        <v>5890100</v>
      </c>
      <c r="G233" s="119"/>
      <c r="H233" s="125"/>
      <c r="I233" s="119"/>
      <c r="O233" s="22"/>
    </row>
    <row r="234" spans="1:15" ht="15">
      <c r="A234" s="120">
        <f t="shared" si="38"/>
        <v>185</v>
      </c>
      <c r="B234" s="156" t="s">
        <v>145</v>
      </c>
      <c r="C234" s="130" t="s">
        <v>458</v>
      </c>
      <c r="D234" s="315">
        <v>40036550</v>
      </c>
      <c r="E234" s="315">
        <v>42125737</v>
      </c>
      <c r="F234" s="139">
        <f t="shared" si="37"/>
        <v>41081143.5</v>
      </c>
      <c r="G234" s="119"/>
      <c r="H234" s="125"/>
      <c r="I234" s="119"/>
      <c r="O234" s="22"/>
    </row>
    <row r="235" spans="1:15" ht="15">
      <c r="A235" s="120">
        <f t="shared" si="38"/>
        <v>186</v>
      </c>
      <c r="B235" s="156" t="s">
        <v>146</v>
      </c>
      <c r="C235" s="130" t="s">
        <v>459</v>
      </c>
      <c r="D235" s="315">
        <v>18913453</v>
      </c>
      <c r="E235" s="315">
        <v>19898163</v>
      </c>
      <c r="F235" s="139">
        <f t="shared" si="37"/>
        <v>19405808</v>
      </c>
      <c r="G235" s="119"/>
      <c r="H235" s="125"/>
      <c r="I235" s="119"/>
      <c r="O235" s="22"/>
    </row>
    <row r="236" spans="1:15" ht="15">
      <c r="A236" s="120">
        <f t="shared" si="38"/>
        <v>187</v>
      </c>
      <c r="B236" s="156" t="s">
        <v>147</v>
      </c>
      <c r="C236" s="130" t="s">
        <v>460</v>
      </c>
      <c r="D236" s="315">
        <v>5751640</v>
      </c>
      <c r="E236" s="315">
        <v>6051093</v>
      </c>
      <c r="F236" s="139">
        <f t="shared" si="37"/>
        <v>5901366.5</v>
      </c>
      <c r="G236" s="119"/>
      <c r="H236" s="125"/>
      <c r="I236" s="119"/>
      <c r="O236" s="22"/>
    </row>
    <row r="237" spans="1:15" ht="15">
      <c r="A237" s="120">
        <f t="shared" si="38"/>
        <v>188</v>
      </c>
      <c r="B237" s="156" t="s">
        <v>148</v>
      </c>
      <c r="C237" s="130" t="s">
        <v>461</v>
      </c>
      <c r="D237" s="315">
        <v>0</v>
      </c>
      <c r="E237" s="315">
        <v>0</v>
      </c>
      <c r="F237" s="139">
        <f t="shared" si="37"/>
        <v>0</v>
      </c>
      <c r="G237" s="119"/>
      <c r="H237" s="125"/>
      <c r="I237" s="119"/>
      <c r="O237" s="22"/>
    </row>
    <row r="238" spans="1:15" ht="15">
      <c r="A238" s="120">
        <f t="shared" si="38"/>
        <v>189</v>
      </c>
      <c r="B238" s="119" t="s">
        <v>53</v>
      </c>
      <c r="C238" s="119" t="s">
        <v>16</v>
      </c>
      <c r="D238" s="171">
        <f>SUM(D232:D237)</f>
        <v>119207927</v>
      </c>
      <c r="E238" s="171">
        <f>SUM(E232:E237)</f>
        <v>130139054</v>
      </c>
      <c r="F238" s="171">
        <f>SUM(F232:F237)</f>
        <v>124673490.5</v>
      </c>
      <c r="G238" s="119"/>
      <c r="H238" s="125"/>
      <c r="I238" s="119"/>
      <c r="O238" s="22"/>
    </row>
    <row r="239" spans="1:15">
      <c r="A239" s="13"/>
      <c r="B239" s="13"/>
      <c r="C239" s="13"/>
      <c r="D239" s="13"/>
      <c r="E239" s="13"/>
      <c r="F239" s="13"/>
    </row>
    <row r="240" spans="1:15">
      <c r="A240" s="12"/>
      <c r="B240" s="85"/>
      <c r="C240" s="20"/>
      <c r="D240" s="20"/>
      <c r="E240" s="20"/>
      <c r="F240" s="34"/>
      <c r="H240" s="3"/>
      <c r="O240" s="22"/>
    </row>
    <row r="241" spans="1:15">
      <c r="A241" s="12"/>
      <c r="B241" s="36"/>
      <c r="C241" s="37"/>
      <c r="D241" s="37"/>
      <c r="E241" s="37"/>
      <c r="F241" s="38"/>
      <c r="H241" s="3"/>
      <c r="O241" s="22"/>
    </row>
    <row r="242" spans="1:15">
      <c r="A242" s="12"/>
      <c r="B242" s="36"/>
      <c r="C242" s="37"/>
      <c r="D242" s="37"/>
      <c r="E242" s="37"/>
      <c r="F242" s="38"/>
      <c r="H242" s="3"/>
      <c r="O242" s="22"/>
    </row>
    <row r="243" spans="1:15">
      <c r="A243" s="12"/>
      <c r="B243" s="36"/>
      <c r="C243" s="37"/>
      <c r="D243" s="37"/>
      <c r="E243" s="37"/>
      <c r="F243" s="29"/>
      <c r="H243" s="3"/>
      <c r="O243" s="22"/>
    </row>
    <row r="244" spans="1:15">
      <c r="A244" s="12"/>
      <c r="B244" s="35"/>
      <c r="C244" s="21"/>
      <c r="D244" s="21"/>
      <c r="E244" s="21"/>
      <c r="F244" s="29"/>
      <c r="H244" s="3"/>
      <c r="O244" s="22"/>
    </row>
    <row r="245" spans="1:15">
      <c r="A245" s="12"/>
      <c r="B245" s="39"/>
      <c r="C245" s="21"/>
      <c r="D245" s="21"/>
      <c r="E245" s="21"/>
      <c r="F245" s="29"/>
      <c r="H245" s="3"/>
      <c r="O245" s="22"/>
    </row>
    <row r="248" spans="1:15">
      <c r="A248" s="12"/>
      <c r="B248" s="12"/>
      <c r="C248" s="32"/>
      <c r="D248" s="32"/>
      <c r="E248" s="32"/>
      <c r="F248" s="40"/>
      <c r="H248" s="3"/>
      <c r="O248" s="22"/>
    </row>
    <row r="253" spans="1:15">
      <c r="A253" s="12"/>
      <c r="H253" s="3"/>
      <c r="O253" s="22"/>
    </row>
    <row r="254" spans="1:15">
      <c r="A254" s="12"/>
      <c r="B254" s="26"/>
      <c r="C254" s="32"/>
      <c r="F254" s="29"/>
      <c r="H254" s="3"/>
      <c r="O254" s="22"/>
    </row>
    <row r="256" spans="1:15">
      <c r="A256" s="12"/>
      <c r="B256" s="33"/>
      <c r="C256" s="20"/>
      <c r="D256" s="20"/>
      <c r="E256" s="20"/>
      <c r="H256" s="3"/>
      <c r="O256" s="22"/>
    </row>
    <row r="257" spans="1:18">
      <c r="A257" s="12"/>
      <c r="B257" s="33"/>
      <c r="C257" s="27"/>
      <c r="D257" s="27"/>
      <c r="E257" s="27"/>
      <c r="F257" s="29"/>
      <c r="H257" s="3"/>
      <c r="O257" s="22"/>
    </row>
    <row r="258" spans="1:18">
      <c r="A258" s="12"/>
      <c r="B258" s="33"/>
      <c r="C258" s="27"/>
      <c r="D258" s="27"/>
      <c r="E258" s="27"/>
      <c r="F258" s="29"/>
      <c r="H258" s="3"/>
      <c r="O258" s="22"/>
    </row>
    <row r="259" spans="1:18">
      <c r="A259" s="12"/>
      <c r="B259" s="33"/>
      <c r="C259" s="27"/>
      <c r="D259" s="27"/>
      <c r="E259" s="27"/>
      <c r="F259" s="29"/>
      <c r="H259" s="3"/>
      <c r="O259" s="22"/>
    </row>
    <row r="260" spans="1:18">
      <c r="A260" s="12"/>
      <c r="B260" s="33"/>
      <c r="C260" s="27"/>
      <c r="D260" s="27"/>
      <c r="E260" s="27"/>
      <c r="F260" s="29"/>
      <c r="H260" s="3"/>
      <c r="O260" s="22"/>
    </row>
    <row r="261" spans="1:18">
      <c r="A261" s="12"/>
      <c r="B261" s="12"/>
      <c r="C261" s="27"/>
      <c r="D261" s="27"/>
      <c r="E261" s="27"/>
      <c r="F261" s="38"/>
      <c r="H261" s="3"/>
      <c r="O261" s="22"/>
    </row>
    <row r="262" spans="1:18">
      <c r="A262" s="12"/>
      <c r="B262" s="33"/>
      <c r="C262" s="27"/>
      <c r="D262" s="27"/>
      <c r="E262" s="27"/>
      <c r="F262" s="38"/>
      <c r="H262" s="3"/>
      <c r="O262" s="22"/>
    </row>
    <row r="263" spans="1:18">
      <c r="A263" s="12"/>
      <c r="B263" s="12"/>
      <c r="C263" s="27"/>
      <c r="D263" s="27"/>
      <c r="E263" s="27"/>
      <c r="F263" s="38"/>
      <c r="H263" s="3"/>
      <c r="O263" s="22"/>
    </row>
    <row r="264" spans="1:18">
      <c r="A264" s="12"/>
      <c r="B264" s="12"/>
      <c r="C264" s="27"/>
      <c r="D264" s="27"/>
      <c r="E264" s="27"/>
      <c r="F264" s="38"/>
      <c r="H264" s="3"/>
      <c r="O264" s="22"/>
    </row>
    <row r="265" spans="1:18">
      <c r="A265" s="12"/>
      <c r="B265" s="12"/>
      <c r="C265" s="27"/>
      <c r="D265" s="27"/>
      <c r="E265" s="27"/>
      <c r="F265" s="38"/>
      <c r="H265" s="3"/>
      <c r="O265" s="22"/>
    </row>
    <row r="266" spans="1:18" s="3" customFormat="1">
      <c r="A266" s="12"/>
      <c r="B266" s="27"/>
      <c r="C266" s="27"/>
      <c r="D266" s="27"/>
      <c r="E266" s="27"/>
      <c r="F266" s="38"/>
      <c r="J266" s="23"/>
      <c r="O266" s="24"/>
      <c r="R266" s="25"/>
    </row>
    <row r="267" spans="1:18">
      <c r="A267" s="12"/>
      <c r="B267" s="12"/>
      <c r="C267" s="41"/>
      <c r="D267" s="41"/>
      <c r="E267" s="41"/>
      <c r="F267" s="38"/>
      <c r="H267" s="3"/>
      <c r="O267" s="22"/>
    </row>
    <row r="268" spans="1:18">
      <c r="A268" s="12"/>
      <c r="B268" s="12"/>
      <c r="C268" s="41"/>
      <c r="D268" s="41"/>
      <c r="E268" s="41"/>
      <c r="F268" s="38"/>
      <c r="H268" s="3"/>
      <c r="O268" s="22"/>
    </row>
    <row r="269" spans="1:18">
      <c r="A269" s="12"/>
      <c r="B269" s="12"/>
      <c r="C269" s="12"/>
      <c r="D269" s="12"/>
      <c r="E269" s="12"/>
      <c r="H269" s="3"/>
      <c r="O269" s="22"/>
    </row>
    <row r="270" spans="1:18">
      <c r="A270" s="12"/>
      <c r="B270" s="28"/>
      <c r="C270" s="12"/>
      <c r="D270" s="12"/>
      <c r="E270" s="12"/>
      <c r="F270" s="38"/>
      <c r="H270" s="3"/>
      <c r="O270" s="22"/>
    </row>
    <row r="271" spans="1:18">
      <c r="A271" s="12"/>
      <c r="B271" s="26"/>
      <c r="C271" s="12"/>
      <c r="D271" s="12"/>
      <c r="E271" s="12"/>
      <c r="F271" s="38"/>
      <c r="H271" s="3"/>
      <c r="O271" s="22"/>
    </row>
    <row r="272" spans="1:18">
      <c r="A272" s="12"/>
      <c r="B272" s="28"/>
      <c r="C272" s="12"/>
      <c r="D272" s="12"/>
      <c r="E272" s="12"/>
      <c r="F272" s="38"/>
      <c r="H272" s="3"/>
      <c r="O272" s="22"/>
    </row>
    <row r="273" spans="1:15">
      <c r="A273" s="12"/>
      <c r="B273" s="26"/>
      <c r="C273" s="12"/>
      <c r="D273" s="12"/>
      <c r="E273" s="12"/>
      <c r="F273" s="38"/>
      <c r="H273" s="3"/>
      <c r="O273" s="22"/>
    </row>
    <row r="274" spans="1:15">
      <c r="A274" s="12"/>
      <c r="B274" s="33"/>
      <c r="C274" s="12"/>
      <c r="D274" s="12"/>
      <c r="E274" s="12"/>
      <c r="F274" s="38"/>
      <c r="H274" s="3"/>
      <c r="O274" s="22"/>
    </row>
    <row r="275" spans="1:15">
      <c r="A275" s="12"/>
      <c r="B275" s="33"/>
      <c r="C275" s="12"/>
      <c r="D275" s="12"/>
      <c r="E275" s="12"/>
      <c r="F275" s="38"/>
      <c r="H275" s="3"/>
      <c r="O275" s="22"/>
    </row>
    <row r="276" spans="1:15">
      <c r="A276" s="12"/>
      <c r="B276" s="33"/>
      <c r="C276" s="12"/>
      <c r="D276" s="12"/>
      <c r="E276" s="12"/>
      <c r="F276" s="38"/>
      <c r="H276" s="3"/>
      <c r="O276" s="22"/>
    </row>
    <row r="277" spans="1:15">
      <c r="A277" s="12"/>
      <c r="B277" s="26"/>
      <c r="C277" s="12"/>
      <c r="D277" s="12"/>
      <c r="E277" s="12"/>
      <c r="F277" s="38"/>
      <c r="H277" s="3"/>
      <c r="O277" s="22"/>
    </row>
    <row r="278" spans="1:15">
      <c r="A278" s="12"/>
      <c r="B278" s="26"/>
      <c r="C278" s="12"/>
      <c r="D278" s="12"/>
      <c r="E278" s="12"/>
      <c r="F278" s="38"/>
      <c r="H278" s="3"/>
      <c r="O278" s="22"/>
    </row>
    <row r="279" spans="1:15">
      <c r="A279" s="12"/>
      <c r="B279" s="33"/>
      <c r="C279" s="20"/>
      <c r="D279" s="20"/>
      <c r="E279" s="20"/>
      <c r="F279" s="34"/>
      <c r="H279" s="3"/>
      <c r="O279" s="22"/>
    </row>
    <row r="280" spans="1:15">
      <c r="A280" s="12"/>
      <c r="B280" s="33"/>
      <c r="C280" s="20"/>
      <c r="D280" s="20"/>
      <c r="E280" s="20"/>
      <c r="F280" s="34"/>
      <c r="H280" s="3"/>
      <c r="O280" s="22"/>
    </row>
    <row r="281" spans="1:15">
      <c r="A281" s="12"/>
      <c r="B281" s="33"/>
      <c r="C281" s="20"/>
      <c r="D281" s="20"/>
      <c r="E281" s="20"/>
      <c r="F281" s="34"/>
      <c r="H281" s="3"/>
      <c r="O281" s="22"/>
    </row>
    <row r="287" spans="1:15">
      <c r="A287" s="12"/>
      <c r="B287" s="28"/>
      <c r="C287" s="12"/>
      <c r="D287" s="12"/>
      <c r="E287" s="12"/>
      <c r="H287" s="3"/>
      <c r="O287" s="22"/>
    </row>
    <row r="290" spans="1:16">
      <c r="A290" s="12"/>
      <c r="B290" s="26"/>
      <c r="C290" s="12"/>
      <c r="D290" s="12"/>
      <c r="E290" s="12"/>
      <c r="H290" s="3"/>
      <c r="O290" s="22"/>
    </row>
    <row r="291" spans="1:16">
      <c r="A291" s="12"/>
      <c r="B291" s="26"/>
      <c r="C291" s="12"/>
      <c r="D291" s="12"/>
      <c r="E291" s="12"/>
      <c r="H291" s="3"/>
      <c r="O291" s="22"/>
    </row>
    <row r="292" spans="1:16">
      <c r="A292" s="12"/>
      <c r="B292" s="26"/>
      <c r="C292" s="12"/>
      <c r="D292" s="12"/>
      <c r="E292" s="12"/>
      <c r="H292" s="3"/>
      <c r="O292" s="22"/>
    </row>
    <row r="293" spans="1:16">
      <c r="A293" s="12"/>
      <c r="B293" s="28"/>
      <c r="C293" s="12"/>
      <c r="D293" s="12"/>
      <c r="E293" s="12"/>
      <c r="H293" s="3"/>
      <c r="O293" s="22"/>
    </row>
    <row r="294" spans="1:16">
      <c r="A294" s="12"/>
      <c r="B294" s="28"/>
      <c r="C294" s="12"/>
      <c r="D294" s="12"/>
      <c r="E294" s="12"/>
      <c r="H294" s="3"/>
      <c r="O294" s="22"/>
    </row>
    <row r="295" spans="1:16">
      <c r="A295" s="12"/>
      <c r="B295" s="26"/>
      <c r="C295" s="12"/>
      <c r="D295" s="12"/>
      <c r="E295" s="12"/>
      <c r="H295" s="3"/>
      <c r="O295" s="22"/>
    </row>
    <row r="296" spans="1:16">
      <c r="A296" s="12"/>
      <c r="B296" s="33"/>
      <c r="C296" s="12"/>
      <c r="D296" s="12"/>
      <c r="E296" s="12"/>
      <c r="H296" s="3"/>
      <c r="O296" s="22"/>
    </row>
    <row r="297" spans="1:16">
      <c r="A297" s="12"/>
      <c r="B297" s="26"/>
      <c r="C297" s="12"/>
      <c r="D297" s="12"/>
      <c r="E297" s="12"/>
      <c r="H297" s="3"/>
      <c r="O297" s="22"/>
    </row>
    <row r="298" spans="1:16">
      <c r="A298" s="12"/>
      <c r="B298" s="26"/>
      <c r="C298" s="12"/>
      <c r="D298" s="12"/>
      <c r="E298" s="12"/>
      <c r="H298" s="3"/>
      <c r="O298" s="22"/>
    </row>
    <row r="299" spans="1:16">
      <c r="A299" s="12"/>
      <c r="B299" s="26"/>
      <c r="C299" s="12"/>
      <c r="D299" s="12"/>
      <c r="E299" s="12"/>
      <c r="H299" s="3"/>
      <c r="O299" s="22"/>
    </row>
    <row r="300" spans="1:16">
      <c r="A300" s="12"/>
      <c r="B300" s="26"/>
      <c r="C300" s="12"/>
      <c r="D300" s="12"/>
      <c r="E300" s="12"/>
      <c r="H300" s="3"/>
      <c r="I300" s="30"/>
      <c r="J300" s="31"/>
      <c r="O300" s="22"/>
    </row>
    <row r="301" spans="1:16">
      <c r="A301" s="12"/>
      <c r="B301" s="26"/>
      <c r="C301" s="12"/>
      <c r="D301" s="12"/>
      <c r="E301" s="12"/>
      <c r="H301" s="3"/>
      <c r="I301" s="30"/>
      <c r="J301" s="31"/>
      <c r="O301" s="22"/>
    </row>
    <row r="302" spans="1:16">
      <c r="A302" s="12"/>
      <c r="B302" s="28"/>
      <c r="C302" s="12"/>
      <c r="D302" s="12"/>
      <c r="E302" s="12"/>
      <c r="H302" s="3"/>
      <c r="N302" s="3"/>
      <c r="O302" s="30"/>
      <c r="P302" s="31"/>
    </row>
    <row r="303" spans="1:16">
      <c r="A303" s="12"/>
      <c r="B303" s="33"/>
      <c r="C303" s="12"/>
      <c r="D303" s="12"/>
      <c r="E303" s="12"/>
      <c r="H303" s="3"/>
      <c r="N303" s="3"/>
      <c r="O303" s="30"/>
      <c r="P303" s="31"/>
    </row>
    <row r="304" spans="1:16">
      <c r="A304" s="12"/>
      <c r="B304" s="33"/>
      <c r="C304" s="12"/>
      <c r="D304" s="12"/>
      <c r="E304" s="12"/>
      <c r="H304" s="3"/>
      <c r="N304" s="3"/>
      <c r="O304" s="30"/>
      <c r="P304" s="31"/>
    </row>
    <row r="305" spans="1:18">
      <c r="A305" s="12"/>
      <c r="B305" s="33"/>
      <c r="C305" s="12"/>
      <c r="D305" s="12"/>
      <c r="E305" s="12"/>
      <c r="H305" s="3"/>
      <c r="N305" s="3"/>
      <c r="O305" s="30"/>
      <c r="P305" s="31"/>
    </row>
    <row r="306" spans="1:18">
      <c r="A306" s="12"/>
      <c r="B306" s="33"/>
      <c r="C306" s="12"/>
      <c r="D306" s="12"/>
      <c r="E306" s="12"/>
      <c r="H306" s="3"/>
      <c r="N306" s="3"/>
      <c r="O306" s="30"/>
      <c r="P306" s="31"/>
    </row>
    <row r="307" spans="1:18">
      <c r="A307" s="12"/>
      <c r="B307" s="33"/>
      <c r="C307" s="20"/>
      <c r="D307" s="20"/>
      <c r="E307" s="20"/>
      <c r="F307" s="29"/>
      <c r="H307" s="3"/>
      <c r="O307" s="22"/>
    </row>
    <row r="308" spans="1:18">
      <c r="A308" s="12"/>
      <c r="B308" s="33"/>
      <c r="C308" s="20"/>
      <c r="D308" s="20"/>
      <c r="E308" s="20"/>
      <c r="F308" s="29"/>
      <c r="H308" s="3"/>
      <c r="O308" s="22"/>
    </row>
    <row r="309" spans="1:18">
      <c r="A309" s="12"/>
      <c r="B309" s="33"/>
      <c r="C309" s="20"/>
      <c r="D309" s="20"/>
      <c r="E309" s="20"/>
      <c r="F309" s="29"/>
      <c r="H309" s="3"/>
      <c r="O309" s="22"/>
    </row>
    <row r="310" spans="1:18">
      <c r="A310" s="41"/>
      <c r="B310" s="12"/>
      <c r="C310" s="17"/>
      <c r="D310" s="17"/>
      <c r="E310" s="17"/>
      <c r="F310" s="38"/>
      <c r="H310" s="3"/>
      <c r="O310" s="22"/>
    </row>
    <row r="311" spans="1:18">
      <c r="A311" s="12"/>
      <c r="B311" s="12"/>
      <c r="C311" s="17"/>
      <c r="D311" s="17"/>
      <c r="E311" s="17"/>
      <c r="F311" s="38"/>
      <c r="H311" s="3"/>
      <c r="O311" s="22"/>
    </row>
    <row r="312" spans="1:18">
      <c r="A312" s="17"/>
      <c r="B312" s="12"/>
      <c r="C312" s="17"/>
      <c r="D312" s="17"/>
      <c r="E312" s="17"/>
      <c r="F312" s="38"/>
      <c r="H312" s="3"/>
      <c r="O312" s="22"/>
    </row>
    <row r="313" spans="1:18">
      <c r="A313" s="41"/>
      <c r="B313" s="12"/>
      <c r="C313" s="12"/>
      <c r="D313" s="12"/>
      <c r="E313" s="12"/>
      <c r="H313" s="3"/>
      <c r="O313" s="22"/>
    </row>
    <row r="314" spans="1:18">
      <c r="A314" s="41"/>
      <c r="B314" s="12"/>
      <c r="C314" s="12"/>
      <c r="D314" s="12"/>
      <c r="E314" s="12"/>
      <c r="H314" s="3"/>
      <c r="O314" s="22"/>
    </row>
    <row r="315" spans="1:18" s="3" customFormat="1">
      <c r="A315" s="20"/>
      <c r="B315" s="20"/>
      <c r="C315" s="20"/>
      <c r="D315" s="20"/>
      <c r="E315" s="20"/>
      <c r="J315" s="23"/>
      <c r="O315" s="24"/>
      <c r="R315" s="25"/>
    </row>
    <row r="316" spans="1:18">
      <c r="A316" s="12"/>
      <c r="B316" s="12"/>
      <c r="C316" s="41"/>
      <c r="D316" s="41"/>
      <c r="E316" s="41"/>
      <c r="F316" s="29"/>
      <c r="H316" s="3"/>
      <c r="O316" s="22"/>
    </row>
    <row r="317" spans="1:18">
      <c r="A317" s="12"/>
      <c r="B317" s="33"/>
      <c r="C317" s="12"/>
      <c r="D317" s="12"/>
      <c r="E317" s="12"/>
      <c r="F317" s="29"/>
      <c r="H317" s="3"/>
      <c r="O317" s="22"/>
    </row>
    <row r="318" spans="1:18">
      <c r="A318" s="12"/>
      <c r="B318" s="12"/>
      <c r="C318" s="12"/>
      <c r="D318" s="12"/>
      <c r="E318" s="12"/>
      <c r="F318" s="29"/>
      <c r="H318" s="3"/>
      <c r="O318" s="22"/>
    </row>
    <row r="319" spans="1:18">
      <c r="A319" s="12"/>
      <c r="B319" s="28"/>
      <c r="C319" s="12"/>
      <c r="D319" s="12"/>
      <c r="E319" s="12"/>
      <c r="H319" s="3"/>
      <c r="O319" s="22"/>
    </row>
    <row r="320" spans="1:18">
      <c r="A320" s="12"/>
      <c r="B320" s="28"/>
      <c r="C320" s="12"/>
      <c r="D320" s="12"/>
      <c r="E320" s="12"/>
      <c r="H320" s="3"/>
      <c r="O320" s="22"/>
    </row>
    <row r="321" spans="1:18">
      <c r="A321" s="12"/>
      <c r="B321" s="28"/>
      <c r="C321" s="12"/>
      <c r="D321" s="12"/>
      <c r="E321" s="12"/>
      <c r="H321" s="3"/>
      <c r="O321" s="22"/>
    </row>
    <row r="322" spans="1:18">
      <c r="A322" s="12"/>
      <c r="B322" s="26"/>
      <c r="C322" s="12"/>
      <c r="D322" s="12"/>
      <c r="E322" s="12"/>
      <c r="H322" s="3"/>
      <c r="O322" s="22"/>
    </row>
    <row r="323" spans="1:18">
      <c r="A323" s="12"/>
      <c r="B323" s="26"/>
      <c r="C323" s="12"/>
      <c r="D323" s="12"/>
      <c r="E323" s="12"/>
      <c r="H323" s="3"/>
      <c r="O323" s="22"/>
    </row>
    <row r="324" spans="1:18">
      <c r="A324" s="12"/>
      <c r="B324" s="26"/>
      <c r="C324" s="12"/>
      <c r="D324" s="12"/>
      <c r="E324" s="12"/>
      <c r="H324" s="3"/>
      <c r="I324" s="30"/>
      <c r="J324" s="31"/>
      <c r="O324" s="22"/>
    </row>
    <row r="325" spans="1:18">
      <c r="A325" s="12"/>
      <c r="B325" s="28"/>
      <c r="C325" s="12"/>
      <c r="D325" s="12"/>
      <c r="E325" s="12"/>
      <c r="H325" s="3"/>
      <c r="I325" s="30"/>
      <c r="J325" s="31"/>
      <c r="O325" s="22"/>
    </row>
    <row r="326" spans="1:18">
      <c r="A326" s="12"/>
      <c r="B326" s="28"/>
      <c r="C326" s="12"/>
      <c r="D326" s="12"/>
      <c r="E326" s="12"/>
      <c r="H326" s="3"/>
      <c r="N326" s="3"/>
      <c r="O326" s="30"/>
      <c r="P326" s="31"/>
      <c r="R326" s="2"/>
    </row>
    <row r="327" spans="1:18">
      <c r="A327" s="12"/>
      <c r="B327" s="28"/>
      <c r="C327" s="12"/>
      <c r="D327" s="12"/>
      <c r="E327" s="12"/>
      <c r="H327" s="3"/>
      <c r="O327" s="22"/>
    </row>
    <row r="328" spans="1:18">
      <c r="A328" s="12"/>
      <c r="B328" s="28"/>
      <c r="C328" s="12"/>
      <c r="D328" s="12"/>
      <c r="E328" s="12"/>
      <c r="H328" s="3"/>
      <c r="O328" s="22"/>
    </row>
    <row r="329" spans="1:18">
      <c r="A329" s="12"/>
      <c r="B329" s="33"/>
      <c r="C329" s="12"/>
      <c r="D329" s="12"/>
      <c r="E329" s="12"/>
      <c r="H329" s="3"/>
      <c r="O329" s="22"/>
    </row>
    <row r="330" spans="1:18">
      <c r="A330" s="12"/>
      <c r="B330" s="33"/>
      <c r="C330" s="12"/>
      <c r="D330" s="12"/>
      <c r="E330" s="12"/>
      <c r="H330" s="3"/>
      <c r="O330" s="22"/>
    </row>
    <row r="331" spans="1:18">
      <c r="A331" s="12"/>
      <c r="B331" s="33"/>
      <c r="C331" s="12"/>
      <c r="D331" s="12"/>
      <c r="E331" s="12"/>
      <c r="H331" s="3"/>
      <c r="O331" s="22"/>
    </row>
    <row r="332" spans="1:18">
      <c r="A332" s="12"/>
      <c r="B332" s="33"/>
      <c r="C332" s="12"/>
      <c r="D332" s="12"/>
      <c r="E332" s="12"/>
      <c r="H332" s="3"/>
      <c r="O332" s="22"/>
    </row>
    <row r="333" spans="1:18">
      <c r="A333" s="12"/>
      <c r="B333" s="33"/>
      <c r="C333" s="20"/>
      <c r="D333" s="20"/>
      <c r="E333" s="20"/>
      <c r="F333" s="29"/>
      <c r="H333" s="3"/>
      <c r="O333" s="22"/>
    </row>
    <row r="334" spans="1:18">
      <c r="A334" s="12"/>
      <c r="B334" s="33"/>
      <c r="C334" s="20"/>
      <c r="D334" s="20"/>
      <c r="E334" s="20"/>
      <c r="F334" s="29"/>
      <c r="H334" s="3"/>
      <c r="O334" s="22"/>
    </row>
    <row r="335" spans="1:18">
      <c r="A335" s="12"/>
      <c r="B335" s="33"/>
      <c r="C335" s="20"/>
      <c r="D335" s="20"/>
      <c r="E335" s="20"/>
      <c r="F335" s="29"/>
      <c r="H335" s="3"/>
      <c r="O335" s="22"/>
    </row>
    <row r="336" spans="1:18">
      <c r="A336" s="41"/>
      <c r="B336" s="12"/>
      <c r="C336" s="17"/>
      <c r="D336" s="17"/>
      <c r="E336" s="17"/>
      <c r="F336" s="38"/>
      <c r="H336" s="3"/>
      <c r="O336" s="22"/>
    </row>
    <row r="337" spans="1:18">
      <c r="A337" s="12"/>
      <c r="B337" s="12"/>
      <c r="C337" s="17"/>
      <c r="D337" s="17"/>
      <c r="E337" s="17"/>
      <c r="F337" s="38"/>
      <c r="H337" s="3"/>
      <c r="O337" s="22"/>
    </row>
    <row r="338" spans="1:18">
      <c r="A338" s="17"/>
      <c r="B338" s="12"/>
      <c r="C338" s="17"/>
      <c r="D338" s="17"/>
      <c r="E338" s="17"/>
      <c r="F338" s="38"/>
      <c r="H338" s="3"/>
      <c r="O338" s="22"/>
    </row>
    <row r="339" spans="1:18">
      <c r="A339" s="41"/>
      <c r="B339" s="12"/>
      <c r="C339" s="12"/>
      <c r="D339" s="12"/>
      <c r="E339" s="12"/>
      <c r="H339" s="3"/>
      <c r="O339" s="22"/>
    </row>
    <row r="340" spans="1:18">
      <c r="A340" s="41"/>
      <c r="B340" s="12"/>
      <c r="C340" s="12"/>
      <c r="D340" s="12"/>
      <c r="E340" s="12"/>
      <c r="H340" s="3"/>
      <c r="O340" s="22"/>
    </row>
    <row r="341" spans="1:18" s="3" customFormat="1">
      <c r="A341" s="20"/>
      <c r="B341" s="20"/>
      <c r="C341" s="20"/>
      <c r="D341" s="20"/>
      <c r="E341" s="20"/>
      <c r="J341" s="23"/>
      <c r="O341" s="24"/>
      <c r="R341" s="25"/>
    </row>
    <row r="342" spans="1:18">
      <c r="A342" s="12"/>
      <c r="B342" s="12"/>
      <c r="C342" s="41"/>
      <c r="D342" s="41"/>
      <c r="E342" s="41"/>
      <c r="H342" s="3"/>
      <c r="O342" s="22"/>
    </row>
    <row r="343" spans="1:18">
      <c r="A343" s="12"/>
      <c r="B343" s="33"/>
      <c r="C343" s="12"/>
      <c r="D343" s="12"/>
      <c r="E343" s="12"/>
      <c r="H343" s="3"/>
      <c r="O343" s="22"/>
    </row>
    <row r="344" spans="1:18">
      <c r="A344" s="12"/>
      <c r="B344" s="12"/>
      <c r="C344" s="12"/>
      <c r="D344" s="12"/>
      <c r="E344" s="12"/>
      <c r="H344" s="3"/>
      <c r="O344" s="22"/>
    </row>
    <row r="345" spans="1:18">
      <c r="A345" s="12"/>
      <c r="B345" s="28"/>
      <c r="C345" s="12"/>
      <c r="D345" s="12"/>
      <c r="E345" s="12"/>
      <c r="H345" s="3"/>
      <c r="O345" s="22"/>
    </row>
    <row r="346" spans="1:18">
      <c r="A346" s="12"/>
      <c r="B346" s="26"/>
      <c r="C346" s="12"/>
      <c r="D346" s="12"/>
      <c r="E346" s="12"/>
      <c r="H346" s="3"/>
      <c r="O346" s="22"/>
    </row>
    <row r="347" spans="1:18">
      <c r="A347" s="12"/>
      <c r="B347" s="28"/>
      <c r="C347" s="12"/>
      <c r="D347" s="12"/>
      <c r="E347" s="12"/>
      <c r="H347" s="3"/>
      <c r="O347" s="22"/>
    </row>
    <row r="348" spans="1:18">
      <c r="A348" s="12"/>
      <c r="B348" s="26"/>
      <c r="C348" s="12"/>
      <c r="D348" s="12"/>
      <c r="E348" s="12"/>
      <c r="H348" s="3"/>
      <c r="I348" s="30"/>
      <c r="J348" s="31"/>
      <c r="O348" s="22"/>
    </row>
    <row r="349" spans="1:18">
      <c r="A349" s="12"/>
      <c r="B349" s="26"/>
      <c r="C349" s="12"/>
      <c r="D349" s="12"/>
      <c r="E349" s="12"/>
      <c r="H349" s="3"/>
      <c r="I349" s="30"/>
      <c r="J349" s="31"/>
      <c r="O349" s="22"/>
    </row>
    <row r="350" spans="1:18">
      <c r="A350" s="12"/>
      <c r="B350" s="26"/>
      <c r="C350" s="12"/>
      <c r="D350" s="12"/>
      <c r="E350" s="12"/>
      <c r="H350" s="3"/>
      <c r="N350" s="3"/>
      <c r="O350" s="30"/>
      <c r="P350" s="31"/>
      <c r="R350" s="2"/>
    </row>
    <row r="351" spans="1:18">
      <c r="A351" s="12"/>
      <c r="B351" s="26"/>
      <c r="C351" s="12"/>
      <c r="D351" s="12"/>
      <c r="E351" s="12"/>
      <c r="H351" s="3"/>
      <c r="O351" s="22"/>
    </row>
    <row r="352" spans="1:18">
      <c r="A352" s="12"/>
      <c r="B352" s="26"/>
      <c r="C352" s="12"/>
      <c r="D352" s="12"/>
      <c r="E352" s="12"/>
      <c r="H352" s="3"/>
      <c r="O352" s="22"/>
    </row>
    <row r="353" spans="1:18">
      <c r="A353" s="12"/>
      <c r="B353" s="28"/>
      <c r="C353" s="12"/>
      <c r="D353" s="12"/>
      <c r="E353" s="12"/>
      <c r="H353" s="3"/>
      <c r="O353" s="22"/>
    </row>
    <row r="354" spans="1:18">
      <c r="A354" s="12"/>
      <c r="B354" s="33"/>
      <c r="C354" s="12"/>
      <c r="D354" s="12"/>
      <c r="E354" s="12"/>
      <c r="H354" s="3"/>
      <c r="O354" s="22"/>
    </row>
    <row r="355" spans="1:18">
      <c r="A355" s="12"/>
      <c r="B355" s="33"/>
      <c r="C355" s="12"/>
      <c r="D355" s="12"/>
      <c r="E355" s="12"/>
      <c r="H355" s="3"/>
      <c r="O355" s="22"/>
    </row>
    <row r="356" spans="1:18">
      <c r="A356" s="12"/>
      <c r="B356" s="33"/>
      <c r="C356" s="12"/>
      <c r="D356" s="12"/>
      <c r="E356" s="12"/>
      <c r="H356" s="3"/>
      <c r="O356" s="22"/>
    </row>
    <row r="357" spans="1:18">
      <c r="A357" s="12"/>
      <c r="B357" s="33"/>
      <c r="C357" s="12"/>
      <c r="D357" s="12"/>
      <c r="E357" s="12"/>
      <c r="H357" s="3"/>
      <c r="O357" s="22"/>
    </row>
    <row r="358" spans="1:18">
      <c r="A358" s="12"/>
      <c r="B358" s="33"/>
      <c r="C358" s="20"/>
      <c r="D358" s="20"/>
      <c r="E358" s="20"/>
      <c r="F358" s="29"/>
      <c r="H358" s="3"/>
      <c r="O358" s="22"/>
    </row>
    <row r="359" spans="1:18">
      <c r="A359" s="12"/>
      <c r="B359" s="33"/>
      <c r="C359" s="20"/>
      <c r="D359" s="20"/>
      <c r="E359" s="20"/>
      <c r="F359" s="29"/>
      <c r="H359" s="3"/>
      <c r="O359" s="22"/>
    </row>
    <row r="360" spans="1:18">
      <c r="A360" s="12"/>
      <c r="B360" s="33"/>
      <c r="C360" s="20"/>
      <c r="D360" s="20"/>
      <c r="E360" s="20"/>
      <c r="F360" s="29"/>
      <c r="H360" s="3"/>
      <c r="O360" s="22"/>
    </row>
    <row r="361" spans="1:18">
      <c r="A361" s="41"/>
      <c r="B361" s="12"/>
      <c r="C361" s="17"/>
      <c r="D361" s="17"/>
      <c r="E361" s="17"/>
      <c r="F361" s="38"/>
      <c r="H361" s="3"/>
      <c r="O361" s="22"/>
    </row>
    <row r="362" spans="1:18">
      <c r="A362" s="12"/>
      <c r="B362" s="12"/>
      <c r="C362" s="17"/>
      <c r="D362" s="17"/>
      <c r="E362" s="17"/>
      <c r="F362" s="38"/>
      <c r="H362" s="3"/>
      <c r="O362" s="22"/>
    </row>
    <row r="363" spans="1:18">
      <c r="A363" s="17"/>
      <c r="B363" s="12"/>
      <c r="C363" s="17"/>
      <c r="D363" s="17"/>
      <c r="E363" s="17"/>
      <c r="F363" s="38"/>
      <c r="H363" s="3"/>
      <c r="O363" s="22"/>
    </row>
    <row r="364" spans="1:18">
      <c r="A364" s="41"/>
      <c r="B364" s="12"/>
      <c r="C364" s="12"/>
      <c r="D364" s="12"/>
      <c r="E364" s="12"/>
      <c r="H364" s="3"/>
      <c r="O364" s="22"/>
    </row>
    <row r="365" spans="1:18">
      <c r="A365" s="41"/>
      <c r="B365" s="12"/>
      <c r="C365" s="12"/>
      <c r="D365" s="12"/>
      <c r="E365" s="12"/>
      <c r="H365" s="3"/>
      <c r="O365" s="22"/>
    </row>
    <row r="366" spans="1:18" s="3" customFormat="1">
      <c r="A366" s="20"/>
      <c r="B366" s="20"/>
      <c r="C366" s="20"/>
      <c r="D366" s="20"/>
      <c r="E366" s="20"/>
      <c r="J366" s="23"/>
      <c r="O366" s="24"/>
      <c r="R366" s="25"/>
    </row>
    <row r="367" spans="1:18">
      <c r="A367" s="12"/>
      <c r="B367" s="12"/>
      <c r="C367" s="41"/>
      <c r="D367" s="41"/>
      <c r="E367" s="41"/>
      <c r="H367" s="3"/>
      <c r="O367" s="22"/>
    </row>
    <row r="368" spans="1:18">
      <c r="A368" s="12"/>
      <c r="B368" s="33"/>
      <c r="C368" s="12"/>
      <c r="D368" s="12"/>
      <c r="E368" s="12"/>
      <c r="H368" s="3"/>
      <c r="O368" s="22"/>
    </row>
    <row r="369" spans="1:15">
      <c r="A369" s="12"/>
      <c r="B369" s="12"/>
      <c r="C369" s="12"/>
      <c r="D369" s="12"/>
      <c r="E369" s="12"/>
      <c r="H369" s="3"/>
      <c r="O369" s="22"/>
    </row>
    <row r="370" spans="1:15">
      <c r="A370" s="12"/>
      <c r="B370" s="28"/>
      <c r="C370" s="12"/>
      <c r="D370" s="12"/>
      <c r="E370" s="12"/>
      <c r="H370" s="3"/>
      <c r="O370" s="22"/>
    </row>
    <row r="371" spans="1:15">
      <c r="A371" s="12"/>
      <c r="B371" s="33"/>
      <c r="C371" s="12"/>
      <c r="D371" s="12"/>
      <c r="E371" s="12"/>
      <c r="H371" s="3"/>
      <c r="O371" s="22"/>
    </row>
    <row r="372" spans="1:15">
      <c r="A372" s="12"/>
      <c r="B372" s="33"/>
      <c r="C372" s="12"/>
      <c r="D372" s="12"/>
      <c r="E372" s="12"/>
      <c r="H372" s="3"/>
      <c r="O372" s="22"/>
    </row>
    <row r="373" spans="1:15">
      <c r="A373" s="12"/>
      <c r="B373" s="33"/>
      <c r="C373" s="12"/>
      <c r="D373" s="12"/>
      <c r="E373" s="12"/>
      <c r="H373" s="3"/>
      <c r="O373" s="22"/>
    </row>
    <row r="374" spans="1:15">
      <c r="A374" s="12"/>
      <c r="B374" s="33"/>
      <c r="C374" s="12"/>
      <c r="D374" s="12"/>
      <c r="E374" s="12"/>
      <c r="H374" s="3"/>
      <c r="O374" s="22"/>
    </row>
    <row r="375" spans="1:15">
      <c r="A375" s="12"/>
      <c r="B375" s="33"/>
      <c r="C375" s="12"/>
      <c r="D375" s="12"/>
      <c r="E375" s="12"/>
      <c r="H375" s="3"/>
      <c r="O375" s="22"/>
    </row>
    <row r="376" spans="1:15">
      <c r="A376" s="12"/>
      <c r="B376" s="33"/>
      <c r="C376" s="12"/>
      <c r="D376" s="12"/>
      <c r="E376" s="12"/>
      <c r="H376" s="3"/>
      <c r="O376" s="22"/>
    </row>
    <row r="377" spans="1:15">
      <c r="A377" s="12"/>
      <c r="B377" s="33"/>
      <c r="C377" s="12"/>
      <c r="D377" s="12"/>
      <c r="E377" s="12"/>
      <c r="H377" s="3"/>
      <c r="O377" s="22"/>
    </row>
    <row r="378" spans="1:15">
      <c r="A378" s="12"/>
      <c r="B378" s="33"/>
      <c r="C378" s="12"/>
      <c r="D378" s="12"/>
      <c r="E378" s="12"/>
      <c r="H378" s="3"/>
      <c r="O378" s="22"/>
    </row>
    <row r="379" spans="1:15">
      <c r="A379" s="12"/>
      <c r="B379" s="33"/>
      <c r="C379" s="12"/>
      <c r="D379" s="12"/>
      <c r="E379" s="12"/>
      <c r="H379" s="3"/>
      <c r="O379" s="22"/>
    </row>
    <row r="380" spans="1:15">
      <c r="A380" s="12"/>
      <c r="B380" s="33"/>
      <c r="C380" s="12"/>
      <c r="D380" s="12"/>
      <c r="E380" s="12"/>
      <c r="H380" s="3"/>
      <c r="O380" s="22"/>
    </row>
    <row r="381" spans="1:15">
      <c r="A381" s="12"/>
      <c r="B381" s="33"/>
      <c r="C381" s="12"/>
      <c r="D381" s="12"/>
      <c r="E381" s="12"/>
      <c r="H381" s="3"/>
      <c r="O381" s="22"/>
    </row>
    <row r="382" spans="1:15">
      <c r="A382" s="12"/>
      <c r="B382" s="33"/>
      <c r="C382" s="12"/>
      <c r="D382" s="12"/>
      <c r="E382" s="12"/>
      <c r="H382" s="3"/>
      <c r="O382" s="22"/>
    </row>
    <row r="383" spans="1:15">
      <c r="A383" s="12"/>
      <c r="B383" s="33"/>
      <c r="C383" s="12"/>
      <c r="D383" s="12"/>
      <c r="E383" s="12"/>
      <c r="H383" s="3"/>
      <c r="O383" s="22"/>
    </row>
    <row r="384" spans="1:15">
      <c r="A384" s="12"/>
      <c r="B384" s="33"/>
      <c r="C384" s="20"/>
      <c r="D384" s="20"/>
      <c r="E384" s="20"/>
      <c r="F384" s="29"/>
      <c r="H384" s="3"/>
      <c r="O384" s="22"/>
    </row>
    <row r="385" spans="1:18">
      <c r="A385" s="12"/>
      <c r="B385" s="33"/>
      <c r="C385" s="20"/>
      <c r="D385" s="20"/>
      <c r="E385" s="20"/>
      <c r="F385" s="29"/>
      <c r="H385" s="3"/>
      <c r="O385" s="22"/>
    </row>
    <row r="386" spans="1:18">
      <c r="A386" s="12"/>
      <c r="B386" s="33"/>
      <c r="C386" s="20"/>
      <c r="D386" s="20"/>
      <c r="E386" s="20"/>
      <c r="F386" s="29"/>
      <c r="H386" s="3"/>
      <c r="O386" s="22"/>
    </row>
    <row r="387" spans="1:18">
      <c r="A387" s="41"/>
      <c r="B387" s="12"/>
      <c r="C387" s="17"/>
      <c r="D387" s="17"/>
      <c r="E387" s="17"/>
      <c r="F387" s="38"/>
      <c r="H387" s="3"/>
      <c r="O387" s="22"/>
    </row>
    <row r="388" spans="1:18">
      <c r="A388" s="12"/>
      <c r="B388" s="12"/>
      <c r="C388" s="17"/>
      <c r="D388" s="17"/>
      <c r="E388" s="17"/>
      <c r="F388" s="38"/>
      <c r="H388" s="3"/>
      <c r="O388" s="22"/>
    </row>
    <row r="389" spans="1:18">
      <c r="A389" s="17"/>
      <c r="B389" s="12"/>
      <c r="C389" s="17"/>
      <c r="D389" s="17"/>
      <c r="E389" s="17"/>
      <c r="F389" s="38"/>
      <c r="H389" s="3"/>
      <c r="O389" s="22"/>
    </row>
    <row r="390" spans="1:18">
      <c r="A390" s="41"/>
      <c r="B390" s="12"/>
      <c r="C390" s="12"/>
      <c r="D390" s="12"/>
      <c r="E390" s="12"/>
      <c r="H390" s="3"/>
      <c r="O390" s="22"/>
    </row>
    <row r="391" spans="1:18">
      <c r="A391" s="41"/>
      <c r="B391" s="12"/>
      <c r="C391" s="12"/>
      <c r="D391" s="12"/>
      <c r="E391" s="12"/>
      <c r="H391" s="3"/>
      <c r="O391" s="22"/>
    </row>
    <row r="392" spans="1:18" s="3" customFormat="1">
      <c r="A392" s="20"/>
      <c r="B392" s="20"/>
      <c r="C392" s="20"/>
      <c r="D392" s="20"/>
      <c r="E392" s="20"/>
      <c r="J392" s="23"/>
      <c r="O392" s="24"/>
      <c r="R392" s="25"/>
    </row>
    <row r="393" spans="1:18">
      <c r="A393" s="12"/>
      <c r="B393" s="12"/>
      <c r="C393" s="41"/>
      <c r="D393" s="41"/>
      <c r="E393" s="41"/>
      <c r="H393" s="3"/>
      <c r="O393" s="22"/>
    </row>
    <row r="394" spans="1:18">
      <c r="A394" s="12"/>
      <c r="B394" s="41"/>
      <c r="C394" s="12"/>
      <c r="D394" s="12"/>
      <c r="E394" s="12"/>
      <c r="H394" s="3"/>
      <c r="O394" s="22"/>
    </row>
    <row r="395" spans="1:18">
      <c r="A395" s="12"/>
      <c r="B395" s="41"/>
      <c r="C395" s="12"/>
      <c r="D395" s="12"/>
      <c r="E395" s="12"/>
      <c r="H395" s="3"/>
      <c r="O395" s="22"/>
    </row>
    <row r="396" spans="1:18">
      <c r="A396" s="12"/>
      <c r="B396" s="41"/>
      <c r="C396" s="41"/>
      <c r="D396" s="41"/>
      <c r="E396" s="41"/>
      <c r="F396" s="29"/>
      <c r="H396" s="3"/>
      <c r="O396" s="22"/>
    </row>
    <row r="397" spans="1:18">
      <c r="A397" s="12"/>
      <c r="B397" s="12"/>
      <c r="C397" s="12"/>
      <c r="D397" s="12"/>
      <c r="E397" s="12"/>
      <c r="H397" s="3"/>
      <c r="O397" s="22"/>
    </row>
    <row r="398" spans="1:18">
      <c r="A398" s="12"/>
      <c r="B398" s="12"/>
      <c r="C398" s="12"/>
      <c r="D398" s="12"/>
      <c r="E398" s="12"/>
      <c r="F398" s="29"/>
      <c r="H398" s="3"/>
      <c r="O398" s="22"/>
    </row>
    <row r="399" spans="1:18">
      <c r="A399" s="12"/>
      <c r="B399" s="41"/>
      <c r="C399" s="12"/>
      <c r="D399" s="12"/>
      <c r="E399" s="12"/>
      <c r="F399" s="29"/>
      <c r="H399" s="3"/>
      <c r="O399" s="22"/>
    </row>
    <row r="400" spans="1:18">
      <c r="A400" s="12"/>
      <c r="B400" s="41"/>
      <c r="C400" s="12"/>
      <c r="D400" s="12"/>
      <c r="E400" s="12"/>
      <c r="F400" s="29"/>
      <c r="H400" s="3"/>
      <c r="O400" s="22"/>
    </row>
    <row r="401" spans="1:18">
      <c r="A401" s="12"/>
      <c r="B401" s="41"/>
      <c r="C401" s="12"/>
      <c r="D401" s="12"/>
      <c r="E401" s="12"/>
      <c r="F401" s="29"/>
      <c r="H401" s="3"/>
      <c r="O401" s="22"/>
    </row>
    <row r="402" spans="1:18">
      <c r="A402" s="12"/>
      <c r="B402" s="41"/>
      <c r="C402" s="12"/>
      <c r="D402" s="12"/>
      <c r="E402" s="12"/>
      <c r="F402" s="29"/>
      <c r="H402" s="3"/>
      <c r="O402" s="22"/>
    </row>
    <row r="403" spans="1:18">
      <c r="A403" s="12"/>
      <c r="B403" s="33"/>
      <c r="C403" s="20"/>
      <c r="D403" s="20"/>
      <c r="E403" s="20"/>
      <c r="F403" s="29"/>
      <c r="H403" s="3"/>
      <c r="O403" s="22"/>
    </row>
    <row r="404" spans="1:18">
      <c r="A404" s="12"/>
      <c r="B404" s="33"/>
      <c r="C404" s="20"/>
      <c r="D404" s="20"/>
      <c r="E404" s="20"/>
      <c r="F404" s="29"/>
      <c r="H404" s="3"/>
      <c r="O404" s="22"/>
    </row>
    <row r="405" spans="1:18">
      <c r="A405" s="12"/>
      <c r="B405" s="33"/>
      <c r="C405" s="20"/>
      <c r="D405" s="20"/>
      <c r="E405" s="20"/>
      <c r="F405" s="29"/>
      <c r="H405" s="3"/>
      <c r="O405" s="22"/>
    </row>
    <row r="406" spans="1:18">
      <c r="A406" s="41"/>
      <c r="B406" s="12"/>
      <c r="C406" s="17"/>
      <c r="D406" s="17"/>
      <c r="E406" s="17"/>
      <c r="F406" s="38"/>
      <c r="H406" s="3"/>
      <c r="O406" s="22"/>
    </row>
    <row r="407" spans="1:18">
      <c r="A407" s="12"/>
      <c r="B407" s="12"/>
      <c r="C407" s="17"/>
      <c r="D407" s="17"/>
      <c r="E407" s="17"/>
      <c r="F407" s="38"/>
      <c r="H407" s="3"/>
      <c r="O407" s="22"/>
    </row>
    <row r="408" spans="1:18">
      <c r="A408" s="17"/>
      <c r="B408" s="12"/>
      <c r="C408" s="17"/>
      <c r="D408" s="17"/>
      <c r="E408" s="17"/>
      <c r="F408" s="38"/>
      <c r="H408" s="3"/>
      <c r="O408" s="22"/>
    </row>
    <row r="409" spans="1:18">
      <c r="A409" s="41"/>
      <c r="B409" s="12"/>
      <c r="C409" s="12"/>
      <c r="D409" s="12"/>
      <c r="E409" s="12"/>
      <c r="H409" s="3"/>
      <c r="O409" s="22"/>
    </row>
    <row r="410" spans="1:18">
      <c r="A410" s="41"/>
      <c r="B410" s="12"/>
      <c r="C410" s="12"/>
      <c r="D410" s="12"/>
      <c r="E410" s="12"/>
      <c r="H410" s="3"/>
      <c r="O410" s="22"/>
    </row>
    <row r="411" spans="1:18" s="3" customFormat="1">
      <c r="A411" s="20"/>
      <c r="B411" s="20"/>
      <c r="C411" s="20"/>
      <c r="D411" s="20"/>
      <c r="E411" s="20"/>
      <c r="J411" s="23"/>
      <c r="O411" s="24"/>
      <c r="R411" s="25"/>
    </row>
    <row r="412" spans="1:18">
      <c r="A412" s="12"/>
      <c r="B412" s="12"/>
      <c r="C412" s="41"/>
      <c r="D412" s="41"/>
      <c r="E412" s="41"/>
      <c r="H412" s="3"/>
      <c r="O412" s="22"/>
    </row>
    <row r="413" spans="1:18">
      <c r="A413" s="12"/>
      <c r="B413" s="33"/>
      <c r="C413" s="12"/>
      <c r="D413" s="12"/>
      <c r="E413" s="12"/>
      <c r="H413" s="3"/>
      <c r="O413" s="22"/>
    </row>
    <row r="414" spans="1:18">
      <c r="A414" s="12"/>
      <c r="B414" s="12"/>
      <c r="C414" s="12"/>
      <c r="D414" s="12"/>
      <c r="E414" s="12"/>
      <c r="H414" s="3"/>
      <c r="O414" s="22"/>
    </row>
    <row r="415" spans="1:18">
      <c r="A415" s="12"/>
      <c r="B415" s="28"/>
      <c r="C415" s="12"/>
      <c r="D415" s="12"/>
      <c r="E415" s="12"/>
      <c r="H415" s="3"/>
      <c r="O415" s="22"/>
    </row>
    <row r="416" spans="1:18">
      <c r="A416" s="12"/>
      <c r="B416" s="33"/>
      <c r="C416" s="12"/>
      <c r="D416" s="12"/>
      <c r="E416" s="12"/>
      <c r="H416" s="3"/>
      <c r="O416" s="22"/>
    </row>
    <row r="417" spans="1:15">
      <c r="A417" s="12"/>
      <c r="B417" s="33"/>
      <c r="C417" s="12"/>
      <c r="D417" s="12"/>
      <c r="E417" s="12"/>
      <c r="H417" s="3"/>
      <c r="O417" s="22"/>
    </row>
    <row r="418" spans="1:15">
      <c r="A418" s="12"/>
      <c r="B418" s="33"/>
      <c r="C418" s="12"/>
      <c r="D418" s="12"/>
      <c r="E418" s="12"/>
      <c r="H418" s="3"/>
      <c r="O418" s="22"/>
    </row>
    <row r="419" spans="1:15">
      <c r="A419" s="12"/>
      <c r="B419" s="33"/>
      <c r="C419" s="12"/>
      <c r="D419" s="12"/>
      <c r="E419" s="12"/>
      <c r="H419" s="3"/>
      <c r="O419" s="22"/>
    </row>
    <row r="420" spans="1:15">
      <c r="A420" s="12"/>
      <c r="B420" s="33"/>
      <c r="C420" s="12"/>
      <c r="D420" s="12"/>
      <c r="E420" s="12"/>
      <c r="H420" s="3"/>
      <c r="O420" s="22"/>
    </row>
    <row r="421" spans="1:15">
      <c r="A421" s="12"/>
      <c r="B421" s="33"/>
      <c r="C421" s="12"/>
      <c r="D421" s="12"/>
      <c r="E421" s="12"/>
      <c r="H421" s="3"/>
      <c r="O421" s="22"/>
    </row>
    <row r="422" spans="1:15">
      <c r="A422" s="12"/>
      <c r="B422" s="33"/>
      <c r="C422" s="12"/>
      <c r="D422" s="12"/>
      <c r="E422" s="12"/>
      <c r="H422" s="3"/>
      <c r="O422" s="22"/>
    </row>
    <row r="423" spans="1:15">
      <c r="A423" s="12"/>
      <c r="B423" s="33"/>
      <c r="C423" s="12"/>
      <c r="D423" s="12"/>
      <c r="E423" s="12"/>
      <c r="H423" s="3"/>
      <c r="O423" s="22"/>
    </row>
    <row r="424" spans="1:15">
      <c r="A424" s="12"/>
      <c r="B424" s="33"/>
      <c r="C424" s="12"/>
      <c r="D424" s="12"/>
      <c r="E424" s="12"/>
      <c r="H424" s="3"/>
      <c r="O424" s="22"/>
    </row>
    <row r="425" spans="1:15">
      <c r="A425" s="12"/>
      <c r="B425" s="33"/>
      <c r="C425" s="12"/>
      <c r="D425" s="12"/>
      <c r="E425" s="12"/>
      <c r="H425" s="3"/>
      <c r="O425" s="22"/>
    </row>
    <row r="426" spans="1:15">
      <c r="A426" s="12"/>
      <c r="B426" s="33"/>
      <c r="C426" s="12"/>
      <c r="D426" s="12"/>
      <c r="E426" s="12"/>
      <c r="H426" s="3"/>
      <c r="O426" s="22"/>
    </row>
    <row r="427" spans="1:15">
      <c r="A427" s="12"/>
      <c r="B427" s="28"/>
      <c r="C427" s="12"/>
      <c r="D427" s="12"/>
      <c r="E427" s="12"/>
      <c r="H427" s="3"/>
      <c r="O427" s="22"/>
    </row>
    <row r="428" spans="1:15">
      <c r="A428" s="12"/>
      <c r="B428" s="26"/>
      <c r="C428" s="12"/>
      <c r="D428" s="12"/>
      <c r="E428" s="12"/>
      <c r="H428" s="3"/>
      <c r="O428" s="22"/>
    </row>
    <row r="429" spans="1:15">
      <c r="A429" s="12"/>
      <c r="B429" s="33"/>
      <c r="C429" s="12"/>
      <c r="D429" s="12"/>
      <c r="E429" s="12"/>
      <c r="H429" s="3"/>
      <c r="O429" s="22"/>
    </row>
    <row r="430" spans="1:15">
      <c r="A430" s="12"/>
      <c r="B430" s="33"/>
      <c r="C430" s="12"/>
      <c r="D430" s="12"/>
      <c r="E430" s="12"/>
      <c r="H430" s="3"/>
      <c r="O430" s="22"/>
    </row>
    <row r="431" spans="1:15">
      <c r="A431" s="12"/>
      <c r="B431" s="33"/>
      <c r="C431" s="12"/>
      <c r="D431" s="12"/>
      <c r="E431" s="12"/>
      <c r="H431" s="3"/>
      <c r="I431" s="30"/>
      <c r="J431" s="42"/>
      <c r="O431" s="22"/>
    </row>
    <row r="432" spans="1:15">
      <c r="A432" s="12"/>
      <c r="B432" s="33"/>
      <c r="C432" s="12"/>
      <c r="D432" s="12"/>
      <c r="E432" s="12"/>
      <c r="H432" s="3"/>
      <c r="I432" s="30"/>
      <c r="J432" s="31"/>
      <c r="O432" s="22"/>
    </row>
    <row r="433" spans="1:22">
      <c r="A433" s="12"/>
      <c r="B433" s="33"/>
      <c r="C433" s="12"/>
      <c r="D433" s="12"/>
      <c r="E433" s="12"/>
      <c r="H433" s="3"/>
      <c r="N433" s="3"/>
      <c r="O433" s="30"/>
      <c r="P433" s="31"/>
      <c r="R433" s="2"/>
    </row>
    <row r="434" spans="1:22">
      <c r="A434" s="12"/>
      <c r="B434" s="33"/>
      <c r="C434" s="12"/>
      <c r="D434" s="12"/>
      <c r="E434" s="12"/>
      <c r="H434" s="3"/>
      <c r="O434" s="22"/>
    </row>
    <row r="435" spans="1:22">
      <c r="A435" s="12"/>
      <c r="B435" s="26"/>
      <c r="C435" s="12"/>
      <c r="D435" s="12"/>
      <c r="E435" s="12"/>
      <c r="H435" s="3"/>
      <c r="O435" s="22"/>
    </row>
    <row r="436" spans="1:22">
      <c r="A436" s="12"/>
      <c r="B436" s="28"/>
      <c r="C436" s="12"/>
      <c r="D436" s="12"/>
      <c r="E436" s="12"/>
      <c r="H436" s="3"/>
      <c r="O436" s="22"/>
    </row>
    <row r="437" spans="1:22">
      <c r="A437" s="12"/>
      <c r="B437" s="28"/>
      <c r="C437" s="12"/>
      <c r="D437" s="12"/>
      <c r="E437" s="12"/>
      <c r="H437" s="3"/>
      <c r="O437" s="22"/>
    </row>
    <row r="438" spans="1:22">
      <c r="A438" s="12"/>
      <c r="B438" s="28"/>
      <c r="C438" s="12"/>
      <c r="D438" s="12"/>
      <c r="E438" s="12"/>
      <c r="H438" s="3"/>
      <c r="O438" s="22"/>
    </row>
    <row r="439" spans="1:22">
      <c r="A439" s="12"/>
      <c r="B439" s="28"/>
      <c r="C439" s="12"/>
      <c r="D439" s="12"/>
      <c r="E439" s="12"/>
      <c r="H439" s="3"/>
      <c r="O439" s="22"/>
    </row>
    <row r="440" spans="1:22">
      <c r="A440" s="12"/>
      <c r="B440" s="26"/>
      <c r="C440" s="12"/>
      <c r="D440" s="12"/>
      <c r="E440" s="12"/>
      <c r="H440" s="3"/>
      <c r="O440" s="22"/>
    </row>
    <row r="441" spans="1:22">
      <c r="A441" s="12"/>
      <c r="B441" s="26"/>
      <c r="C441" s="12"/>
      <c r="D441" s="12"/>
      <c r="E441" s="12"/>
      <c r="H441" s="3"/>
      <c r="K441" s="12"/>
      <c r="O441" s="22"/>
    </row>
    <row r="442" spans="1:22">
      <c r="A442" s="12"/>
      <c r="B442" s="26"/>
      <c r="C442" s="12"/>
      <c r="D442" s="12"/>
      <c r="E442" s="12"/>
      <c r="H442" s="3"/>
      <c r="I442" s="30"/>
      <c r="J442" s="31"/>
      <c r="K442" s="12"/>
      <c r="O442" s="22"/>
    </row>
    <row r="443" spans="1:22">
      <c r="A443" s="12"/>
      <c r="B443" s="26"/>
      <c r="C443" s="12"/>
      <c r="D443" s="12"/>
      <c r="E443" s="12"/>
      <c r="H443" s="3"/>
      <c r="I443" s="30"/>
      <c r="J443" s="31"/>
      <c r="K443" s="12"/>
      <c r="O443" s="22"/>
    </row>
    <row r="444" spans="1:22">
      <c r="A444" s="12"/>
      <c r="B444" s="26"/>
      <c r="C444" s="12"/>
      <c r="D444" s="12"/>
      <c r="E444" s="12"/>
      <c r="H444" s="3"/>
      <c r="K444" s="12"/>
      <c r="N444" s="3"/>
      <c r="O444" s="30"/>
      <c r="P444" s="31"/>
      <c r="T444" s="12"/>
      <c r="U444" s="12"/>
      <c r="V444" s="12"/>
    </row>
    <row r="445" spans="1:22">
      <c r="A445" s="12"/>
      <c r="B445" s="33"/>
      <c r="C445" s="12"/>
      <c r="D445" s="12"/>
      <c r="E445" s="12"/>
      <c r="H445" s="3"/>
      <c r="K445" s="12"/>
      <c r="O445" s="22"/>
      <c r="T445" s="12"/>
      <c r="U445" s="12"/>
      <c r="V445" s="12"/>
    </row>
    <row r="446" spans="1:22">
      <c r="A446" s="12"/>
      <c r="B446" s="26"/>
      <c r="C446" s="12"/>
      <c r="D446" s="12"/>
      <c r="E446" s="12"/>
      <c r="H446" s="3"/>
      <c r="K446" s="12"/>
      <c r="O446" s="22"/>
      <c r="T446" s="43"/>
      <c r="U446" s="12"/>
      <c r="V446" s="12"/>
    </row>
    <row r="447" spans="1:22">
      <c r="A447" s="12"/>
      <c r="B447" s="33"/>
      <c r="C447" s="12"/>
      <c r="D447" s="12"/>
      <c r="E447" s="12"/>
      <c r="H447" s="3"/>
      <c r="K447" s="12"/>
      <c r="O447" s="22"/>
      <c r="T447" s="43"/>
      <c r="U447" s="12"/>
      <c r="V447" s="12"/>
    </row>
    <row r="448" spans="1:22">
      <c r="A448" s="12"/>
      <c r="B448" s="33"/>
      <c r="C448" s="12"/>
      <c r="D448" s="12"/>
      <c r="E448" s="12"/>
      <c r="H448" s="3"/>
      <c r="K448" s="12"/>
      <c r="O448" s="22"/>
      <c r="T448" s="43"/>
      <c r="U448" s="12"/>
      <c r="V448" s="12"/>
    </row>
    <row r="449" spans="1:24">
      <c r="A449" s="12"/>
      <c r="B449" s="33"/>
      <c r="C449" s="12"/>
      <c r="D449" s="12"/>
      <c r="E449" s="12"/>
      <c r="H449" s="3"/>
      <c r="K449" s="12"/>
      <c r="O449" s="22"/>
      <c r="T449" s="43"/>
      <c r="U449" s="12"/>
      <c r="V449" s="12"/>
    </row>
    <row r="450" spans="1:24">
      <c r="A450" s="12"/>
      <c r="B450" s="33"/>
      <c r="C450" s="12"/>
      <c r="D450" s="12"/>
      <c r="E450" s="12"/>
      <c r="H450" s="3"/>
      <c r="K450" s="12"/>
      <c r="O450" s="22"/>
      <c r="T450" s="43"/>
      <c r="U450" s="12"/>
      <c r="V450" s="12"/>
    </row>
    <row r="451" spans="1:24">
      <c r="A451" s="12"/>
      <c r="B451" s="28"/>
      <c r="C451" s="12"/>
      <c r="D451" s="12"/>
      <c r="E451" s="12"/>
      <c r="H451" s="3"/>
      <c r="I451" s="30"/>
      <c r="J451" s="31"/>
      <c r="K451" s="12"/>
      <c r="O451" s="22"/>
      <c r="T451" s="22"/>
      <c r="X451" s="22"/>
    </row>
    <row r="452" spans="1:24">
      <c r="A452" s="12"/>
      <c r="B452" s="28"/>
      <c r="C452" s="12"/>
      <c r="D452" s="12"/>
      <c r="E452" s="12"/>
      <c r="H452" s="3"/>
      <c r="I452" s="30"/>
      <c r="J452" s="31"/>
      <c r="K452" s="12"/>
      <c r="O452" s="22"/>
    </row>
    <row r="453" spans="1:24">
      <c r="A453" s="12"/>
      <c r="B453" s="26"/>
      <c r="C453" s="12"/>
      <c r="D453" s="12"/>
      <c r="E453" s="12"/>
      <c r="H453" s="3"/>
      <c r="K453" s="12"/>
      <c r="N453" s="3"/>
      <c r="O453" s="30"/>
      <c r="P453" s="31"/>
      <c r="Q453" s="12"/>
      <c r="R453" s="2"/>
    </row>
    <row r="454" spans="1:24">
      <c r="A454" s="12"/>
      <c r="B454" s="26"/>
      <c r="C454" s="12"/>
      <c r="D454" s="12"/>
      <c r="E454" s="12"/>
      <c r="H454" s="3"/>
      <c r="K454" s="12"/>
      <c r="O454" s="22"/>
    </row>
    <row r="455" spans="1:24">
      <c r="A455" s="12"/>
      <c r="B455" s="26"/>
      <c r="C455" s="12"/>
      <c r="D455" s="12"/>
      <c r="E455" s="12"/>
      <c r="H455" s="3"/>
      <c r="K455" s="12"/>
      <c r="O455" s="22"/>
    </row>
    <row r="456" spans="1:24">
      <c r="A456" s="12"/>
      <c r="B456" s="26"/>
      <c r="C456" s="12"/>
      <c r="D456" s="12"/>
      <c r="E456" s="12"/>
      <c r="H456" s="3"/>
      <c r="K456" s="12"/>
      <c r="O456" s="22"/>
    </row>
    <row r="457" spans="1:24">
      <c r="A457" s="12"/>
      <c r="B457" s="33"/>
      <c r="C457" s="12"/>
      <c r="D457" s="12"/>
      <c r="E457" s="12"/>
      <c r="H457" s="3"/>
      <c r="K457" s="12"/>
      <c r="O457" s="22"/>
    </row>
    <row r="458" spans="1:24">
      <c r="A458" s="12"/>
      <c r="B458" s="33"/>
      <c r="C458" s="12"/>
      <c r="D458" s="12"/>
      <c r="E458" s="12"/>
      <c r="H458" s="3"/>
      <c r="K458" s="12"/>
      <c r="O458" s="22"/>
    </row>
    <row r="459" spans="1:24">
      <c r="A459" s="12"/>
      <c r="B459" s="33"/>
      <c r="C459" s="12"/>
      <c r="D459" s="12"/>
      <c r="E459" s="12"/>
      <c r="H459" s="3"/>
      <c r="K459" s="12"/>
      <c r="O459" s="22"/>
    </row>
    <row r="460" spans="1:24">
      <c r="A460" s="12"/>
      <c r="B460" s="33"/>
      <c r="C460" s="12"/>
      <c r="D460" s="12"/>
      <c r="E460" s="12"/>
      <c r="H460" s="3"/>
      <c r="K460" s="12"/>
      <c r="O460" s="22"/>
    </row>
    <row r="461" spans="1:24">
      <c r="A461" s="12"/>
      <c r="B461" s="33"/>
      <c r="C461" s="20"/>
      <c r="D461" s="20"/>
      <c r="E461" s="20"/>
      <c r="F461" s="29"/>
      <c r="H461" s="3"/>
      <c r="O461" s="22"/>
    </row>
    <row r="462" spans="1:24">
      <c r="A462" s="12"/>
      <c r="B462" s="33"/>
      <c r="C462" s="20"/>
      <c r="D462" s="20"/>
      <c r="E462" s="20"/>
      <c r="F462" s="29"/>
      <c r="H462" s="3"/>
      <c r="O462" s="22"/>
    </row>
    <row r="463" spans="1:24">
      <c r="A463" s="12"/>
      <c r="B463" s="33"/>
      <c r="C463" s="20"/>
      <c r="D463" s="20"/>
      <c r="E463" s="20"/>
      <c r="F463" s="29"/>
      <c r="H463" s="3"/>
      <c r="O463" s="22"/>
    </row>
    <row r="464" spans="1:24">
      <c r="A464" s="41"/>
      <c r="B464" s="12"/>
      <c r="C464" s="17"/>
      <c r="D464" s="17"/>
      <c r="E464" s="17"/>
      <c r="F464" s="38"/>
      <c r="H464" s="3"/>
      <c r="O464" s="22"/>
    </row>
    <row r="465" spans="1:19">
      <c r="A465" s="12"/>
      <c r="B465" s="12"/>
      <c r="C465" s="17"/>
      <c r="D465" s="17"/>
      <c r="E465" s="17"/>
      <c r="F465" s="38"/>
      <c r="H465" s="3"/>
      <c r="O465" s="22"/>
    </row>
    <row r="466" spans="1:19">
      <c r="A466" s="17"/>
      <c r="B466" s="12"/>
      <c r="C466" s="17"/>
      <c r="D466" s="17"/>
      <c r="E466" s="17"/>
      <c r="F466" s="38"/>
      <c r="H466" s="3"/>
      <c r="O466" s="22"/>
    </row>
    <row r="467" spans="1:19">
      <c r="A467" s="41"/>
      <c r="B467" s="12"/>
      <c r="C467" s="12"/>
      <c r="D467" s="12"/>
      <c r="E467" s="12"/>
      <c r="H467" s="3"/>
      <c r="O467" s="22"/>
    </row>
    <row r="468" spans="1:19">
      <c r="A468" s="41"/>
      <c r="B468" s="12"/>
      <c r="C468" s="12"/>
      <c r="D468" s="12"/>
      <c r="E468" s="12"/>
      <c r="H468" s="3"/>
      <c r="O468" s="22"/>
    </row>
    <row r="469" spans="1:19" s="3" customFormat="1">
      <c r="A469" s="20"/>
      <c r="B469" s="20"/>
      <c r="C469" s="20"/>
      <c r="D469" s="20"/>
      <c r="E469" s="20"/>
      <c r="J469" s="23"/>
      <c r="O469" s="24"/>
      <c r="R469" s="25"/>
    </row>
    <row r="470" spans="1:19">
      <c r="A470" s="12"/>
      <c r="B470" s="12"/>
      <c r="C470" s="41"/>
      <c r="D470" s="41"/>
      <c r="E470" s="41"/>
      <c r="H470" s="3"/>
      <c r="O470" s="22"/>
    </row>
    <row r="471" spans="1:19">
      <c r="A471" s="12"/>
      <c r="B471" s="33"/>
      <c r="C471" s="12"/>
      <c r="D471" s="12"/>
      <c r="E471" s="12"/>
      <c r="I471" s="44"/>
      <c r="J471" s="45"/>
      <c r="K471" s="44"/>
      <c r="L471" s="44"/>
      <c r="M471" s="44"/>
      <c r="N471" s="44"/>
      <c r="O471" s="44"/>
      <c r="P471" s="44"/>
      <c r="Q471" s="44"/>
      <c r="R471" s="46"/>
      <c r="S471" s="12"/>
    </row>
    <row r="472" spans="1:19">
      <c r="A472" s="12"/>
      <c r="B472" s="12"/>
      <c r="C472" s="12"/>
      <c r="D472" s="12"/>
      <c r="E472" s="12"/>
      <c r="H472" s="20"/>
      <c r="I472" s="41"/>
      <c r="J472" s="45"/>
      <c r="K472" s="44"/>
      <c r="L472" s="44"/>
      <c r="M472" s="44"/>
      <c r="N472" s="20"/>
      <c r="O472" s="41"/>
      <c r="P472" s="45"/>
      <c r="Q472" s="44"/>
      <c r="R472" s="46"/>
      <c r="S472" s="12"/>
    </row>
    <row r="473" spans="1:19">
      <c r="A473" s="12"/>
      <c r="B473" s="26"/>
      <c r="C473" s="12"/>
      <c r="D473" s="12"/>
      <c r="E473" s="12"/>
      <c r="H473" s="12"/>
      <c r="I473" s="12"/>
      <c r="J473" s="47"/>
      <c r="K473" s="44"/>
      <c r="L473" s="44"/>
      <c r="M473" s="44"/>
      <c r="N473" s="44"/>
      <c r="O473" s="44"/>
      <c r="P473" s="44"/>
      <c r="Q473" s="44"/>
      <c r="R473" s="46"/>
      <c r="S473" s="12"/>
    </row>
    <row r="474" spans="1:19">
      <c r="A474" s="12"/>
      <c r="B474" s="26"/>
      <c r="C474" s="12"/>
      <c r="D474" s="12"/>
      <c r="E474" s="12"/>
      <c r="H474" s="12"/>
      <c r="I474" s="48"/>
      <c r="J474" s="49"/>
      <c r="K474" s="44"/>
      <c r="L474" s="44"/>
      <c r="M474" s="44"/>
      <c r="N474" s="44"/>
      <c r="O474" s="44"/>
      <c r="P474" s="44"/>
      <c r="Q474" s="44"/>
      <c r="R474" s="46"/>
      <c r="S474" s="12"/>
    </row>
    <row r="475" spans="1:19">
      <c r="A475" s="12"/>
      <c r="B475" s="26"/>
      <c r="C475" s="12"/>
      <c r="D475" s="12"/>
      <c r="E475" s="12"/>
      <c r="H475" s="12"/>
      <c r="I475" s="48"/>
      <c r="J475" s="49"/>
      <c r="K475" s="44"/>
      <c r="L475" s="44"/>
      <c r="M475" s="44"/>
      <c r="N475" s="44"/>
      <c r="O475" s="44"/>
      <c r="P475" s="44"/>
      <c r="Q475" s="44"/>
      <c r="R475" s="46"/>
      <c r="S475" s="12"/>
    </row>
    <row r="476" spans="1:19">
      <c r="A476" s="12"/>
      <c r="B476" s="26"/>
      <c r="C476" s="12"/>
      <c r="D476" s="12"/>
      <c r="E476" s="12"/>
      <c r="H476" s="12"/>
      <c r="I476" s="48"/>
      <c r="J476" s="49"/>
      <c r="K476" s="44"/>
      <c r="L476" s="44"/>
      <c r="M476" s="44"/>
      <c r="N476" s="44"/>
      <c r="O476" s="44"/>
      <c r="P476" s="44"/>
      <c r="Q476" s="44"/>
      <c r="R476" s="46"/>
      <c r="S476" s="12"/>
    </row>
    <row r="477" spans="1:19">
      <c r="A477" s="12"/>
      <c r="B477" s="28"/>
      <c r="C477" s="12"/>
      <c r="D477" s="12"/>
      <c r="E477" s="12"/>
      <c r="H477" s="12"/>
      <c r="I477" s="48"/>
      <c r="J477" s="49"/>
      <c r="K477" s="12"/>
      <c r="L477" s="44"/>
      <c r="M477" s="44"/>
      <c r="N477" s="44"/>
      <c r="O477" s="44"/>
      <c r="P477" s="44"/>
      <c r="Q477" s="44"/>
      <c r="R477" s="46"/>
      <c r="S477" s="12"/>
    </row>
    <row r="478" spans="1:19">
      <c r="A478" s="12"/>
      <c r="B478" s="28"/>
      <c r="C478" s="12"/>
      <c r="D478" s="12"/>
      <c r="E478" s="12"/>
      <c r="H478" s="12"/>
      <c r="I478" s="48"/>
      <c r="J478" s="49"/>
      <c r="K478" s="12"/>
      <c r="L478" s="12"/>
      <c r="M478" s="12"/>
      <c r="N478" s="12"/>
      <c r="O478" s="12"/>
      <c r="P478" s="12"/>
      <c r="Q478" s="12"/>
      <c r="R478" s="19"/>
      <c r="S478" s="12"/>
    </row>
    <row r="479" spans="1:19">
      <c r="A479" s="12"/>
      <c r="B479" s="33"/>
      <c r="C479" s="12"/>
      <c r="D479" s="12"/>
      <c r="E479" s="12"/>
      <c r="H479" s="12"/>
      <c r="I479" s="48"/>
      <c r="J479" s="49"/>
      <c r="K479" s="12"/>
      <c r="L479" s="12"/>
      <c r="M479" s="12"/>
      <c r="N479" s="12"/>
      <c r="O479" s="12"/>
      <c r="P479" s="12"/>
      <c r="Q479" s="12"/>
      <c r="R479" s="19"/>
      <c r="S479" s="12"/>
    </row>
    <row r="480" spans="1:19">
      <c r="A480" s="12"/>
      <c r="B480" s="12"/>
      <c r="C480" s="12"/>
      <c r="D480" s="12"/>
      <c r="E480" s="12"/>
      <c r="H480" s="12"/>
      <c r="I480" s="48"/>
      <c r="J480" s="49"/>
      <c r="K480" s="12"/>
      <c r="L480" s="12"/>
      <c r="M480" s="12"/>
      <c r="N480" s="12"/>
      <c r="O480" s="12"/>
      <c r="P480" s="12"/>
      <c r="Q480" s="12"/>
      <c r="R480" s="19"/>
      <c r="S480" s="12"/>
    </row>
    <row r="481" spans="1:19">
      <c r="A481" s="12"/>
      <c r="B481" s="12"/>
      <c r="C481" s="12"/>
      <c r="D481" s="12"/>
      <c r="E481" s="12"/>
      <c r="H481" s="12"/>
      <c r="I481" s="48"/>
      <c r="J481" s="49"/>
      <c r="K481" s="12"/>
      <c r="L481" s="12"/>
      <c r="M481" s="12"/>
      <c r="N481" s="12"/>
      <c r="O481" s="12"/>
      <c r="P481" s="12"/>
      <c r="Q481" s="12"/>
      <c r="R481" s="19"/>
      <c r="S481" s="12"/>
    </row>
    <row r="482" spans="1:19">
      <c r="A482" s="12"/>
      <c r="B482" s="12"/>
      <c r="C482" s="12"/>
      <c r="D482" s="12"/>
      <c r="E482" s="12"/>
      <c r="H482" s="12"/>
      <c r="I482" s="48"/>
      <c r="J482" s="49"/>
      <c r="K482" s="12"/>
      <c r="L482" s="12"/>
      <c r="M482" s="12"/>
      <c r="N482" s="12"/>
      <c r="O482" s="12"/>
      <c r="P482" s="12"/>
      <c r="Q482" s="12"/>
      <c r="R482" s="19"/>
      <c r="S482" s="12"/>
    </row>
    <row r="483" spans="1:19">
      <c r="A483" s="12"/>
      <c r="B483" s="33"/>
      <c r="C483" s="20"/>
      <c r="D483" s="20"/>
      <c r="E483" s="20"/>
      <c r="F483" s="29"/>
      <c r="H483" s="3"/>
      <c r="O483" s="22"/>
    </row>
    <row r="484" spans="1:19">
      <c r="A484" s="12"/>
      <c r="B484" s="33"/>
      <c r="C484" s="20"/>
      <c r="D484" s="20"/>
      <c r="E484" s="20"/>
      <c r="F484" s="29"/>
      <c r="H484" s="3"/>
      <c r="O484" s="22"/>
    </row>
    <row r="485" spans="1:19">
      <c r="A485" s="12"/>
      <c r="B485" s="33"/>
      <c r="C485" s="20"/>
      <c r="D485" s="20"/>
      <c r="E485" s="20"/>
      <c r="F485" s="29"/>
      <c r="H485" s="3"/>
      <c r="O485" s="22"/>
    </row>
    <row r="486" spans="1:19">
      <c r="A486" s="41"/>
      <c r="B486" s="12"/>
      <c r="C486" s="17"/>
      <c r="D486" s="17"/>
      <c r="E486" s="17"/>
      <c r="F486" s="38"/>
      <c r="H486" s="3"/>
      <c r="O486" s="22"/>
    </row>
    <row r="487" spans="1:19">
      <c r="A487" s="12"/>
      <c r="B487" s="12"/>
      <c r="C487" s="17"/>
      <c r="D487" s="17"/>
      <c r="E487" s="17"/>
      <c r="F487" s="38"/>
      <c r="H487" s="3"/>
      <c r="O487" s="22"/>
    </row>
    <row r="488" spans="1:19">
      <c r="A488" s="17"/>
      <c r="B488" s="12"/>
      <c r="C488" s="17"/>
      <c r="D488" s="17"/>
      <c r="E488" s="17"/>
      <c r="F488" s="38"/>
      <c r="H488" s="3"/>
      <c r="O488" s="22"/>
    </row>
    <row r="489" spans="1:19">
      <c r="A489" s="41"/>
      <c r="B489" s="12"/>
      <c r="C489" s="12"/>
      <c r="D489" s="12"/>
      <c r="E489" s="12"/>
      <c r="H489" s="3"/>
      <c r="O489" s="22"/>
    </row>
    <row r="490" spans="1:19">
      <c r="A490" s="41"/>
      <c r="B490" s="12"/>
      <c r="C490" s="12"/>
      <c r="D490" s="12"/>
      <c r="E490" s="12"/>
      <c r="H490" s="3"/>
      <c r="O490" s="22"/>
    </row>
    <row r="491" spans="1:19" s="3" customFormat="1">
      <c r="A491" s="20"/>
      <c r="B491" s="20"/>
      <c r="C491" s="20"/>
      <c r="D491" s="20"/>
      <c r="E491" s="20"/>
      <c r="J491" s="23"/>
      <c r="O491" s="24"/>
      <c r="R491" s="25"/>
    </row>
    <row r="492" spans="1:19">
      <c r="A492" s="12"/>
      <c r="B492" s="12"/>
      <c r="C492" s="41"/>
      <c r="D492" s="41"/>
      <c r="E492" s="41"/>
      <c r="H492" s="12"/>
      <c r="I492" s="48"/>
      <c r="J492" s="49"/>
      <c r="K492" s="12"/>
      <c r="L492" s="12"/>
      <c r="M492" s="12"/>
      <c r="N492" s="12"/>
      <c r="O492" s="12"/>
      <c r="P492" s="12"/>
      <c r="Q492" s="12"/>
      <c r="R492" s="19"/>
      <c r="S492" s="12"/>
    </row>
    <row r="493" spans="1:19">
      <c r="A493" s="12"/>
      <c r="B493" s="33"/>
      <c r="C493" s="12"/>
      <c r="D493" s="12"/>
      <c r="E493" s="12"/>
      <c r="H493" s="12"/>
      <c r="I493" s="48"/>
      <c r="J493" s="49"/>
      <c r="K493" s="12"/>
      <c r="L493" s="12"/>
      <c r="M493" s="12"/>
      <c r="N493" s="12"/>
      <c r="O493" s="12"/>
      <c r="P493" s="12"/>
      <c r="Q493" s="12"/>
      <c r="R493" s="19"/>
      <c r="S493" s="12"/>
    </row>
    <row r="494" spans="1:19">
      <c r="A494" s="12"/>
      <c r="B494" s="12"/>
      <c r="C494" s="12"/>
      <c r="D494" s="12"/>
      <c r="E494" s="12"/>
      <c r="H494" s="12"/>
      <c r="I494" s="48"/>
      <c r="J494" s="49"/>
      <c r="K494" s="12"/>
      <c r="L494" s="12"/>
      <c r="M494" s="12"/>
      <c r="N494" s="12"/>
      <c r="O494" s="12"/>
      <c r="P494" s="12"/>
      <c r="Q494" s="12"/>
      <c r="R494" s="19"/>
      <c r="S494" s="12"/>
    </row>
    <row r="495" spans="1:19">
      <c r="A495" s="12"/>
      <c r="B495" s="26"/>
      <c r="C495" s="12"/>
      <c r="D495" s="12"/>
      <c r="E495" s="12"/>
      <c r="H495" s="12"/>
      <c r="I495" s="48"/>
      <c r="J495" s="49"/>
      <c r="K495" s="12"/>
      <c r="L495" s="12"/>
      <c r="M495" s="12"/>
      <c r="N495" s="12"/>
      <c r="O495" s="12"/>
      <c r="P495" s="12"/>
      <c r="Q495" s="12"/>
      <c r="R495" s="19"/>
      <c r="S495" s="12"/>
    </row>
    <row r="496" spans="1:19">
      <c r="A496" s="12"/>
      <c r="B496" s="28"/>
      <c r="C496" s="12"/>
      <c r="D496" s="12"/>
      <c r="E496" s="12"/>
      <c r="H496" s="12"/>
      <c r="I496" s="48"/>
      <c r="J496" s="49"/>
      <c r="K496" s="12"/>
      <c r="L496" s="12"/>
      <c r="M496" s="12"/>
      <c r="N496" s="12"/>
      <c r="O496" s="12"/>
      <c r="P496" s="12"/>
      <c r="Q496" s="12"/>
      <c r="R496" s="19"/>
      <c r="S496" s="12"/>
    </row>
    <row r="497" spans="1:19">
      <c r="A497" s="12"/>
      <c r="B497" s="28"/>
      <c r="C497" s="12"/>
      <c r="D497" s="12"/>
      <c r="E497" s="12"/>
      <c r="H497" s="12"/>
      <c r="I497" s="48"/>
      <c r="J497" s="49"/>
      <c r="K497" s="12"/>
      <c r="L497" s="12"/>
      <c r="M497" s="12"/>
      <c r="N497" s="12"/>
      <c r="O497" s="12"/>
      <c r="P497" s="12"/>
      <c r="Q497" s="12"/>
      <c r="R497" s="19"/>
      <c r="S497" s="12"/>
    </row>
    <row r="498" spans="1:19">
      <c r="A498" s="12"/>
      <c r="B498" s="28"/>
      <c r="C498" s="12"/>
      <c r="D498" s="12"/>
      <c r="E498" s="12"/>
      <c r="H498" s="12"/>
      <c r="I498" s="48"/>
      <c r="J498" s="49"/>
      <c r="K498" s="12"/>
      <c r="L498" s="12"/>
      <c r="M498" s="12"/>
      <c r="N498" s="12"/>
      <c r="O498" s="12"/>
      <c r="P498" s="12"/>
      <c r="Q498" s="12"/>
      <c r="R498" s="19"/>
      <c r="S498" s="12"/>
    </row>
    <row r="499" spans="1:19">
      <c r="A499" s="12"/>
      <c r="B499" s="33"/>
      <c r="C499" s="12"/>
      <c r="D499" s="12"/>
      <c r="E499" s="12"/>
      <c r="H499" s="12"/>
      <c r="I499" s="48"/>
      <c r="J499" s="49"/>
      <c r="K499" s="12"/>
      <c r="L499" s="12"/>
      <c r="M499" s="12"/>
      <c r="N499" s="12"/>
      <c r="O499" s="12"/>
      <c r="P499" s="12"/>
      <c r="Q499" s="12"/>
      <c r="R499" s="19"/>
      <c r="S499" s="12"/>
    </row>
    <row r="500" spans="1:19">
      <c r="A500" s="12"/>
      <c r="B500" s="33"/>
      <c r="C500" s="12"/>
      <c r="D500" s="12"/>
      <c r="E500" s="12"/>
      <c r="H500" s="12"/>
      <c r="I500" s="48"/>
      <c r="J500" s="49"/>
      <c r="K500" s="12"/>
      <c r="L500" s="12"/>
      <c r="M500" s="12"/>
      <c r="N500" s="12"/>
      <c r="O500" s="12"/>
      <c r="P500" s="12"/>
      <c r="Q500" s="12"/>
      <c r="R500" s="19"/>
      <c r="S500" s="12"/>
    </row>
    <row r="501" spans="1:19">
      <c r="A501" s="12"/>
      <c r="B501" s="33"/>
      <c r="C501" s="12"/>
      <c r="D501" s="12"/>
      <c r="E501" s="12"/>
      <c r="H501" s="12"/>
      <c r="I501" s="48"/>
      <c r="J501" s="49"/>
      <c r="K501" s="12"/>
      <c r="L501" s="12"/>
      <c r="M501" s="12"/>
      <c r="N501" s="12"/>
      <c r="O501" s="12"/>
      <c r="P501" s="12"/>
      <c r="Q501" s="12"/>
      <c r="R501" s="19"/>
      <c r="S501" s="12"/>
    </row>
    <row r="502" spans="1:19">
      <c r="A502" s="12"/>
      <c r="B502" s="33"/>
      <c r="C502" s="12"/>
      <c r="D502" s="12"/>
      <c r="E502" s="12"/>
      <c r="H502" s="12"/>
      <c r="I502" s="48"/>
      <c r="J502" s="49"/>
      <c r="K502" s="12"/>
      <c r="L502" s="12"/>
      <c r="M502" s="12"/>
      <c r="N502" s="12"/>
      <c r="O502" s="12"/>
      <c r="P502" s="12"/>
      <c r="Q502" s="12"/>
      <c r="R502" s="19"/>
      <c r="S502" s="12"/>
    </row>
    <row r="503" spans="1:19">
      <c r="A503" s="12"/>
      <c r="B503" s="12"/>
      <c r="C503" s="12"/>
      <c r="D503" s="12"/>
      <c r="E503" s="12"/>
      <c r="H503" s="12"/>
      <c r="I503" s="48"/>
      <c r="J503" s="49"/>
      <c r="K503" s="12"/>
      <c r="L503" s="12"/>
      <c r="M503" s="12"/>
      <c r="N503" s="12"/>
      <c r="O503" s="12"/>
      <c r="P503" s="12"/>
      <c r="Q503" s="12"/>
      <c r="R503" s="19"/>
      <c r="S503" s="12"/>
    </row>
    <row r="504" spans="1:19">
      <c r="A504" s="12"/>
      <c r="B504" s="12"/>
      <c r="C504" s="12"/>
      <c r="D504" s="12"/>
      <c r="E504" s="12"/>
      <c r="H504" s="12"/>
      <c r="I504" s="48"/>
      <c r="J504" s="49"/>
      <c r="K504" s="12"/>
      <c r="L504" s="12"/>
      <c r="M504" s="12"/>
      <c r="N504" s="12"/>
      <c r="O504" s="12"/>
      <c r="P504" s="12"/>
      <c r="Q504" s="12"/>
      <c r="R504" s="19"/>
      <c r="S504" s="12"/>
    </row>
    <row r="505" spans="1:19">
      <c r="A505" s="12"/>
      <c r="B505" s="12"/>
      <c r="C505" s="12"/>
      <c r="D505" s="12"/>
      <c r="E505" s="12"/>
      <c r="H505" s="12"/>
      <c r="I505" s="48"/>
      <c r="J505" s="49"/>
      <c r="K505" s="12"/>
      <c r="L505" s="12"/>
      <c r="M505" s="12"/>
      <c r="N505" s="12"/>
      <c r="O505" s="12"/>
      <c r="P505" s="12"/>
      <c r="Q505" s="12"/>
      <c r="R505" s="19"/>
      <c r="S505" s="12"/>
    </row>
    <row r="506" spans="1:19">
      <c r="A506" s="12"/>
      <c r="B506" s="19"/>
      <c r="C506" s="12"/>
      <c r="D506" s="12"/>
      <c r="E506" s="12"/>
      <c r="H506" s="12"/>
      <c r="I506" s="48"/>
      <c r="J506" s="50"/>
      <c r="K506" s="12"/>
      <c r="L506" s="12"/>
      <c r="M506" s="12"/>
      <c r="N506" s="12"/>
      <c r="O506" s="43"/>
      <c r="P506" s="12"/>
      <c r="Q506" s="12"/>
      <c r="R506" s="19"/>
      <c r="S506" s="12"/>
    </row>
    <row r="507" spans="1:19">
      <c r="A507" s="12"/>
      <c r="B507" s="19"/>
      <c r="C507" s="12"/>
      <c r="D507" s="12"/>
      <c r="E507" s="12"/>
      <c r="H507" s="12"/>
      <c r="I507" s="48"/>
      <c r="J507" s="49"/>
      <c r="K507" s="12"/>
      <c r="L507" s="12"/>
      <c r="M507" s="12"/>
      <c r="N507" s="12"/>
      <c r="O507" s="12"/>
      <c r="P507" s="12"/>
      <c r="Q507" s="12"/>
      <c r="R507" s="19"/>
      <c r="S507" s="12"/>
    </row>
    <row r="508" spans="1:19">
      <c r="A508" s="12"/>
      <c r="B508" s="19"/>
      <c r="C508" s="12"/>
      <c r="D508" s="12"/>
      <c r="E508" s="12"/>
      <c r="H508" s="12"/>
      <c r="I508" s="48"/>
      <c r="J508" s="49"/>
      <c r="K508" s="12"/>
      <c r="L508" s="12"/>
      <c r="M508" s="12"/>
      <c r="N508" s="12"/>
      <c r="O508" s="12"/>
      <c r="P508" s="12"/>
      <c r="Q508" s="12"/>
      <c r="R508" s="19"/>
      <c r="S508" s="12"/>
    </row>
    <row r="509" spans="1:19">
      <c r="A509" s="12"/>
      <c r="B509" s="19"/>
      <c r="C509" s="12"/>
      <c r="D509" s="12"/>
      <c r="E509" s="12"/>
      <c r="H509" s="12"/>
      <c r="I509" s="48"/>
      <c r="J509" s="49"/>
      <c r="K509" s="12"/>
      <c r="L509" s="12"/>
      <c r="M509" s="12"/>
      <c r="N509" s="12"/>
      <c r="O509" s="12"/>
      <c r="P509" s="12"/>
      <c r="Q509" s="12"/>
      <c r="R509" s="19"/>
      <c r="S509" s="12"/>
    </row>
    <row r="510" spans="1:19">
      <c r="A510" s="12"/>
      <c r="B510" s="12"/>
      <c r="C510" s="12"/>
      <c r="D510" s="12"/>
      <c r="E510" s="12"/>
      <c r="H510" s="3"/>
      <c r="N510" s="3"/>
      <c r="P510" s="51"/>
      <c r="R510" s="2"/>
    </row>
    <row r="511" spans="1:19">
      <c r="A511" s="12"/>
      <c r="B511" s="12"/>
      <c r="C511" s="12"/>
      <c r="D511" s="12"/>
      <c r="E511" s="12"/>
      <c r="H511" s="3"/>
      <c r="N511" s="3"/>
      <c r="P511" s="51"/>
      <c r="R511" s="2"/>
    </row>
    <row r="512" spans="1:19">
      <c r="A512" s="12"/>
      <c r="B512" s="12"/>
      <c r="C512" s="12"/>
      <c r="D512" s="12"/>
      <c r="E512" s="12"/>
      <c r="H512" s="3"/>
      <c r="N512" s="3"/>
      <c r="P512" s="51"/>
      <c r="R512" s="2"/>
    </row>
    <row r="513" spans="1:18">
      <c r="A513" s="12"/>
      <c r="B513" s="19"/>
      <c r="C513" s="12"/>
      <c r="D513" s="12"/>
      <c r="E513" s="12"/>
      <c r="H513" s="3"/>
      <c r="N513" s="3"/>
      <c r="P513" s="51"/>
      <c r="R513" s="2"/>
    </row>
    <row r="514" spans="1:18">
      <c r="A514" s="12"/>
      <c r="B514" s="19"/>
      <c r="C514" s="12"/>
      <c r="D514" s="12"/>
      <c r="E514" s="12"/>
      <c r="H514" s="3"/>
      <c r="N514" s="3"/>
      <c r="P514" s="51"/>
      <c r="R514" s="2"/>
    </row>
    <row r="515" spans="1:18">
      <c r="A515" s="12"/>
      <c r="B515" s="19"/>
      <c r="C515" s="12"/>
      <c r="D515" s="12"/>
      <c r="E515" s="12"/>
      <c r="H515" s="3"/>
      <c r="N515" s="3"/>
      <c r="P515" s="51"/>
      <c r="R515" s="2"/>
    </row>
    <row r="516" spans="1:18">
      <c r="A516" s="12"/>
      <c r="B516" s="19"/>
      <c r="C516" s="12"/>
      <c r="D516" s="12"/>
      <c r="E516" s="12"/>
      <c r="H516" s="3"/>
      <c r="N516" s="3"/>
      <c r="P516" s="51"/>
      <c r="R516" s="2"/>
    </row>
    <row r="517" spans="1:18">
      <c r="A517" s="12"/>
      <c r="B517" s="19"/>
      <c r="C517" s="12"/>
      <c r="D517" s="12"/>
      <c r="E517" s="12"/>
      <c r="H517" s="3"/>
      <c r="N517" s="3"/>
      <c r="P517" s="51"/>
      <c r="R517" s="2"/>
    </row>
    <row r="518" spans="1:18">
      <c r="A518" s="12"/>
      <c r="B518" s="19"/>
      <c r="C518" s="12"/>
      <c r="D518" s="12"/>
      <c r="E518" s="12"/>
      <c r="H518" s="3"/>
      <c r="N518" s="3"/>
      <c r="P518" s="51"/>
      <c r="R518" s="2"/>
    </row>
    <row r="519" spans="1:18">
      <c r="A519" s="12"/>
      <c r="B519" s="43"/>
      <c r="C519" s="12"/>
      <c r="D519" s="12"/>
      <c r="E519" s="12"/>
      <c r="H519" s="3"/>
      <c r="N519" s="3"/>
      <c r="P519" s="51"/>
      <c r="R519" s="2"/>
    </row>
    <row r="520" spans="1:18">
      <c r="A520" s="12"/>
      <c r="B520" s="12"/>
      <c r="C520" s="12"/>
      <c r="D520" s="12"/>
      <c r="E520" s="12"/>
      <c r="H520" s="3"/>
      <c r="N520" s="3"/>
      <c r="P520" s="51"/>
      <c r="R520" s="2"/>
    </row>
    <row r="521" spans="1:18">
      <c r="A521" s="12"/>
      <c r="B521" s="12"/>
      <c r="C521" s="12"/>
      <c r="D521" s="12"/>
      <c r="E521" s="12"/>
      <c r="H521" s="3"/>
      <c r="N521" s="3"/>
      <c r="P521" s="51"/>
      <c r="R521" s="2"/>
    </row>
    <row r="522" spans="1:18">
      <c r="A522" s="12"/>
      <c r="B522" s="12"/>
      <c r="C522" s="12"/>
      <c r="D522" s="12"/>
      <c r="E522" s="12"/>
      <c r="H522" s="3"/>
      <c r="N522" s="3"/>
      <c r="P522" s="51"/>
      <c r="R522" s="2"/>
    </row>
    <row r="523" spans="1:18">
      <c r="A523" s="12"/>
      <c r="B523" s="12"/>
      <c r="C523" s="12"/>
      <c r="D523" s="12"/>
      <c r="E523" s="12"/>
      <c r="H523" s="3"/>
      <c r="N523" s="3"/>
      <c r="P523" s="51"/>
      <c r="R523" s="2"/>
    </row>
    <row r="524" spans="1:18">
      <c r="A524" s="12"/>
      <c r="B524" s="12"/>
      <c r="C524" s="12"/>
      <c r="D524" s="12"/>
      <c r="E524" s="12"/>
      <c r="H524" s="3"/>
      <c r="N524" s="3"/>
      <c r="P524" s="51"/>
      <c r="R524" s="2"/>
    </row>
    <row r="525" spans="1:18">
      <c r="A525" s="12"/>
      <c r="B525" s="12"/>
      <c r="C525" s="12"/>
      <c r="D525" s="12"/>
      <c r="E525" s="12"/>
      <c r="H525" s="3"/>
      <c r="N525" s="3"/>
      <c r="P525" s="51"/>
      <c r="R525" s="2"/>
    </row>
    <row r="526" spans="1:18">
      <c r="A526" s="12"/>
      <c r="B526" s="12"/>
      <c r="C526" s="12"/>
      <c r="D526" s="12"/>
      <c r="E526" s="12"/>
      <c r="H526" s="3"/>
      <c r="N526" s="3"/>
      <c r="P526" s="51"/>
      <c r="R526" s="2"/>
    </row>
    <row r="527" spans="1:18">
      <c r="A527" s="12"/>
      <c r="B527" s="12"/>
      <c r="C527" s="12"/>
      <c r="D527" s="12"/>
      <c r="E527" s="12"/>
      <c r="H527" s="3"/>
      <c r="N527" s="3"/>
      <c r="P527" s="51"/>
      <c r="R527" s="2"/>
    </row>
    <row r="528" spans="1:18">
      <c r="A528" s="12"/>
      <c r="B528" s="12"/>
      <c r="C528" s="12"/>
      <c r="D528" s="12"/>
      <c r="E528" s="12"/>
      <c r="H528" s="3"/>
      <c r="N528" s="3"/>
      <c r="P528" s="51"/>
      <c r="R528" s="2"/>
    </row>
    <row r="529" spans="1:15">
      <c r="A529" s="12"/>
      <c r="B529" s="12"/>
      <c r="C529" s="12"/>
      <c r="D529" s="12"/>
      <c r="E529" s="12"/>
    </row>
    <row r="530" spans="1:15">
      <c r="A530" s="12"/>
      <c r="B530" s="12"/>
      <c r="C530" s="12"/>
      <c r="D530" s="12"/>
      <c r="E530" s="12"/>
    </row>
    <row r="531" spans="1:15">
      <c r="A531" s="12"/>
      <c r="B531" s="12"/>
      <c r="C531" s="12"/>
      <c r="D531" s="12"/>
      <c r="E531" s="12"/>
    </row>
    <row r="532" spans="1:15">
      <c r="A532" s="12"/>
      <c r="B532" s="12"/>
      <c r="C532" s="12"/>
      <c r="D532" s="12"/>
      <c r="E532" s="12"/>
    </row>
    <row r="533" spans="1:15">
      <c r="A533" s="12"/>
      <c r="B533" s="12"/>
      <c r="C533" s="12"/>
      <c r="D533" s="12"/>
      <c r="E533" s="12"/>
    </row>
    <row r="534" spans="1:15">
      <c r="A534" s="12"/>
      <c r="B534" s="12"/>
      <c r="C534" s="12"/>
      <c r="D534" s="12"/>
      <c r="E534" s="12"/>
    </row>
    <row r="535" spans="1:15">
      <c r="A535" s="12"/>
      <c r="B535" s="12"/>
      <c r="C535" s="12"/>
      <c r="D535" s="12"/>
      <c r="E535" s="12"/>
    </row>
    <row r="536" spans="1:15">
      <c r="A536" s="12"/>
      <c r="B536" s="12"/>
      <c r="C536" s="12"/>
      <c r="D536" s="12"/>
      <c r="E536" s="12"/>
    </row>
    <row r="537" spans="1:15">
      <c r="A537" s="12"/>
      <c r="B537" s="12"/>
      <c r="C537" s="12"/>
      <c r="D537" s="12"/>
      <c r="E537" s="12"/>
    </row>
    <row r="538" spans="1:15">
      <c r="A538" s="12"/>
      <c r="B538" s="12"/>
      <c r="C538" s="12"/>
      <c r="D538" s="12"/>
      <c r="E538" s="12"/>
    </row>
    <row r="539" spans="1:15">
      <c r="A539" s="12"/>
      <c r="B539" s="33"/>
      <c r="C539" s="20"/>
      <c r="D539" s="20"/>
      <c r="E539" s="20"/>
      <c r="F539" s="29"/>
      <c r="H539" s="3"/>
      <c r="O539" s="22"/>
    </row>
    <row r="540" spans="1:15">
      <c r="A540" s="12"/>
      <c r="B540" s="33"/>
      <c r="C540" s="20"/>
      <c r="D540" s="20"/>
      <c r="E540" s="20"/>
      <c r="F540" s="29"/>
      <c r="H540" s="3"/>
      <c r="O540" s="22"/>
    </row>
    <row r="541" spans="1:15">
      <c r="A541" s="12"/>
      <c r="B541" s="33"/>
      <c r="C541" s="20"/>
      <c r="D541" s="20"/>
      <c r="E541" s="20"/>
      <c r="F541" s="29"/>
      <c r="H541" s="3"/>
      <c r="O541" s="22"/>
    </row>
    <row r="542" spans="1:15">
      <c r="A542" s="41"/>
      <c r="B542" s="12"/>
      <c r="C542" s="17"/>
      <c r="D542" s="17"/>
      <c r="E542" s="17"/>
      <c r="H542" s="3"/>
      <c r="O542" s="22"/>
    </row>
    <row r="543" spans="1:15">
      <c r="A543" s="12"/>
      <c r="B543" s="12"/>
      <c r="C543" s="17"/>
      <c r="D543" s="17"/>
      <c r="E543" s="17"/>
      <c r="F543" s="38"/>
      <c r="H543" s="3"/>
      <c r="O543" s="22"/>
    </row>
    <row r="544" spans="1:15">
      <c r="A544" s="17"/>
      <c r="B544" s="12"/>
      <c r="C544" s="17"/>
      <c r="D544" s="17"/>
      <c r="E544" s="17"/>
      <c r="F544" s="38"/>
      <c r="H544" s="3"/>
      <c r="O544" s="22"/>
    </row>
    <row r="545" spans="1:18">
      <c r="A545" s="41"/>
      <c r="B545" s="12"/>
      <c r="C545" s="12"/>
      <c r="D545" s="12"/>
      <c r="E545" s="12"/>
      <c r="H545" s="3"/>
      <c r="O545" s="22"/>
    </row>
    <row r="546" spans="1:18">
      <c r="A546" s="41"/>
      <c r="B546" s="12"/>
      <c r="C546" s="12"/>
      <c r="D546" s="12"/>
      <c r="E546" s="12"/>
      <c r="H546" s="3"/>
      <c r="O546" s="22"/>
    </row>
    <row r="547" spans="1:18" s="3" customFormat="1">
      <c r="A547" s="20"/>
      <c r="B547" s="20"/>
      <c r="C547" s="20"/>
      <c r="D547" s="20"/>
      <c r="E547" s="20"/>
      <c r="J547" s="23"/>
      <c r="O547" s="24"/>
      <c r="R547" s="25"/>
    </row>
    <row r="548" spans="1:18">
      <c r="A548" s="12"/>
      <c r="B548" s="12"/>
      <c r="C548" s="41"/>
      <c r="D548" s="41"/>
      <c r="E548" s="41"/>
    </row>
    <row r="549" spans="1:18">
      <c r="A549" s="12"/>
      <c r="B549" s="33"/>
      <c r="C549" s="12"/>
      <c r="D549" s="12"/>
      <c r="E549" s="12"/>
    </row>
    <row r="550" spans="1:18">
      <c r="A550" s="12"/>
      <c r="B550" s="12"/>
      <c r="C550" s="12"/>
      <c r="D550" s="12"/>
      <c r="E550" s="12"/>
    </row>
    <row r="551" spans="1:18">
      <c r="A551" s="12"/>
      <c r="B551" s="26"/>
      <c r="C551" s="12"/>
      <c r="D551" s="12"/>
      <c r="E551" s="12"/>
    </row>
    <row r="552" spans="1:18">
      <c r="A552" s="12"/>
      <c r="B552" s="26"/>
      <c r="C552" s="12"/>
      <c r="D552" s="12"/>
      <c r="E552" s="12"/>
    </row>
    <row r="553" spans="1:18">
      <c r="A553" s="12"/>
      <c r="B553" s="26"/>
      <c r="C553" s="12"/>
      <c r="D553" s="12"/>
      <c r="E553" s="12"/>
    </row>
    <row r="554" spans="1:18">
      <c r="A554" s="12"/>
      <c r="B554" s="33"/>
      <c r="C554" s="12"/>
      <c r="D554" s="12"/>
      <c r="E554" s="12"/>
    </row>
    <row r="555" spans="1:18">
      <c r="A555" s="12"/>
      <c r="B555" s="33"/>
      <c r="C555" s="12"/>
      <c r="D555" s="12"/>
      <c r="E555" s="12"/>
    </row>
    <row r="556" spans="1:18">
      <c r="A556" s="12"/>
      <c r="B556" s="33"/>
      <c r="C556" s="12"/>
      <c r="D556" s="12"/>
      <c r="E556" s="12"/>
    </row>
    <row r="557" spans="1:18">
      <c r="A557" s="12"/>
      <c r="B557" s="33"/>
      <c r="C557" s="12"/>
      <c r="D557" s="12"/>
      <c r="E557" s="12"/>
    </row>
    <row r="558" spans="1:18">
      <c r="A558" s="12"/>
      <c r="B558" s="33"/>
      <c r="C558" s="20"/>
      <c r="D558" s="20"/>
      <c r="E558" s="20"/>
      <c r="F558" s="29"/>
      <c r="H558" s="3"/>
      <c r="O558" s="22"/>
    </row>
    <row r="559" spans="1:18">
      <c r="A559" s="12"/>
      <c r="B559" s="33"/>
      <c r="C559" s="20"/>
      <c r="D559" s="20"/>
      <c r="E559" s="20"/>
      <c r="F559" s="29"/>
      <c r="H559" s="3"/>
      <c r="O559" s="22"/>
    </row>
    <row r="560" spans="1:18">
      <c r="A560" s="12"/>
      <c r="B560" s="33"/>
      <c r="C560" s="20"/>
      <c r="D560" s="20"/>
      <c r="E560" s="20"/>
      <c r="F560" s="29"/>
      <c r="H560" s="3"/>
      <c r="O560" s="22"/>
    </row>
    <row r="561" spans="1:18">
      <c r="A561" s="41"/>
      <c r="B561" s="12"/>
      <c r="C561" s="17"/>
      <c r="D561" s="17"/>
      <c r="E561" s="17"/>
      <c r="H561" s="3"/>
      <c r="O561" s="22"/>
    </row>
    <row r="562" spans="1:18">
      <c r="A562" s="12"/>
      <c r="B562" s="12"/>
      <c r="C562" s="17"/>
      <c r="D562" s="17"/>
      <c r="E562" s="17"/>
      <c r="F562" s="38"/>
      <c r="H562" s="3"/>
      <c r="O562" s="22"/>
    </row>
    <row r="563" spans="1:18">
      <c r="A563" s="17"/>
      <c r="B563" s="12"/>
      <c r="C563" s="17"/>
      <c r="D563" s="17"/>
      <c r="E563" s="17"/>
      <c r="F563" s="38"/>
      <c r="H563" s="3"/>
      <c r="O563" s="22"/>
    </row>
    <row r="564" spans="1:18">
      <c r="A564" s="41"/>
      <c r="B564" s="12"/>
      <c r="C564" s="12"/>
      <c r="D564" s="12"/>
      <c r="E564" s="12"/>
      <c r="H564" s="3"/>
      <c r="O564" s="22"/>
    </row>
    <row r="565" spans="1:18">
      <c r="A565" s="41"/>
      <c r="B565" s="12"/>
      <c r="C565" s="12"/>
      <c r="D565" s="12"/>
      <c r="E565" s="12"/>
      <c r="H565" s="3"/>
      <c r="O565" s="22"/>
    </row>
    <row r="566" spans="1:18" s="3" customFormat="1">
      <c r="A566" s="20"/>
      <c r="B566" s="20"/>
      <c r="C566" s="20"/>
      <c r="D566" s="20"/>
      <c r="E566" s="20"/>
      <c r="J566" s="23"/>
      <c r="O566" s="24"/>
      <c r="R566" s="25"/>
    </row>
    <row r="567" spans="1:18">
      <c r="A567" s="12"/>
      <c r="B567" s="12"/>
      <c r="C567" s="41"/>
      <c r="D567" s="41"/>
      <c r="E567" s="41"/>
    </row>
    <row r="568" spans="1:18">
      <c r="A568" s="12"/>
      <c r="B568" s="41"/>
      <c r="C568" s="12"/>
      <c r="D568" s="12"/>
      <c r="E568" s="12"/>
    </row>
    <row r="569" spans="1:18">
      <c r="A569" s="12"/>
      <c r="B569" s="12"/>
      <c r="C569" s="12"/>
      <c r="D569" s="12"/>
      <c r="E569" s="12"/>
    </row>
    <row r="570" spans="1:18">
      <c r="A570" s="12"/>
      <c r="B570" s="52"/>
      <c r="C570" s="12"/>
      <c r="D570" s="12"/>
      <c r="E570" s="12"/>
    </row>
    <row r="571" spans="1:18">
      <c r="A571" s="12"/>
      <c r="B571" s="52"/>
      <c r="C571" s="12"/>
      <c r="D571" s="12"/>
      <c r="E571" s="12"/>
    </row>
    <row r="572" spans="1:18">
      <c r="A572" s="12"/>
      <c r="B572" s="52"/>
      <c r="C572" s="12"/>
      <c r="D572" s="12"/>
      <c r="E572" s="12"/>
    </row>
    <row r="573" spans="1:18">
      <c r="A573" s="12"/>
      <c r="B573" s="53"/>
      <c r="C573" s="12"/>
      <c r="D573" s="12"/>
      <c r="E573" s="12"/>
    </row>
    <row r="574" spans="1:18">
      <c r="A574" s="12"/>
      <c r="B574" s="52"/>
      <c r="C574" s="12"/>
      <c r="D574" s="12"/>
      <c r="E574" s="12"/>
    </row>
    <row r="575" spans="1:18">
      <c r="A575" s="12"/>
      <c r="B575" s="52"/>
      <c r="C575" s="12"/>
      <c r="D575" s="12"/>
      <c r="E575" s="12"/>
    </row>
    <row r="576" spans="1:18">
      <c r="A576" s="12"/>
      <c r="B576" s="48"/>
      <c r="C576" s="12"/>
      <c r="D576" s="12"/>
      <c r="E576" s="12"/>
    </row>
    <row r="577" spans="1:15">
      <c r="A577" s="12"/>
      <c r="B577" s="52"/>
      <c r="C577" s="12"/>
      <c r="D577" s="12"/>
      <c r="E577" s="12"/>
      <c r="M577" s="33"/>
      <c r="N577" s="50"/>
    </row>
    <row r="578" spans="1:15">
      <c r="A578" s="12"/>
      <c r="B578" s="53"/>
      <c r="C578" s="12"/>
      <c r="D578" s="12"/>
      <c r="E578" s="12"/>
      <c r="M578" s="33"/>
      <c r="N578" s="50"/>
    </row>
    <row r="579" spans="1:15">
      <c r="A579" s="12"/>
      <c r="B579" s="53"/>
      <c r="C579" s="12"/>
      <c r="D579" s="12"/>
      <c r="E579" s="12"/>
      <c r="M579" s="33"/>
      <c r="N579" s="50"/>
    </row>
    <row r="580" spans="1:15">
      <c r="A580" s="12"/>
      <c r="B580" s="52"/>
      <c r="C580" s="12"/>
      <c r="D580" s="12"/>
      <c r="E580" s="12"/>
      <c r="M580" s="33"/>
      <c r="N580" s="50"/>
    </row>
    <row r="581" spans="1:15">
      <c r="A581" s="12"/>
      <c r="B581" s="48"/>
      <c r="C581" s="12"/>
      <c r="D581" s="12"/>
      <c r="E581" s="12"/>
      <c r="M581" s="33"/>
      <c r="N581" s="50"/>
    </row>
    <row r="582" spans="1:15">
      <c r="A582" s="12"/>
      <c r="B582" s="53"/>
      <c r="C582" s="12"/>
      <c r="D582" s="12"/>
      <c r="E582" s="12"/>
      <c r="M582" s="33"/>
      <c r="N582" s="50"/>
    </row>
    <row r="583" spans="1:15">
      <c r="A583" s="12"/>
      <c r="B583" s="53"/>
      <c r="C583" s="12"/>
      <c r="D583" s="12"/>
      <c r="E583" s="12"/>
      <c r="M583" s="33"/>
      <c r="N583" s="50"/>
    </row>
    <row r="584" spans="1:15">
      <c r="A584" s="12"/>
      <c r="B584" s="53"/>
      <c r="C584" s="12"/>
      <c r="D584" s="12"/>
      <c r="E584" s="12"/>
      <c r="M584" s="33"/>
      <c r="N584" s="50"/>
    </row>
    <row r="585" spans="1:15">
      <c r="A585" s="12"/>
      <c r="B585" s="53"/>
      <c r="C585" s="12"/>
      <c r="D585" s="12"/>
      <c r="E585" s="12"/>
      <c r="M585" s="33"/>
      <c r="N585" s="50"/>
    </row>
    <row r="586" spans="1:15">
      <c r="A586" s="12"/>
      <c r="B586" s="53"/>
      <c r="C586" s="12"/>
      <c r="D586" s="12"/>
      <c r="E586" s="12"/>
      <c r="M586" s="33"/>
      <c r="N586" s="50"/>
    </row>
    <row r="587" spans="1:15">
      <c r="A587" s="12"/>
      <c r="B587" s="53"/>
      <c r="C587" s="12"/>
      <c r="D587" s="12"/>
      <c r="E587" s="12"/>
    </row>
    <row r="588" spans="1:15">
      <c r="A588" s="12"/>
      <c r="B588" s="48"/>
      <c r="C588" s="12"/>
      <c r="D588" s="12"/>
      <c r="E588" s="12"/>
    </row>
    <row r="589" spans="1:15">
      <c r="A589" s="12"/>
      <c r="B589" s="48"/>
      <c r="C589" s="12"/>
      <c r="D589" s="12"/>
      <c r="E589" s="12"/>
    </row>
    <row r="590" spans="1:15">
      <c r="A590" s="12"/>
      <c r="B590" s="48"/>
      <c r="C590" s="12"/>
      <c r="D590" s="12"/>
      <c r="E590" s="12"/>
    </row>
    <row r="591" spans="1:15">
      <c r="A591" s="12"/>
      <c r="B591" s="48"/>
      <c r="C591" s="12"/>
      <c r="D591" s="12"/>
      <c r="E591" s="12"/>
    </row>
    <row r="592" spans="1:15">
      <c r="A592" s="12"/>
      <c r="B592" s="33"/>
      <c r="C592" s="20"/>
      <c r="D592" s="20"/>
      <c r="E592" s="20"/>
      <c r="F592" s="29"/>
      <c r="H592" s="3"/>
      <c r="O592" s="22"/>
    </row>
    <row r="593" spans="1:18">
      <c r="A593" s="12"/>
      <c r="B593" s="33"/>
      <c r="C593" s="20"/>
      <c r="D593" s="20"/>
      <c r="E593" s="20"/>
      <c r="F593" s="29"/>
      <c r="H593" s="3"/>
      <c r="O593" s="22"/>
    </row>
    <row r="594" spans="1:18">
      <c r="A594" s="12"/>
      <c r="B594" s="33"/>
      <c r="C594" s="20"/>
      <c r="D594" s="20"/>
      <c r="E594" s="20"/>
      <c r="F594" s="29"/>
      <c r="H594" s="3"/>
      <c r="O594" s="22"/>
    </row>
    <row r="595" spans="1:18">
      <c r="A595" s="41"/>
      <c r="B595" s="12"/>
      <c r="C595" s="17"/>
      <c r="D595" s="17"/>
      <c r="E595" s="17"/>
      <c r="H595" s="3"/>
      <c r="O595" s="22"/>
    </row>
    <row r="596" spans="1:18">
      <c r="A596" s="12"/>
      <c r="B596" s="12"/>
      <c r="C596" s="17"/>
      <c r="D596" s="17"/>
      <c r="E596" s="17"/>
      <c r="F596" s="38"/>
      <c r="H596" s="3"/>
      <c r="O596" s="22"/>
    </row>
    <row r="597" spans="1:18">
      <c r="A597" s="17"/>
      <c r="B597" s="12"/>
      <c r="C597" s="17"/>
      <c r="D597" s="17"/>
      <c r="E597" s="17"/>
      <c r="F597" s="38"/>
      <c r="H597" s="3"/>
      <c r="O597" s="22"/>
    </row>
    <row r="598" spans="1:18">
      <c r="A598" s="41"/>
      <c r="B598" s="12"/>
      <c r="C598" s="12"/>
      <c r="D598" s="12"/>
      <c r="E598" s="12"/>
      <c r="H598" s="3"/>
      <c r="O598" s="22"/>
    </row>
    <row r="599" spans="1:18">
      <c r="A599" s="41"/>
      <c r="B599" s="12"/>
      <c r="C599" s="12"/>
      <c r="D599" s="12"/>
      <c r="E599" s="12"/>
      <c r="H599" s="3"/>
      <c r="O599" s="22"/>
    </row>
    <row r="600" spans="1:18" s="3" customFormat="1">
      <c r="A600" s="20"/>
      <c r="B600" s="20"/>
      <c r="C600" s="20"/>
      <c r="D600" s="20"/>
      <c r="E600" s="20"/>
      <c r="J600" s="23"/>
      <c r="O600" s="24"/>
      <c r="R600" s="25"/>
    </row>
    <row r="601" spans="1:18">
      <c r="A601" s="12"/>
      <c r="B601" s="12"/>
      <c r="C601" s="41"/>
      <c r="D601" s="41"/>
      <c r="E601" s="41"/>
    </row>
    <row r="602" spans="1:18">
      <c r="A602" s="12"/>
      <c r="B602" s="48"/>
      <c r="C602" s="12"/>
      <c r="D602" s="12"/>
      <c r="E602" s="12"/>
    </row>
    <row r="603" spans="1:18">
      <c r="A603" s="12"/>
      <c r="B603" s="12"/>
      <c r="C603" s="12"/>
      <c r="D603" s="12"/>
      <c r="E603" s="12"/>
    </row>
    <row r="604" spans="1:18">
      <c r="A604" s="12"/>
      <c r="B604" s="52"/>
      <c r="C604" s="12"/>
      <c r="D604" s="12"/>
      <c r="E604" s="12"/>
    </row>
    <row r="605" spans="1:18">
      <c r="A605" s="12"/>
      <c r="B605" s="52"/>
      <c r="C605" s="12"/>
      <c r="D605" s="12"/>
      <c r="E605" s="12"/>
    </row>
    <row r="606" spans="1:18">
      <c r="A606" s="12"/>
      <c r="B606" s="52"/>
      <c r="C606" s="12"/>
      <c r="D606" s="12"/>
      <c r="E606" s="12"/>
    </row>
    <row r="607" spans="1:18">
      <c r="A607" s="12"/>
      <c r="B607" s="53"/>
      <c r="C607" s="12"/>
      <c r="D607" s="12"/>
      <c r="E607" s="12"/>
    </row>
    <row r="608" spans="1:18">
      <c r="A608" s="12"/>
      <c r="B608" s="52"/>
      <c r="C608" s="12"/>
      <c r="D608" s="12"/>
      <c r="E608" s="12"/>
    </row>
    <row r="609" spans="1:5">
      <c r="A609" s="12"/>
      <c r="B609" s="52"/>
      <c r="C609" s="12"/>
      <c r="D609" s="12"/>
      <c r="E609" s="12"/>
    </row>
    <row r="610" spans="1:5">
      <c r="A610" s="12"/>
      <c r="B610" s="48"/>
      <c r="C610" s="12"/>
      <c r="D610" s="12"/>
      <c r="E610" s="12"/>
    </row>
    <row r="611" spans="1:5">
      <c r="A611" s="12"/>
      <c r="B611" s="52"/>
      <c r="C611" s="12"/>
      <c r="D611" s="12"/>
      <c r="E611" s="12"/>
    </row>
    <row r="612" spans="1:5">
      <c r="A612" s="12"/>
      <c r="B612" s="53"/>
      <c r="C612" s="12"/>
      <c r="D612" s="12"/>
      <c r="E612" s="12"/>
    </row>
    <row r="613" spans="1:5">
      <c r="A613" s="12"/>
      <c r="B613" s="53"/>
      <c r="C613" s="12"/>
      <c r="D613" s="12"/>
      <c r="E613" s="12"/>
    </row>
    <row r="614" spans="1:5">
      <c r="A614" s="12"/>
      <c r="B614" s="52"/>
      <c r="C614" s="12"/>
      <c r="D614" s="12"/>
      <c r="E614" s="12"/>
    </row>
    <row r="615" spans="1:5">
      <c r="A615" s="12"/>
      <c r="B615" s="48"/>
      <c r="C615" s="12"/>
      <c r="D615" s="12"/>
      <c r="E615" s="12"/>
    </row>
    <row r="616" spans="1:5">
      <c r="A616" s="12"/>
      <c r="B616" s="53"/>
      <c r="C616" s="12"/>
      <c r="D616" s="12"/>
      <c r="E616" s="12"/>
    </row>
    <row r="617" spans="1:5">
      <c r="A617" s="12"/>
      <c r="B617" s="53"/>
      <c r="C617" s="12"/>
      <c r="D617" s="12"/>
      <c r="E617" s="12"/>
    </row>
    <row r="618" spans="1:5">
      <c r="A618" s="12"/>
      <c r="B618" s="53"/>
      <c r="C618" s="12"/>
      <c r="D618" s="12"/>
      <c r="E618" s="12"/>
    </row>
    <row r="619" spans="1:5">
      <c r="A619" s="12"/>
      <c r="B619" s="53"/>
      <c r="C619" s="12"/>
      <c r="D619" s="12"/>
      <c r="E619" s="12"/>
    </row>
    <row r="620" spans="1:5">
      <c r="A620" s="12"/>
      <c r="B620" s="53"/>
      <c r="C620" s="12"/>
      <c r="D620" s="12"/>
      <c r="E620" s="12"/>
    </row>
    <row r="621" spans="1:5">
      <c r="A621" s="12"/>
      <c r="B621" s="53"/>
      <c r="C621" s="12"/>
      <c r="D621" s="12"/>
      <c r="E621" s="12"/>
    </row>
    <row r="622" spans="1:5">
      <c r="A622" s="12"/>
      <c r="B622" s="53"/>
      <c r="C622" s="12"/>
      <c r="D622" s="12"/>
      <c r="E622" s="12"/>
    </row>
    <row r="623" spans="1:5">
      <c r="A623" s="12"/>
      <c r="B623" s="28"/>
      <c r="C623" s="12"/>
      <c r="D623" s="12"/>
      <c r="E623" s="12"/>
    </row>
    <row r="624" spans="1:5">
      <c r="A624" s="12"/>
      <c r="B624" s="28"/>
      <c r="C624" s="12"/>
      <c r="D624" s="12"/>
      <c r="E624" s="12"/>
    </row>
    <row r="625" spans="1:5">
      <c r="A625" s="12"/>
      <c r="B625" s="28"/>
      <c r="C625" s="12"/>
      <c r="D625" s="12"/>
      <c r="E625" s="12"/>
    </row>
    <row r="626" spans="1:5">
      <c r="A626" s="12"/>
      <c r="B626" s="26"/>
      <c r="C626" s="12"/>
      <c r="D626" s="12"/>
      <c r="E626" s="12"/>
    </row>
    <row r="627" spans="1:5">
      <c r="A627" s="12"/>
      <c r="B627" s="26"/>
      <c r="C627" s="12"/>
      <c r="D627" s="12"/>
      <c r="E627" s="12"/>
    </row>
    <row r="628" spans="1:5">
      <c r="A628" s="12"/>
      <c r="B628" s="26"/>
      <c r="C628" s="12"/>
      <c r="D628" s="12"/>
      <c r="E628" s="12"/>
    </row>
    <row r="629" spans="1:5">
      <c r="A629" s="12"/>
      <c r="B629" s="28"/>
      <c r="C629" s="12"/>
      <c r="D629" s="12"/>
      <c r="E629" s="12"/>
    </row>
    <row r="630" spans="1:5">
      <c r="A630" s="12"/>
      <c r="B630" s="26"/>
      <c r="C630" s="12"/>
      <c r="D630" s="12"/>
      <c r="E630" s="12"/>
    </row>
    <row r="631" spans="1:5">
      <c r="A631" s="12"/>
      <c r="B631" s="28"/>
      <c r="C631" s="12"/>
      <c r="D631" s="12"/>
      <c r="E631" s="12"/>
    </row>
    <row r="632" spans="1:5">
      <c r="A632" s="12"/>
      <c r="B632" s="26"/>
      <c r="C632" s="12"/>
      <c r="D632" s="12"/>
      <c r="E632" s="12"/>
    </row>
    <row r="633" spans="1:5">
      <c r="A633" s="12"/>
      <c r="B633" s="33"/>
      <c r="C633" s="12"/>
      <c r="D633" s="12"/>
      <c r="E633" s="12"/>
    </row>
    <row r="634" spans="1:5">
      <c r="A634" s="12"/>
      <c r="B634" s="33"/>
      <c r="C634" s="12"/>
      <c r="D634" s="12"/>
      <c r="E634" s="12"/>
    </row>
    <row r="635" spans="1:5">
      <c r="A635" s="12"/>
      <c r="B635" s="33"/>
      <c r="C635" s="12"/>
      <c r="D635" s="12"/>
      <c r="E635" s="12"/>
    </row>
    <row r="636" spans="1:5">
      <c r="A636" s="12"/>
      <c r="B636" s="26"/>
      <c r="C636" s="12"/>
      <c r="D636" s="12"/>
      <c r="E636" s="12"/>
    </row>
    <row r="637" spans="1:5">
      <c r="A637" s="12"/>
      <c r="B637" s="28"/>
      <c r="C637" s="12"/>
      <c r="D637" s="12"/>
      <c r="E637" s="12"/>
    </row>
    <row r="638" spans="1:5">
      <c r="A638" s="12"/>
      <c r="B638" s="26"/>
      <c r="C638" s="12"/>
      <c r="D638" s="12"/>
      <c r="E638" s="12"/>
    </row>
    <row r="639" spans="1:5">
      <c r="A639" s="12"/>
      <c r="B639" s="28"/>
      <c r="C639" s="12"/>
      <c r="D639" s="12"/>
      <c r="E639" s="12"/>
    </row>
    <row r="640" spans="1:5">
      <c r="A640" s="12"/>
      <c r="B640" s="28"/>
      <c r="C640" s="12"/>
      <c r="D640" s="12"/>
      <c r="E640" s="12"/>
    </row>
    <row r="641" spans="1:5">
      <c r="A641" s="12"/>
      <c r="B641" s="26"/>
      <c r="C641" s="12"/>
      <c r="D641" s="12"/>
      <c r="E641" s="12"/>
    </row>
    <row r="642" spans="1:5">
      <c r="A642" s="12"/>
      <c r="B642" s="26"/>
      <c r="C642" s="12"/>
      <c r="D642" s="12"/>
      <c r="E642" s="12"/>
    </row>
    <row r="643" spans="1:5">
      <c r="A643" s="12"/>
      <c r="B643" s="26"/>
      <c r="C643" s="12"/>
      <c r="D643" s="12"/>
      <c r="E643" s="12"/>
    </row>
    <row r="644" spans="1:5">
      <c r="A644" s="12"/>
      <c r="B644" s="26"/>
      <c r="C644" s="12"/>
      <c r="D644" s="12"/>
      <c r="E644" s="12"/>
    </row>
    <row r="645" spans="1:5">
      <c r="A645" s="12"/>
      <c r="B645" s="26"/>
      <c r="C645" s="12"/>
      <c r="D645" s="12"/>
      <c r="E645" s="12"/>
    </row>
    <row r="646" spans="1:5">
      <c r="A646" s="12"/>
      <c r="B646" s="26"/>
      <c r="C646" s="12"/>
      <c r="D646" s="12"/>
      <c r="E646" s="12"/>
    </row>
    <row r="647" spans="1:5">
      <c r="A647" s="12"/>
      <c r="B647" s="28"/>
      <c r="C647" s="12"/>
      <c r="D647" s="12"/>
      <c r="E647" s="12"/>
    </row>
    <row r="648" spans="1:5">
      <c r="A648" s="12"/>
      <c r="B648" s="28"/>
      <c r="C648" s="12"/>
      <c r="D648" s="12"/>
      <c r="E648" s="12"/>
    </row>
    <row r="649" spans="1:5">
      <c r="A649" s="12"/>
      <c r="B649" s="26"/>
      <c r="C649" s="12"/>
      <c r="D649" s="12"/>
      <c r="E649" s="12"/>
    </row>
    <row r="650" spans="1:5">
      <c r="A650" s="12"/>
      <c r="B650" s="33"/>
      <c r="C650" s="12"/>
      <c r="D650" s="12"/>
      <c r="E650" s="12"/>
    </row>
    <row r="651" spans="1:5">
      <c r="A651" s="12"/>
      <c r="B651" s="26"/>
      <c r="C651" s="12"/>
      <c r="D651" s="12"/>
      <c r="E651" s="12"/>
    </row>
    <row r="652" spans="1:5">
      <c r="A652" s="12"/>
      <c r="B652" s="26"/>
      <c r="C652" s="12"/>
      <c r="D652" s="12"/>
      <c r="E652" s="12"/>
    </row>
    <row r="653" spans="1:5">
      <c r="A653" s="12"/>
      <c r="B653" s="26"/>
      <c r="C653" s="12"/>
      <c r="D653" s="12"/>
      <c r="E653" s="12"/>
    </row>
    <row r="654" spans="1:5">
      <c r="A654" s="12"/>
      <c r="B654" s="26"/>
      <c r="C654" s="12"/>
      <c r="D654" s="12"/>
      <c r="E654" s="12"/>
    </row>
    <row r="655" spans="1:5">
      <c r="A655" s="12"/>
      <c r="B655" s="26"/>
      <c r="C655" s="12"/>
      <c r="D655" s="12"/>
      <c r="E655" s="12"/>
    </row>
    <row r="656" spans="1:5">
      <c r="A656" s="12"/>
      <c r="B656" s="28"/>
      <c r="C656" s="12"/>
      <c r="D656" s="12"/>
      <c r="E656" s="12"/>
    </row>
    <row r="657" spans="1:5">
      <c r="A657" s="12"/>
      <c r="B657" s="28"/>
      <c r="C657" s="12"/>
      <c r="D657" s="12"/>
      <c r="E657" s="12"/>
    </row>
    <row r="658" spans="1:5">
      <c r="A658" s="12"/>
      <c r="B658" s="28"/>
      <c r="C658" s="12"/>
      <c r="D658" s="12"/>
      <c r="E658" s="12"/>
    </row>
    <row r="659" spans="1:5">
      <c r="A659" s="12"/>
      <c r="B659" s="28"/>
      <c r="C659" s="12"/>
      <c r="D659" s="12"/>
      <c r="E659" s="12"/>
    </row>
    <row r="660" spans="1:5">
      <c r="A660" s="12"/>
      <c r="B660" s="26"/>
      <c r="C660" s="12"/>
      <c r="D660" s="12"/>
      <c r="E660" s="12"/>
    </row>
    <row r="661" spans="1:5">
      <c r="A661" s="12"/>
      <c r="B661" s="26"/>
      <c r="C661" s="12"/>
      <c r="D661" s="12"/>
      <c r="E661" s="12"/>
    </row>
    <row r="662" spans="1:5">
      <c r="A662" s="12"/>
      <c r="B662" s="26"/>
      <c r="C662" s="12"/>
      <c r="D662" s="12"/>
      <c r="E662" s="12"/>
    </row>
    <row r="663" spans="1:5">
      <c r="A663" s="12"/>
      <c r="B663" s="28"/>
      <c r="C663" s="12"/>
      <c r="D663" s="12"/>
      <c r="E663" s="12"/>
    </row>
    <row r="664" spans="1:5">
      <c r="A664" s="12"/>
      <c r="B664" s="28"/>
      <c r="C664" s="12"/>
      <c r="D664" s="12"/>
      <c r="E664" s="12"/>
    </row>
    <row r="665" spans="1:5">
      <c r="A665" s="12"/>
      <c r="B665" s="28"/>
      <c r="C665" s="12"/>
      <c r="D665" s="12"/>
      <c r="E665" s="12"/>
    </row>
    <row r="666" spans="1:5">
      <c r="A666" s="12"/>
      <c r="B666" s="28"/>
      <c r="C666" s="12"/>
      <c r="D666" s="12"/>
      <c r="E666" s="12"/>
    </row>
    <row r="667" spans="1:5">
      <c r="A667" s="12"/>
      <c r="B667" s="28"/>
      <c r="C667" s="12"/>
      <c r="D667" s="12"/>
      <c r="E667" s="12"/>
    </row>
    <row r="668" spans="1:5">
      <c r="A668" s="12"/>
      <c r="B668" s="26"/>
      <c r="C668" s="12"/>
      <c r="D668" s="12"/>
      <c r="E668" s="12"/>
    </row>
    <row r="669" spans="1:5">
      <c r="A669" s="12"/>
      <c r="B669" s="28"/>
      <c r="C669" s="12"/>
      <c r="D669" s="12"/>
      <c r="E669" s="12"/>
    </row>
    <row r="670" spans="1:5">
      <c r="A670" s="12"/>
      <c r="B670" s="26"/>
      <c r="C670" s="12"/>
      <c r="D670" s="12"/>
      <c r="E670" s="12"/>
    </row>
    <row r="671" spans="1:5">
      <c r="A671" s="12"/>
      <c r="B671" s="26"/>
      <c r="C671" s="12"/>
      <c r="D671" s="12"/>
      <c r="E671" s="12"/>
    </row>
    <row r="672" spans="1:5">
      <c r="A672" s="12"/>
      <c r="B672" s="26"/>
      <c r="C672" s="12"/>
      <c r="D672" s="12"/>
      <c r="E672" s="12"/>
    </row>
    <row r="673" spans="1:13">
      <c r="A673" s="12"/>
      <c r="B673" s="26"/>
      <c r="C673" s="12"/>
      <c r="D673" s="12"/>
      <c r="E673" s="12"/>
    </row>
    <row r="674" spans="1:13">
      <c r="A674" s="12"/>
      <c r="B674" s="26"/>
      <c r="C674" s="12"/>
      <c r="D674" s="12"/>
      <c r="E674" s="12"/>
    </row>
    <row r="675" spans="1:13">
      <c r="A675" s="12"/>
      <c r="B675" s="28"/>
      <c r="C675" s="12"/>
      <c r="D675" s="12"/>
      <c r="E675" s="12"/>
    </row>
    <row r="676" spans="1:13">
      <c r="A676" s="12"/>
      <c r="B676" s="28"/>
      <c r="C676" s="12"/>
      <c r="D676" s="12"/>
      <c r="E676" s="12"/>
    </row>
    <row r="677" spans="1:13">
      <c r="A677" s="12"/>
      <c r="B677" s="33"/>
      <c r="C677" s="12"/>
      <c r="D677" s="12"/>
      <c r="E677" s="12"/>
    </row>
    <row r="678" spans="1:13">
      <c r="A678" s="12"/>
      <c r="B678" s="33"/>
      <c r="C678" s="12"/>
      <c r="D678" s="12"/>
      <c r="E678" s="12"/>
    </row>
    <row r="679" spans="1:13">
      <c r="A679" s="12"/>
      <c r="B679" s="33"/>
      <c r="C679" s="12"/>
      <c r="D679" s="12"/>
      <c r="E679" s="12"/>
    </row>
    <row r="680" spans="1:13">
      <c r="A680" s="12"/>
      <c r="B680" s="33"/>
      <c r="C680" s="12"/>
      <c r="D680" s="12"/>
      <c r="E680" s="12"/>
    </row>
    <row r="681" spans="1:13">
      <c r="A681" s="12"/>
      <c r="B681" s="26"/>
      <c r="C681" s="12"/>
      <c r="D681" s="12"/>
      <c r="E681" s="12"/>
    </row>
    <row r="682" spans="1:13">
      <c r="A682" s="12"/>
      <c r="B682" s="33"/>
      <c r="C682" s="12"/>
      <c r="D682" s="12"/>
      <c r="E682" s="12"/>
    </row>
    <row r="683" spans="1:13">
      <c r="A683" s="12"/>
      <c r="B683" s="33"/>
      <c r="C683" s="12"/>
      <c r="D683" s="12"/>
      <c r="E683" s="12"/>
    </row>
    <row r="684" spans="1:13">
      <c r="A684" s="12"/>
      <c r="B684" s="33"/>
      <c r="C684" s="12"/>
      <c r="D684" s="12"/>
      <c r="E684" s="12"/>
    </row>
    <row r="685" spans="1:13">
      <c r="A685" s="12"/>
      <c r="B685" s="33"/>
      <c r="C685" s="12"/>
      <c r="D685" s="12"/>
      <c r="E685" s="12"/>
    </row>
    <row r="686" spans="1:13">
      <c r="A686" s="12"/>
      <c r="B686" s="28"/>
      <c r="C686" s="12"/>
      <c r="D686" s="12"/>
      <c r="E686" s="12"/>
      <c r="L686" s="33"/>
      <c r="M686" s="50"/>
    </row>
    <row r="687" spans="1:13">
      <c r="A687" s="12"/>
      <c r="B687" s="33"/>
      <c r="C687" s="12"/>
      <c r="D687" s="12"/>
      <c r="E687" s="12"/>
      <c r="L687" s="33"/>
      <c r="M687" s="50"/>
    </row>
    <row r="688" spans="1:13">
      <c r="A688" s="12"/>
      <c r="B688" s="33"/>
      <c r="C688" s="12"/>
      <c r="D688" s="12"/>
      <c r="E688" s="12"/>
      <c r="L688" s="33"/>
      <c r="M688" s="50"/>
    </row>
    <row r="689" spans="1:15">
      <c r="A689" s="12"/>
      <c r="B689" s="33"/>
      <c r="C689" s="12"/>
      <c r="D689" s="12"/>
      <c r="E689" s="12"/>
      <c r="L689" s="33"/>
      <c r="M689" s="50"/>
    </row>
    <row r="690" spans="1:15">
      <c r="A690" s="12"/>
      <c r="B690" s="33"/>
      <c r="C690" s="12"/>
      <c r="D690" s="12"/>
      <c r="E690" s="12"/>
      <c r="L690" s="33"/>
      <c r="M690" s="50"/>
    </row>
    <row r="691" spans="1:15">
      <c r="A691" s="12"/>
      <c r="B691" s="33"/>
      <c r="C691" s="12"/>
      <c r="D691" s="12"/>
      <c r="E691" s="12"/>
      <c r="L691" s="33"/>
      <c r="M691" s="50"/>
    </row>
    <row r="692" spans="1:15">
      <c r="A692" s="12"/>
      <c r="B692" s="33"/>
      <c r="C692" s="12"/>
      <c r="D692" s="12"/>
      <c r="E692" s="12"/>
    </row>
    <row r="693" spans="1:15">
      <c r="A693" s="12"/>
      <c r="B693" s="33"/>
      <c r="C693" s="12"/>
      <c r="D693" s="12"/>
      <c r="E693" s="12"/>
    </row>
    <row r="694" spans="1:15">
      <c r="A694" s="12"/>
      <c r="B694" s="33"/>
      <c r="C694" s="12"/>
      <c r="D694" s="12"/>
      <c r="E694" s="12"/>
    </row>
    <row r="695" spans="1:15">
      <c r="A695" s="12"/>
      <c r="B695" s="33"/>
      <c r="C695" s="12"/>
      <c r="D695" s="12"/>
      <c r="E695" s="12"/>
    </row>
    <row r="696" spans="1:15">
      <c r="A696" s="12"/>
      <c r="B696" s="33"/>
      <c r="C696" s="12"/>
      <c r="D696" s="12"/>
      <c r="E696" s="12"/>
      <c r="K696" s="33"/>
      <c r="L696" s="50"/>
    </row>
    <row r="697" spans="1:15">
      <c r="A697" s="12"/>
      <c r="B697" s="33"/>
      <c r="C697" s="12"/>
      <c r="D697" s="12"/>
      <c r="E697" s="12"/>
      <c r="K697" s="33"/>
      <c r="L697" s="50"/>
    </row>
    <row r="698" spans="1:15">
      <c r="A698" s="12"/>
      <c r="B698" s="28"/>
      <c r="C698" s="12"/>
      <c r="D698" s="12"/>
      <c r="E698" s="12"/>
      <c r="K698" s="33"/>
      <c r="L698" s="50"/>
    </row>
    <row r="699" spans="1:15">
      <c r="A699" s="12"/>
      <c r="B699" s="26"/>
      <c r="C699" s="12"/>
      <c r="D699" s="12"/>
      <c r="E699" s="12"/>
    </row>
    <row r="700" spans="1:15">
      <c r="A700" s="12"/>
      <c r="B700" s="33"/>
      <c r="C700" s="12"/>
      <c r="D700" s="12"/>
      <c r="E700" s="12"/>
    </row>
    <row r="701" spans="1:15">
      <c r="A701" s="12"/>
      <c r="B701" s="33"/>
      <c r="C701" s="12"/>
      <c r="D701" s="12"/>
      <c r="E701" s="12"/>
    </row>
    <row r="702" spans="1:15">
      <c r="A702" s="12"/>
      <c r="B702" s="33"/>
      <c r="C702" s="12"/>
      <c r="D702" s="12"/>
      <c r="E702" s="12"/>
      <c r="O702" s="22"/>
    </row>
    <row r="703" spans="1:15">
      <c r="A703" s="12"/>
      <c r="B703" s="33"/>
      <c r="C703" s="12"/>
      <c r="D703" s="12"/>
      <c r="E703" s="12"/>
    </row>
    <row r="704" spans="1:15">
      <c r="A704" s="12"/>
      <c r="B704" s="33"/>
      <c r="C704" s="12"/>
      <c r="D704" s="12"/>
      <c r="E704" s="12"/>
    </row>
    <row r="705" spans="1:5">
      <c r="A705" s="12"/>
      <c r="B705" s="33"/>
      <c r="C705" s="12"/>
      <c r="D705" s="12"/>
      <c r="E705" s="12"/>
    </row>
    <row r="706" spans="1:5">
      <c r="A706" s="12"/>
      <c r="B706" s="26"/>
      <c r="C706" s="12"/>
      <c r="D706" s="12"/>
      <c r="E706" s="12"/>
    </row>
    <row r="707" spans="1:5">
      <c r="A707" s="12"/>
      <c r="B707" s="28"/>
      <c r="C707" s="12"/>
      <c r="D707" s="12"/>
      <c r="E707" s="12"/>
    </row>
    <row r="708" spans="1:5">
      <c r="A708" s="12"/>
      <c r="B708" s="28"/>
      <c r="C708" s="12"/>
      <c r="D708" s="12"/>
      <c r="E708" s="12"/>
    </row>
    <row r="709" spans="1:5">
      <c r="A709" s="12"/>
      <c r="B709" s="28"/>
      <c r="C709" s="12"/>
      <c r="D709" s="12"/>
      <c r="E709" s="12"/>
    </row>
    <row r="710" spans="1:5">
      <c r="A710" s="12"/>
      <c r="B710" s="28"/>
      <c r="C710" s="12"/>
      <c r="D710" s="12"/>
      <c r="E710" s="12"/>
    </row>
    <row r="711" spans="1:5">
      <c r="A711" s="12"/>
      <c r="B711" s="26"/>
      <c r="C711" s="12"/>
      <c r="D711" s="12"/>
      <c r="E711" s="12"/>
    </row>
    <row r="712" spans="1:5">
      <c r="A712" s="12"/>
      <c r="B712" s="26"/>
      <c r="C712" s="12"/>
      <c r="D712" s="12"/>
      <c r="E712" s="12"/>
    </row>
    <row r="713" spans="1:5">
      <c r="A713" s="12"/>
      <c r="B713" s="26"/>
      <c r="C713" s="12"/>
      <c r="D713" s="12"/>
      <c r="E713" s="12"/>
    </row>
    <row r="714" spans="1:5">
      <c r="A714" s="12"/>
      <c r="B714" s="26"/>
      <c r="C714" s="12"/>
      <c r="D714" s="12"/>
      <c r="E714" s="12"/>
    </row>
    <row r="715" spans="1:5">
      <c r="A715" s="12"/>
      <c r="B715" s="26"/>
      <c r="C715" s="12"/>
      <c r="D715" s="12"/>
      <c r="E715" s="12"/>
    </row>
    <row r="716" spans="1:5">
      <c r="A716" s="12"/>
      <c r="B716" s="33"/>
      <c r="C716" s="12"/>
      <c r="D716" s="12"/>
      <c r="E716" s="12"/>
    </row>
    <row r="717" spans="1:5">
      <c r="A717" s="12"/>
      <c r="B717" s="28"/>
      <c r="C717" s="12"/>
      <c r="D717" s="12"/>
      <c r="E717" s="12"/>
    </row>
    <row r="718" spans="1:5">
      <c r="A718" s="12"/>
      <c r="B718" s="33"/>
      <c r="C718" s="12"/>
      <c r="D718" s="12"/>
      <c r="E718" s="12"/>
    </row>
    <row r="719" spans="1:5">
      <c r="A719" s="12"/>
      <c r="B719" s="33"/>
      <c r="C719" s="12"/>
      <c r="D719" s="12"/>
      <c r="E719" s="12"/>
    </row>
    <row r="720" spans="1:5">
      <c r="A720" s="12"/>
      <c r="B720" s="33"/>
      <c r="C720" s="12"/>
      <c r="D720" s="12"/>
      <c r="E720" s="12"/>
    </row>
    <row r="721" spans="1:5">
      <c r="A721" s="12"/>
      <c r="B721" s="33"/>
      <c r="C721" s="12"/>
      <c r="D721" s="12"/>
      <c r="E721" s="12"/>
    </row>
    <row r="722" spans="1:5">
      <c r="A722" s="12"/>
      <c r="B722" s="28"/>
      <c r="C722" s="12"/>
      <c r="D722" s="12"/>
      <c r="E722" s="12"/>
    </row>
    <row r="723" spans="1:5">
      <c r="A723" s="12"/>
      <c r="B723" s="28"/>
      <c r="C723" s="12"/>
      <c r="D723" s="12"/>
      <c r="E723" s="12"/>
    </row>
    <row r="724" spans="1:5">
      <c r="A724" s="12"/>
      <c r="B724" s="26"/>
      <c r="C724" s="12"/>
      <c r="D724" s="12"/>
      <c r="E724" s="12"/>
    </row>
    <row r="725" spans="1:5">
      <c r="A725" s="12"/>
      <c r="B725" s="26"/>
      <c r="C725" s="12"/>
      <c r="D725" s="12"/>
      <c r="E725" s="12"/>
    </row>
    <row r="726" spans="1:5">
      <c r="A726" s="12"/>
      <c r="B726" s="26"/>
      <c r="C726" s="12"/>
      <c r="D726" s="12"/>
      <c r="E726" s="12"/>
    </row>
    <row r="727" spans="1:5">
      <c r="A727" s="12"/>
      <c r="B727" s="26"/>
      <c r="C727" s="12"/>
      <c r="D727" s="12"/>
      <c r="E727" s="12"/>
    </row>
    <row r="728" spans="1:5">
      <c r="A728" s="12"/>
      <c r="B728" s="26"/>
      <c r="C728" s="12"/>
      <c r="D728" s="12"/>
      <c r="E728" s="12"/>
    </row>
    <row r="729" spans="1:5">
      <c r="A729" s="12"/>
      <c r="B729" s="26"/>
      <c r="C729" s="12"/>
      <c r="D729" s="12"/>
      <c r="E729" s="12"/>
    </row>
    <row r="730" spans="1:5">
      <c r="A730" s="12"/>
      <c r="B730" s="26"/>
      <c r="C730" s="12"/>
      <c r="D730" s="12"/>
      <c r="E730" s="12"/>
    </row>
    <row r="731" spans="1:5">
      <c r="A731" s="12"/>
      <c r="B731" s="26"/>
      <c r="C731" s="12"/>
      <c r="D731" s="12"/>
      <c r="E731" s="12"/>
    </row>
    <row r="732" spans="1:5">
      <c r="A732" s="12"/>
      <c r="B732" s="28"/>
      <c r="C732" s="12"/>
      <c r="D732" s="12"/>
      <c r="E732" s="12"/>
    </row>
    <row r="733" spans="1:5">
      <c r="A733" s="12"/>
      <c r="B733" s="28"/>
      <c r="C733" s="12"/>
      <c r="D733" s="12"/>
      <c r="E733" s="12"/>
    </row>
    <row r="734" spans="1:5">
      <c r="A734" s="12"/>
      <c r="B734" s="26"/>
      <c r="C734" s="12"/>
      <c r="D734" s="12"/>
      <c r="E734" s="12"/>
    </row>
    <row r="735" spans="1:5">
      <c r="A735" s="12"/>
      <c r="B735" s="28"/>
      <c r="C735" s="12"/>
      <c r="D735" s="12"/>
      <c r="E735" s="12"/>
    </row>
    <row r="736" spans="1:5">
      <c r="A736" s="12"/>
      <c r="B736" s="28"/>
      <c r="C736" s="12"/>
      <c r="D736" s="12"/>
      <c r="E736" s="12"/>
    </row>
    <row r="737" spans="1:5">
      <c r="A737" s="12"/>
      <c r="B737" s="28"/>
      <c r="C737" s="12"/>
      <c r="D737" s="12"/>
      <c r="E737" s="12"/>
    </row>
    <row r="738" spans="1:5">
      <c r="A738" s="12"/>
      <c r="B738" s="26"/>
      <c r="C738" s="12"/>
      <c r="D738" s="12"/>
      <c r="E738" s="12"/>
    </row>
    <row r="739" spans="1:5">
      <c r="A739" s="12"/>
      <c r="B739" s="26"/>
      <c r="C739" s="12"/>
      <c r="D739" s="12"/>
      <c r="E739" s="12"/>
    </row>
    <row r="740" spans="1:5">
      <c r="A740" s="12"/>
      <c r="B740" s="26"/>
      <c r="C740" s="12"/>
      <c r="D740" s="12"/>
      <c r="E740" s="12"/>
    </row>
    <row r="741" spans="1:5">
      <c r="A741" s="12"/>
      <c r="B741" s="26"/>
      <c r="C741" s="12"/>
      <c r="D741" s="12"/>
      <c r="E741" s="12"/>
    </row>
    <row r="742" spans="1:5">
      <c r="B742" s="54"/>
    </row>
    <row r="743" spans="1:5">
      <c r="C743" s="55"/>
      <c r="D743" s="55"/>
      <c r="E743" s="55"/>
    </row>
  </sheetData>
  <printOptions horizontalCentered="1"/>
  <pageMargins left="0.7" right="0.7" top="0.75" bottom="0.75" header="0.3" footer="0.3"/>
  <pageSetup scale="82" fitToHeight="0" orientation="landscape" horizontalDpi="1200" verticalDpi="1200" r:id="rId1"/>
  <rowBreaks count="13" manualBreakCount="13">
    <brk id="181" max="5" man="1"/>
    <brk id="298" max="16383" man="1"/>
    <brk id="324" max="16383" man="1"/>
    <brk id="349" max="16383" man="1"/>
    <brk id="375" max="16383" man="1"/>
    <brk id="394" max="16383" man="1"/>
    <brk id="452" max="16383" man="1"/>
    <brk id="474" max="16383" man="1"/>
    <brk id="530" max="16383" man="1"/>
    <brk id="549" max="16383" man="1"/>
    <brk id="583" max="16383" man="1"/>
    <brk id="646" max="16383" man="1"/>
    <brk id="70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  <pageSetUpPr fitToPage="1"/>
  </sheetPr>
  <dimension ref="A1:H88"/>
  <sheetViews>
    <sheetView workbookViewId="0">
      <selection activeCell="J32" sqref="J32"/>
    </sheetView>
  </sheetViews>
  <sheetFormatPr defaultColWidth="9" defaultRowHeight="14.25"/>
  <cols>
    <col min="1" max="1" width="9" style="10"/>
    <col min="2" max="2" width="42.125" style="10" customWidth="1"/>
    <col min="3" max="3" width="15.5" style="10" customWidth="1"/>
    <col min="4" max="4" width="13.625" style="10" customWidth="1"/>
    <col min="5" max="5" width="14.625" style="10" customWidth="1"/>
    <col min="6" max="6" width="10.875" style="10" bestFit="1" customWidth="1"/>
    <col min="7" max="16384" width="9" style="10"/>
  </cols>
  <sheetData>
    <row r="1" spans="1:6" ht="15">
      <c r="F1" s="225" t="str">
        <f>Index!$D$1</f>
        <v>Exhibit No. SPP-12</v>
      </c>
    </row>
    <row r="2" spans="1:6" ht="15">
      <c r="E2" s="11"/>
      <c r="F2" s="276" t="s">
        <v>548</v>
      </c>
    </row>
    <row r="3" spans="1:6" ht="15">
      <c r="E3" s="11"/>
      <c r="F3" s="276" t="s">
        <v>252</v>
      </c>
    </row>
    <row r="4" spans="1:6" ht="21">
      <c r="B4" s="114" t="str">
        <f>Index!B4</f>
        <v>Tri-State Generation and Transmission Association, Inc.</v>
      </c>
      <c r="E4" s="113"/>
      <c r="F4" s="11"/>
    </row>
    <row r="5" spans="1:6" ht="15">
      <c r="B5" s="9"/>
      <c r="E5" s="113"/>
      <c r="F5" s="11"/>
    </row>
    <row r="6" spans="1:6" ht="15.75">
      <c r="B6" s="112" t="str">
        <f>Index!C16</f>
        <v xml:space="preserve">O&amp;M </v>
      </c>
      <c r="E6" s="113"/>
      <c r="F6" s="11"/>
    </row>
    <row r="7" spans="1:6" ht="15.75">
      <c r="B7" s="112" t="str">
        <f>Index!B7</f>
        <v>Year Ending December 31, 2016</v>
      </c>
      <c r="E7" s="11"/>
      <c r="F7" s="11"/>
    </row>
    <row r="8" spans="1:6" ht="15">
      <c r="B8" s="9"/>
      <c r="E8" s="11"/>
      <c r="F8" s="11"/>
    </row>
    <row r="9" spans="1:6" ht="15">
      <c r="A9" s="81" t="s">
        <v>20</v>
      </c>
      <c r="B9" s="82" t="s">
        <v>21</v>
      </c>
      <c r="C9" s="82" t="s">
        <v>22</v>
      </c>
      <c r="D9" s="82" t="s">
        <v>23</v>
      </c>
      <c r="E9" s="82" t="s">
        <v>24</v>
      </c>
      <c r="F9" s="82" t="s">
        <v>25</v>
      </c>
    </row>
    <row r="10" spans="1:6">
      <c r="A10" s="94"/>
      <c r="B10" s="95"/>
      <c r="C10" s="96"/>
      <c r="D10" s="96"/>
      <c r="E10" s="96"/>
      <c r="F10" s="97"/>
    </row>
    <row r="11" spans="1:6" ht="15">
      <c r="A11" s="332" t="s">
        <v>226</v>
      </c>
      <c r="B11" s="332"/>
      <c r="C11" s="332"/>
      <c r="D11" s="332"/>
      <c r="E11" s="332"/>
      <c r="F11" s="98"/>
    </row>
    <row r="12" spans="1:6" ht="15">
      <c r="A12" s="333" t="s">
        <v>227</v>
      </c>
      <c r="B12" s="334"/>
      <c r="C12" s="111" t="s">
        <v>228</v>
      </c>
      <c r="D12" s="111" t="s">
        <v>89</v>
      </c>
      <c r="E12" s="111" t="s">
        <v>229</v>
      </c>
      <c r="F12" s="99" t="s">
        <v>2</v>
      </c>
    </row>
    <row r="13" spans="1:6" ht="15">
      <c r="A13" s="335" t="s">
        <v>230</v>
      </c>
      <c r="B13" s="335"/>
      <c r="C13" s="335"/>
      <c r="D13" s="335"/>
      <c r="E13" s="335"/>
      <c r="F13" s="98"/>
    </row>
    <row r="14" spans="1:6">
      <c r="A14" s="73">
        <v>1</v>
      </c>
      <c r="B14" s="74" t="s">
        <v>90</v>
      </c>
      <c r="C14" s="75">
        <v>560</v>
      </c>
      <c r="D14" s="324">
        <v>6405346</v>
      </c>
      <c r="E14" s="325">
        <v>11895643</v>
      </c>
      <c r="F14" s="100">
        <f t="shared" ref="F14:F23" si="0">SUM(D14:E14)</f>
        <v>18300989</v>
      </c>
    </row>
    <row r="15" spans="1:6">
      <c r="A15" s="73">
        <f t="shared" ref="A15:A23" si="1">A14+1</f>
        <v>2</v>
      </c>
      <c r="B15" s="74" t="s">
        <v>91</v>
      </c>
      <c r="C15" s="75">
        <v>561</v>
      </c>
      <c r="D15" s="324">
        <v>9253409</v>
      </c>
      <c r="E15" s="301"/>
      <c r="F15" s="100">
        <f t="shared" si="0"/>
        <v>9253409</v>
      </c>
    </row>
    <row r="16" spans="1:6">
      <c r="A16" s="73">
        <f t="shared" si="1"/>
        <v>3</v>
      </c>
      <c r="B16" s="74" t="s">
        <v>92</v>
      </c>
      <c r="C16" s="75">
        <v>562</v>
      </c>
      <c r="D16" s="302"/>
      <c r="E16" s="326">
        <v>15372051</v>
      </c>
      <c r="F16" s="100">
        <f t="shared" si="0"/>
        <v>15372051</v>
      </c>
    </row>
    <row r="17" spans="1:8">
      <c r="A17" s="73">
        <f t="shared" si="1"/>
        <v>4</v>
      </c>
      <c r="B17" s="74" t="s">
        <v>93</v>
      </c>
      <c r="C17" s="75">
        <v>563</v>
      </c>
      <c r="D17" s="327">
        <v>7392584</v>
      </c>
      <c r="E17" s="336"/>
      <c r="F17" s="100">
        <f t="shared" si="0"/>
        <v>7392584</v>
      </c>
    </row>
    <row r="18" spans="1:8">
      <c r="A18" s="73">
        <f t="shared" si="1"/>
        <v>5</v>
      </c>
      <c r="B18" s="74" t="s">
        <v>94</v>
      </c>
      <c r="C18" s="75">
        <v>564</v>
      </c>
      <c r="D18" s="328">
        <v>0</v>
      </c>
      <c r="E18" s="336"/>
      <c r="F18" s="100">
        <f t="shared" si="0"/>
        <v>0</v>
      </c>
    </row>
    <row r="19" spans="1:8">
      <c r="A19" s="73">
        <f t="shared" si="1"/>
        <v>6</v>
      </c>
      <c r="B19" s="74" t="s">
        <v>95</v>
      </c>
      <c r="C19" s="75">
        <v>566</v>
      </c>
      <c r="D19" s="328">
        <v>7091195</v>
      </c>
      <c r="E19" s="325">
        <v>16365452</v>
      </c>
      <c r="F19" s="100">
        <f t="shared" si="0"/>
        <v>23456647</v>
      </c>
      <c r="H19" s="10" t="s">
        <v>18</v>
      </c>
    </row>
    <row r="20" spans="1:8" ht="15">
      <c r="A20" s="78">
        <f t="shared" si="1"/>
        <v>7</v>
      </c>
      <c r="B20" s="79" t="s">
        <v>96</v>
      </c>
      <c r="C20" s="110"/>
      <c r="D20" s="80">
        <f>SUM(D14:D19)</f>
        <v>30142534</v>
      </c>
      <c r="E20" s="80">
        <f>SUM(E14:E19)</f>
        <v>43633146</v>
      </c>
      <c r="F20" s="100">
        <f t="shared" si="0"/>
        <v>73775680</v>
      </c>
    </row>
    <row r="21" spans="1:8">
      <c r="A21" s="73">
        <f t="shared" si="1"/>
        <v>8</v>
      </c>
      <c r="B21" s="74" t="s">
        <v>231</v>
      </c>
      <c r="C21" s="75">
        <v>565</v>
      </c>
      <c r="D21" s="328">
        <v>50949240</v>
      </c>
      <c r="E21" s="77"/>
      <c r="F21" s="100">
        <f>SUM(D21:E21)</f>
        <v>50949240</v>
      </c>
    </row>
    <row r="22" spans="1:8">
      <c r="A22" s="73">
        <f t="shared" si="1"/>
        <v>9</v>
      </c>
      <c r="B22" s="74" t="s">
        <v>97</v>
      </c>
      <c r="C22" s="75">
        <v>567</v>
      </c>
      <c r="D22" s="328">
        <v>84281</v>
      </c>
      <c r="E22" s="325">
        <v>156522</v>
      </c>
      <c r="F22" s="100">
        <f t="shared" si="0"/>
        <v>240803</v>
      </c>
    </row>
    <row r="23" spans="1:8" ht="15">
      <c r="A23" s="78">
        <f t="shared" si="1"/>
        <v>10</v>
      </c>
      <c r="B23" s="79" t="s">
        <v>98</v>
      </c>
      <c r="C23" s="110"/>
      <c r="D23" s="80">
        <f>SUM(D20:D22)</f>
        <v>81176055</v>
      </c>
      <c r="E23" s="80">
        <f>SUM(E20:E22)</f>
        <v>43789668</v>
      </c>
      <c r="F23" s="100">
        <f t="shared" si="0"/>
        <v>124965723</v>
      </c>
    </row>
    <row r="24" spans="1:8" ht="15">
      <c r="A24" s="335" t="s">
        <v>99</v>
      </c>
      <c r="B24" s="335"/>
      <c r="C24" s="335"/>
      <c r="D24" s="335"/>
      <c r="E24" s="335"/>
      <c r="F24" s="98"/>
    </row>
    <row r="25" spans="1:8">
      <c r="A25" s="73">
        <f>A23+1</f>
        <v>11</v>
      </c>
      <c r="B25" s="74" t="s">
        <v>90</v>
      </c>
      <c r="C25" s="75">
        <v>568</v>
      </c>
      <c r="D25" s="328">
        <v>5706710</v>
      </c>
      <c r="E25" s="325">
        <v>10598175</v>
      </c>
      <c r="F25" s="100">
        <f t="shared" ref="F25:F39" si="2">SUM(D25:E25)</f>
        <v>16304885</v>
      </c>
    </row>
    <row r="26" spans="1:8">
      <c r="A26" s="73">
        <f t="shared" ref="A26:A39" si="3">A25+1</f>
        <v>12</v>
      </c>
      <c r="B26" s="74" t="s">
        <v>100</v>
      </c>
      <c r="C26" s="75">
        <v>569</v>
      </c>
      <c r="D26" s="331"/>
      <c r="E26" s="325">
        <v>106018</v>
      </c>
      <c r="F26" s="100">
        <f t="shared" si="2"/>
        <v>106018</v>
      </c>
    </row>
    <row r="27" spans="1:8">
      <c r="A27" s="73">
        <f t="shared" si="3"/>
        <v>13</v>
      </c>
      <c r="B27" s="74" t="s">
        <v>84</v>
      </c>
      <c r="C27" s="75">
        <v>570</v>
      </c>
      <c r="D27" s="331"/>
      <c r="E27" s="325">
        <v>7408517</v>
      </c>
      <c r="F27" s="100">
        <f t="shared" si="2"/>
        <v>7408517</v>
      </c>
    </row>
    <row r="28" spans="1:8">
      <c r="A28" s="73">
        <f t="shared" si="3"/>
        <v>14</v>
      </c>
      <c r="B28" s="74" t="s">
        <v>101</v>
      </c>
      <c r="C28" s="75">
        <v>571</v>
      </c>
      <c r="D28" s="328">
        <v>3195490</v>
      </c>
      <c r="E28" s="331"/>
      <c r="F28" s="100">
        <f t="shared" si="2"/>
        <v>3195490</v>
      </c>
    </row>
    <row r="29" spans="1:8">
      <c r="A29" s="73">
        <f t="shared" si="3"/>
        <v>15</v>
      </c>
      <c r="B29" s="74" t="s">
        <v>102</v>
      </c>
      <c r="C29" s="75">
        <v>572</v>
      </c>
      <c r="D29" s="328">
        <v>0</v>
      </c>
      <c r="E29" s="331"/>
      <c r="F29" s="100">
        <f t="shared" si="2"/>
        <v>0</v>
      </c>
    </row>
    <row r="30" spans="1:8">
      <c r="A30" s="73">
        <f t="shared" si="3"/>
        <v>16</v>
      </c>
      <c r="B30" s="74" t="s">
        <v>103</v>
      </c>
      <c r="C30" s="75">
        <v>573</v>
      </c>
      <c r="D30" s="328">
        <v>1125185</v>
      </c>
      <c r="E30" s="325">
        <v>2601325</v>
      </c>
      <c r="F30" s="100">
        <f t="shared" si="2"/>
        <v>3726510</v>
      </c>
    </row>
    <row r="31" spans="1:8" ht="15">
      <c r="A31" s="78">
        <f t="shared" si="3"/>
        <v>17</v>
      </c>
      <c r="B31" s="79" t="s">
        <v>104</v>
      </c>
      <c r="C31" s="337"/>
      <c r="D31" s="80">
        <f>SUM(D25:D30)</f>
        <v>10027385</v>
      </c>
      <c r="E31" s="80">
        <f>SUM(E25:E30)</f>
        <v>20714035</v>
      </c>
      <c r="F31" s="100">
        <f t="shared" si="2"/>
        <v>30741420</v>
      </c>
    </row>
    <row r="32" spans="1:8" ht="15">
      <c r="A32" s="78">
        <f t="shared" si="3"/>
        <v>18</v>
      </c>
      <c r="B32" s="79" t="s">
        <v>105</v>
      </c>
      <c r="C32" s="337"/>
      <c r="D32" s="80">
        <f>D23+D31</f>
        <v>91203440</v>
      </c>
      <c r="E32" s="80">
        <f>E23+E31</f>
        <v>64503703</v>
      </c>
      <c r="F32" s="100">
        <f t="shared" si="2"/>
        <v>155707143</v>
      </c>
    </row>
    <row r="33" spans="1:6">
      <c r="A33" s="73">
        <f t="shared" si="3"/>
        <v>19</v>
      </c>
      <c r="B33" s="74" t="s">
        <v>106</v>
      </c>
      <c r="C33" s="75" t="s">
        <v>107</v>
      </c>
      <c r="D33" s="329"/>
      <c r="E33" s="329">
        <v>0</v>
      </c>
      <c r="F33" s="100">
        <f t="shared" si="2"/>
        <v>0</v>
      </c>
    </row>
    <row r="34" spans="1:6">
      <c r="A34" s="73">
        <f t="shared" si="3"/>
        <v>20</v>
      </c>
      <c r="B34" s="74" t="s">
        <v>232</v>
      </c>
      <c r="C34" s="75" t="s">
        <v>108</v>
      </c>
      <c r="D34" s="329"/>
      <c r="E34" s="329">
        <v>0</v>
      </c>
      <c r="F34" s="100">
        <f>SUM(D34:E34)</f>
        <v>0</v>
      </c>
    </row>
    <row r="35" spans="1:6" ht="15">
      <c r="A35" s="78">
        <f t="shared" si="3"/>
        <v>21</v>
      </c>
      <c r="B35" s="79" t="s">
        <v>109</v>
      </c>
      <c r="C35" s="110"/>
      <c r="D35" s="80">
        <f>SUM(D33:D34)</f>
        <v>0</v>
      </c>
      <c r="E35" s="80">
        <f>SUM(E33:E34)</f>
        <v>0</v>
      </c>
      <c r="F35" s="100">
        <f t="shared" si="2"/>
        <v>0</v>
      </c>
    </row>
    <row r="36" spans="1:6">
      <c r="A36" s="73">
        <f t="shared" si="3"/>
        <v>22</v>
      </c>
      <c r="B36" s="74" t="s">
        <v>110</v>
      </c>
      <c r="C36" s="75" t="s">
        <v>111</v>
      </c>
      <c r="D36" s="329">
        <v>0</v>
      </c>
      <c r="E36" s="325">
        <v>990916</v>
      </c>
      <c r="F36" s="100">
        <f t="shared" si="2"/>
        <v>990916</v>
      </c>
    </row>
    <row r="37" spans="1:6">
      <c r="A37" s="73">
        <f t="shared" si="3"/>
        <v>23</v>
      </c>
      <c r="B37" s="74" t="s">
        <v>112</v>
      </c>
      <c r="C37" s="75" t="s">
        <v>113</v>
      </c>
      <c r="D37" s="329">
        <v>0</v>
      </c>
      <c r="E37" s="325">
        <v>29841</v>
      </c>
      <c r="F37" s="100">
        <f t="shared" si="2"/>
        <v>29841</v>
      </c>
    </row>
    <row r="38" spans="1:6" ht="15">
      <c r="A38" s="78">
        <f t="shared" si="3"/>
        <v>24</v>
      </c>
      <c r="B38" s="79" t="s">
        <v>114</v>
      </c>
      <c r="C38" s="337"/>
      <c r="D38" s="80">
        <f>SUM(D36:D37)</f>
        <v>0</v>
      </c>
      <c r="E38" s="80">
        <f>SUM(E36:E37)</f>
        <v>1020757</v>
      </c>
      <c r="F38" s="100">
        <f t="shared" si="2"/>
        <v>1020757</v>
      </c>
    </row>
    <row r="39" spans="1:6" ht="15">
      <c r="A39" s="78">
        <f t="shared" si="3"/>
        <v>25</v>
      </c>
      <c r="B39" s="79" t="s">
        <v>115</v>
      </c>
      <c r="C39" s="337"/>
      <c r="D39" s="80">
        <f>D32+D35+D38</f>
        <v>91203440</v>
      </c>
      <c r="E39" s="80">
        <f>E32+E35+E38</f>
        <v>65524460</v>
      </c>
      <c r="F39" s="100">
        <f t="shared" si="2"/>
        <v>156727900</v>
      </c>
    </row>
    <row r="40" spans="1:6" ht="15">
      <c r="A40" s="335" t="s">
        <v>116</v>
      </c>
      <c r="B40" s="335"/>
      <c r="C40" s="335"/>
      <c r="D40" s="335"/>
      <c r="E40" s="335"/>
      <c r="F40" s="98"/>
    </row>
    <row r="41" spans="1:6">
      <c r="A41" s="73">
        <f>A39+1</f>
        <v>26</v>
      </c>
      <c r="B41" s="74" t="s">
        <v>117</v>
      </c>
      <c r="C41" s="300">
        <v>403.5</v>
      </c>
      <c r="D41" s="328">
        <v>18232287</v>
      </c>
      <c r="E41" s="325">
        <v>20361114</v>
      </c>
      <c r="F41" s="100">
        <f t="shared" ref="F41:F47" si="4">SUM(D41:E41)</f>
        <v>38593401</v>
      </c>
    </row>
    <row r="42" spans="1:6">
      <c r="A42" s="73">
        <f>A41+1</f>
        <v>27</v>
      </c>
      <c r="B42" s="74" t="s">
        <v>118</v>
      </c>
      <c r="C42" s="300">
        <v>403.6</v>
      </c>
      <c r="D42" s="328">
        <v>0</v>
      </c>
      <c r="E42" s="325">
        <v>2620387</v>
      </c>
      <c r="F42" s="100">
        <f t="shared" si="4"/>
        <v>2620387</v>
      </c>
    </row>
    <row r="43" spans="1:6">
      <c r="A43" s="73">
        <f>A42+1</f>
        <v>28</v>
      </c>
      <c r="B43" s="74" t="s">
        <v>119</v>
      </c>
      <c r="C43" s="75">
        <v>427</v>
      </c>
      <c r="D43" s="329">
        <v>0</v>
      </c>
      <c r="E43" s="329">
        <v>0</v>
      </c>
      <c r="F43" s="100">
        <f t="shared" si="4"/>
        <v>0</v>
      </c>
    </row>
    <row r="44" spans="1:6">
      <c r="A44" s="73">
        <f>A43+1</f>
        <v>29</v>
      </c>
      <c r="B44" s="74" t="s">
        <v>120</v>
      </c>
      <c r="C44" s="75">
        <v>427</v>
      </c>
      <c r="D44" s="329">
        <v>0</v>
      </c>
      <c r="E44" s="329">
        <v>0</v>
      </c>
      <c r="F44" s="100">
        <f t="shared" si="4"/>
        <v>0</v>
      </c>
    </row>
    <row r="45" spans="1:6" ht="15">
      <c r="A45" s="78">
        <v>30</v>
      </c>
      <c r="B45" s="79" t="s">
        <v>121</v>
      </c>
      <c r="C45" s="337"/>
      <c r="D45" s="80">
        <f>SUM(D32,D41,D43)</f>
        <v>109435727</v>
      </c>
      <c r="E45" s="80">
        <f>SUM(E32,E41,E43)</f>
        <v>84864817</v>
      </c>
      <c r="F45" s="100">
        <f t="shared" si="4"/>
        <v>194300544</v>
      </c>
    </row>
    <row r="46" spans="1:6" ht="15">
      <c r="A46" s="78">
        <v>31</v>
      </c>
      <c r="B46" s="79" t="s">
        <v>122</v>
      </c>
      <c r="C46" s="337"/>
      <c r="D46" s="80">
        <f>SUM(D38,D42,D44)</f>
        <v>0</v>
      </c>
      <c r="E46" s="80">
        <f>E38+E42+E44</f>
        <v>3641144</v>
      </c>
      <c r="F46" s="100">
        <f t="shared" si="4"/>
        <v>3641144</v>
      </c>
    </row>
    <row r="47" spans="1:6" ht="15">
      <c r="A47" s="78">
        <v>32</v>
      </c>
      <c r="B47" s="79" t="s">
        <v>123</v>
      </c>
      <c r="C47" s="337"/>
      <c r="D47" s="80">
        <f>D35+D45+D46</f>
        <v>109435727</v>
      </c>
      <c r="E47" s="80">
        <f>E35+E45+E46</f>
        <v>88505961</v>
      </c>
      <c r="F47" s="100">
        <f t="shared" si="4"/>
        <v>197941688</v>
      </c>
    </row>
    <row r="49" spans="1:4" s="11" customFormat="1" ht="15">
      <c r="A49" s="290"/>
      <c r="B49" s="291"/>
      <c r="C49" s="291"/>
      <c r="D49" s="291"/>
    </row>
    <row r="50" spans="1:4" s="11" customFormat="1">
      <c r="A50" s="10" t="s">
        <v>463</v>
      </c>
      <c r="B50" s="291"/>
      <c r="C50" s="291"/>
      <c r="D50" s="291"/>
    </row>
    <row r="51" spans="1:4" s="11" customFormat="1" ht="15">
      <c r="A51" s="290"/>
      <c r="B51" s="290"/>
      <c r="C51" s="292"/>
      <c r="D51" s="291"/>
    </row>
    <row r="52" spans="1:4" s="11" customFormat="1">
      <c r="A52" s="293"/>
      <c r="B52" s="291"/>
      <c r="C52" s="76"/>
      <c r="D52" s="291"/>
    </row>
    <row r="53" spans="1:4" s="11" customFormat="1">
      <c r="A53" s="293"/>
      <c r="B53" s="291"/>
      <c r="C53" s="76"/>
      <c r="D53" s="291"/>
    </row>
    <row r="54" spans="1:4" s="11" customFormat="1">
      <c r="A54" s="293"/>
      <c r="B54" s="291"/>
      <c r="C54" s="76"/>
      <c r="D54" s="291"/>
    </row>
    <row r="55" spans="1:4" s="11" customFormat="1">
      <c r="A55" s="293"/>
      <c r="B55" s="291"/>
      <c r="C55" s="76"/>
      <c r="D55" s="291"/>
    </row>
    <row r="56" spans="1:4" s="11" customFormat="1">
      <c r="A56" s="293"/>
      <c r="B56" s="291"/>
      <c r="C56" s="76"/>
      <c r="D56" s="291"/>
    </row>
    <row r="57" spans="1:4" s="11" customFormat="1">
      <c r="A57" s="293"/>
      <c r="B57" s="291"/>
      <c r="C57" s="76"/>
      <c r="D57" s="291"/>
    </row>
    <row r="58" spans="1:4" s="11" customFormat="1">
      <c r="A58" s="293"/>
      <c r="B58" s="291"/>
      <c r="C58" s="76"/>
      <c r="D58" s="291"/>
    </row>
    <row r="59" spans="1:4" s="11" customFormat="1">
      <c r="A59" s="293"/>
      <c r="B59" s="291"/>
      <c r="C59" s="76"/>
      <c r="D59" s="291"/>
    </row>
    <row r="60" spans="1:4" s="11" customFormat="1">
      <c r="A60" s="293"/>
      <c r="B60" s="291"/>
      <c r="C60" s="76"/>
      <c r="D60" s="291"/>
    </row>
    <row r="61" spans="1:4" s="11" customFormat="1">
      <c r="A61" s="293"/>
      <c r="B61" s="291"/>
      <c r="C61" s="76"/>
      <c r="D61" s="291"/>
    </row>
    <row r="62" spans="1:4" s="11" customFormat="1">
      <c r="A62" s="293"/>
      <c r="B62" s="291"/>
      <c r="C62" s="76"/>
      <c r="D62" s="291"/>
    </row>
    <row r="63" spans="1:4" s="11" customFormat="1" ht="15">
      <c r="A63" s="293"/>
      <c r="B63" s="290"/>
      <c r="C63" s="294"/>
      <c r="D63" s="291"/>
    </row>
    <row r="64" spans="1:4" s="11" customFormat="1"/>
    <row r="65" spans="1:6" s="11" customFormat="1">
      <c r="A65" s="293"/>
      <c r="B65" s="291"/>
      <c r="C65" s="76"/>
      <c r="D65" s="291"/>
    </row>
    <row r="66" spans="1:6" s="11" customFormat="1" ht="15">
      <c r="A66" s="293"/>
      <c r="B66" s="290"/>
      <c r="C66" s="295"/>
      <c r="D66" s="291"/>
    </row>
    <row r="67" spans="1:6" s="11" customFormat="1" ht="15">
      <c r="A67" s="293"/>
      <c r="B67" s="290"/>
      <c r="C67" s="291"/>
      <c r="D67" s="291"/>
    </row>
    <row r="68" spans="1:6" s="11" customFormat="1" ht="15">
      <c r="A68" s="293"/>
      <c r="B68" s="290"/>
      <c r="C68" s="294"/>
      <c r="D68" s="291"/>
    </row>
    <row r="69" spans="1:6" s="11" customFormat="1" ht="15">
      <c r="A69" s="290"/>
      <c r="B69" s="290"/>
      <c r="C69" s="296"/>
      <c r="D69" s="291"/>
    </row>
    <row r="70" spans="1:6" s="11" customFormat="1">
      <c r="A70" s="293"/>
      <c r="B70" s="291"/>
      <c r="C70" s="76"/>
      <c r="D70" s="291"/>
    </row>
    <row r="71" spans="1:6" s="11" customFormat="1">
      <c r="A71" s="293"/>
      <c r="B71" s="291"/>
      <c r="C71" s="76"/>
      <c r="D71" s="291"/>
    </row>
    <row r="72" spans="1:6" s="11" customFormat="1">
      <c r="A72" s="293"/>
      <c r="B72" s="291"/>
      <c r="C72" s="76"/>
      <c r="D72" s="291"/>
    </row>
    <row r="73" spans="1:6" s="11" customFormat="1" ht="15">
      <c r="A73" s="293"/>
      <c r="B73" s="290"/>
      <c r="C73" s="297"/>
      <c r="D73" s="291"/>
    </row>
    <row r="74" spans="1:6" s="11" customFormat="1">
      <c r="A74" s="293"/>
      <c r="B74" s="291"/>
      <c r="C74" s="294"/>
      <c r="D74" s="291"/>
    </row>
    <row r="75" spans="1:6" s="11" customFormat="1" ht="15">
      <c r="A75" s="298"/>
      <c r="B75" s="291"/>
      <c r="C75" s="294"/>
      <c r="D75" s="291"/>
    </row>
    <row r="76" spans="1:6" s="11" customFormat="1">
      <c r="A76" s="293"/>
      <c r="B76" s="291"/>
      <c r="C76" s="338"/>
      <c r="D76" s="338"/>
    </row>
    <row r="77" spans="1:6" s="11" customFormat="1">
      <c r="A77" s="293"/>
      <c r="B77" s="291"/>
      <c r="C77" s="291"/>
      <c r="D77" s="291"/>
    </row>
    <row r="78" spans="1:6" s="11" customFormat="1" ht="15">
      <c r="A78" s="293"/>
      <c r="B78" s="290"/>
      <c r="C78" s="290"/>
      <c r="D78" s="290"/>
      <c r="F78" s="290"/>
    </row>
    <row r="79" spans="1:6" s="11" customFormat="1">
      <c r="A79" s="293"/>
      <c r="B79" s="291"/>
      <c r="C79" s="76"/>
      <c r="D79" s="76"/>
      <c r="F79" s="299"/>
    </row>
    <row r="80" spans="1:6" s="11" customFormat="1">
      <c r="A80" s="293"/>
      <c r="B80" s="291"/>
      <c r="C80" s="76"/>
      <c r="D80" s="76"/>
      <c r="F80" s="299"/>
    </row>
    <row r="81" spans="1:6" s="11" customFormat="1">
      <c r="A81" s="293"/>
      <c r="B81" s="291"/>
      <c r="C81" s="76"/>
      <c r="D81" s="76"/>
      <c r="F81" s="299"/>
    </row>
    <row r="82" spans="1:6" s="11" customFormat="1">
      <c r="A82" s="293"/>
      <c r="B82" s="291"/>
      <c r="C82" s="76"/>
      <c r="D82" s="76"/>
      <c r="F82" s="299"/>
    </row>
    <row r="83" spans="1:6" s="11" customFormat="1" ht="15">
      <c r="A83" s="293"/>
      <c r="B83" s="291"/>
      <c r="C83" s="297"/>
      <c r="D83" s="297"/>
      <c r="F83" s="299"/>
    </row>
    <row r="84" spans="1:6" s="11" customFormat="1">
      <c r="A84" s="293"/>
      <c r="B84" s="291"/>
      <c r="C84" s="294"/>
      <c r="D84" s="294"/>
    </row>
    <row r="85" spans="1:6" s="11" customFormat="1" ht="15">
      <c r="A85" s="298"/>
      <c r="B85" s="291"/>
      <c r="C85" s="294"/>
      <c r="D85" s="294"/>
    </row>
    <row r="86" spans="1:6" s="11" customFormat="1">
      <c r="A86" s="293"/>
      <c r="B86" s="291"/>
      <c r="C86" s="294"/>
      <c r="D86" s="76"/>
    </row>
    <row r="87" spans="1:6" s="11" customFormat="1">
      <c r="A87" s="293"/>
      <c r="B87" s="291"/>
      <c r="C87" s="294"/>
      <c r="D87" s="76"/>
    </row>
    <row r="88" spans="1:6" s="11" customFormat="1">
      <c r="A88" s="293"/>
      <c r="B88" s="291"/>
      <c r="C88" s="291"/>
      <c r="D88" s="76"/>
    </row>
  </sheetData>
  <mergeCells count="12">
    <mergeCell ref="E28:E29"/>
    <mergeCell ref="C31:C32"/>
    <mergeCell ref="C38:C39"/>
    <mergeCell ref="A40:E40"/>
    <mergeCell ref="C76:D76"/>
    <mergeCell ref="C45:C47"/>
    <mergeCell ref="D26:D27"/>
    <mergeCell ref="A11:E11"/>
    <mergeCell ref="A12:B12"/>
    <mergeCell ref="A13:E13"/>
    <mergeCell ref="E17:E18"/>
    <mergeCell ref="A24:E24"/>
  </mergeCells>
  <printOptions horizontalCentered="1"/>
  <pageMargins left="0.7" right="0.7" top="0.75" bottom="0.75" header="0.3" footer="0.3"/>
  <pageSetup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Index</vt:lpstr>
      <vt:lpstr> Summary Page</vt:lpstr>
      <vt:lpstr>Worksheet A, Rate Base</vt:lpstr>
      <vt:lpstr>Worksheet B Expenses</vt:lpstr>
      <vt:lpstr>Worksheet C, Return</vt:lpstr>
      <vt:lpstr>Worksheet D, Load</vt:lpstr>
      <vt:lpstr>Worksheet E, Alloc. Factor</vt:lpstr>
      <vt:lpstr>Worksheet F, Inputs</vt:lpstr>
      <vt:lpstr>Worksheet G O&amp;M Input</vt:lpstr>
      <vt:lpstr>Worksheet H SPP Upgrade Project</vt:lpstr>
      <vt:lpstr>AlloFactors</vt:lpstr>
      <vt:lpstr>' Summary Page'!Print_Area</vt:lpstr>
      <vt:lpstr>Index!Print_Area</vt:lpstr>
      <vt:lpstr>'Worksheet A, Rate Base'!Print_Area</vt:lpstr>
      <vt:lpstr>'Worksheet B Expenses'!Print_Area</vt:lpstr>
      <vt:lpstr>'Worksheet C, Return'!Print_Area</vt:lpstr>
      <vt:lpstr>'Worksheet D, Load'!Print_Area</vt:lpstr>
      <vt:lpstr>'Worksheet E, Alloc. Factor'!Print_Area</vt:lpstr>
      <vt:lpstr>'Worksheet F, Inputs'!Print_Area</vt:lpstr>
      <vt:lpstr>'Worksheet G O&amp;M Input'!Print_Area</vt:lpstr>
      <vt:lpstr>'Worksheet H SPP Upgrade Project'!Print_Area</vt:lpstr>
      <vt:lpstr>' Summary Page'!Print_Titles</vt:lpstr>
      <vt:lpstr>'Worksheet A, Rate Base'!Print_Titles</vt:lpstr>
      <vt:lpstr>'Worksheet B Expenses'!Print_Titles</vt:lpstr>
      <vt:lpstr>'Worksheet E, Alloc. Factor'!Print_Titles</vt:lpstr>
      <vt:lpstr>'Worksheet F, Inputs'!Print_Titles</vt:lpstr>
      <vt:lpstr>'Worksheet G O&amp;M Input'!Print_Titles</vt:lpstr>
      <vt:lpstr>'Worksheet H SPP Upgrade Project'!Print_Titles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2016-07-15T20:25:05Z</dcterms:created>
  <dcterms:modified xsi:type="dcterms:W3CDTF">2017-06-08T16:53:17Z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